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mc:AlternateContent xmlns:mc="http://schemas.openxmlformats.org/markup-compatibility/2006">
    <mc:Choice Requires="x15">
      <x15ac:absPath xmlns:x15ac="http://schemas.microsoft.com/office/spreadsheetml/2010/11/ac" url="C:\Users\Lars-Göran Pärlklint\Desktop\Klara elfiskprotokoll för tur vattenrådet tur 2020\"/>
    </mc:Choice>
  </mc:AlternateContent>
  <xr:revisionPtr revIDLastSave="0" documentId="13_ncr:1_{04940907-995F-4AAC-A443-DD106AF0A19E}" xr6:coauthVersionLast="45" xr6:coauthVersionMax="45" xr10:uidLastSave="{00000000-0000-0000-0000-000000000000}"/>
  <bookViews>
    <workbookView xWindow="-108" yWindow="-108" windowWidth="23256" windowHeight="12576" tabRatio="738" xr2:uid="{00000000-000D-0000-FFFF-FFFF00000000}"/>
  </bookViews>
  <sheets>
    <sheet name="Protokoll" sheetId="39" r:id="rId1"/>
    <sheet name="Lokalbeskrivn" sheetId="1" r:id="rId2"/>
    <sheet name="Frekvenstabell" sheetId="49" r:id="rId3"/>
    <sheet name="Antal &amp; Längder (vikter)" sheetId="41" r:id="rId4"/>
    <sheet name="Artuppgifter" sheetId="51" r:id="rId5"/>
    <sheet name="DATA TILL SLU" sheetId="21" r:id="rId6"/>
    <sheet name="DATA TILL SLU, LANGDER" sheetId="52" r:id="rId7"/>
    <sheet name="DATA TILL SLU LÄNGDER&amp;VIKTER" sheetId="50" r:id="rId8"/>
    <sheet name="Beräkningshjälp" sheetId="32" r:id="rId9"/>
  </sheets>
  <definedNames>
    <definedName name="AL">Beräkningshjälp!$N$1:$W$60</definedName>
    <definedName name="Artlista_alla">Beräkningshjälp!$M$1:$W$60</definedName>
    <definedName name="Artlista_alla_2">Beräkningshjälp!$N$1:$P$60</definedName>
    <definedName name="ARTNRlängder">Beräkningshjälp!$AG$3:$AG$1082</definedName>
    <definedName name="Fiskedatum">'DATA TILL SLU'!$D$7</definedName>
    <definedName name="FångadeArter">Artuppgifter!$J$10:$J$22</definedName>
    <definedName name="Kalkdatum">'DATA TILL SLU'!$AT$7</definedName>
    <definedName name="Lista_Aggregat">Beräkningshjälp!$Q$64:$Q$89</definedName>
    <definedName name="Lista_aro">Beräkningshjälp!$Q$96:$Q$97</definedName>
    <definedName name="Lista_artificiell">Beräkningshjälp!$D$103:$D$105</definedName>
    <definedName name="Lista_barrskog">Beräkningshjälp!$B$93:$B$95</definedName>
    <definedName name="Lista_berg_block">Beräkningshjälp!$B$103:$B$105</definedName>
    <definedName name="Lista_beskuggning">Beräkningshjälp!$J$100:$J$111</definedName>
    <definedName name="Lista_blandskog">Beräkningshjälp!$C$93:$C$95</definedName>
    <definedName name="Lista_bottentopografi">Beräkningshjälp!$H$102:$H$103</definedName>
    <definedName name="Lista_D_block1">Beräkningshjälp!$B$114:$B$116</definedName>
    <definedName name="Lista_D_block2">Beräkningshjälp!$C$114:$C$116</definedName>
    <definedName name="Lista_D_block3">Beräkningshjälp!$D$114:$D$116</definedName>
    <definedName name="Lista_D_finsed">Beräkningshjälp!$A$108:$A$110</definedName>
    <definedName name="Lista_D_flytbl">Beräkningshjälp!$C$134:$C$136</definedName>
    <definedName name="Lista_D_grus">Beräkningshjälp!$C$108:$C$110</definedName>
    <definedName name="Lista_D_häll">Beräkningshjälp!$E$114:$E$116</definedName>
    <definedName name="Lista_D_mossa">Beräkningshjälp!$C$139:$C$141</definedName>
    <definedName name="Lista_D_påv.alg">Beräkningshjälp!$D$139:$D$141</definedName>
    <definedName name="Lista_D_rosett">Beräkningshjälp!$B$139:$B$141</definedName>
    <definedName name="Lista_D_sand">Beräkningshjälp!$B$108:$B$110</definedName>
    <definedName name="Lista_D_slinge">Beräkningshjälp!$D$134:$D$136</definedName>
    <definedName name="Lista_D_sten1">Beräkningshjälp!$D$108:$D$110</definedName>
    <definedName name="Lista_D_sten2">Beräkningshjälp!$A$114:$A$116</definedName>
    <definedName name="Lista_D_öv.växt">Beräkningshjälp!$B$134:$B$136</definedName>
    <definedName name="Lista_F_block1">Beräkningshjälp!$B$127:$B$130</definedName>
    <definedName name="Lista_F_block2">Beräkningshjälp!$C$127:$C$130</definedName>
    <definedName name="Lista_F_block3">Beräkningshjälp!$D$127:$D$130</definedName>
    <definedName name="Lista_F_finsed">Beräkningshjälp!$A$120:$A$123</definedName>
    <definedName name="Lista_F_flytbl">Beräkningshjälp!$C$144:$C$147</definedName>
    <definedName name="Lista_F_grus">Beräkningshjälp!$C$120:$C$123</definedName>
    <definedName name="Lista_F_häll">Beräkningshjälp!$E$127:$E$130</definedName>
    <definedName name="Lista_F_mossa">Beräkningshjälp!$C$150:$C$153</definedName>
    <definedName name="Lista_F_påv.alg">Beräkningshjälp!$D$150:$D$153</definedName>
    <definedName name="Lista_F_rosett">Beräkningshjälp!$B$150:$B$153</definedName>
    <definedName name="Lista_F_sand">Beräkningshjälp!$B$120:$B$123</definedName>
    <definedName name="Lista_F_slinge">Beräkningshjälp!$D$144:$D$147</definedName>
    <definedName name="Lista_F_sten1">Beräkningshjälp!$D$120:$D$123</definedName>
    <definedName name="Lista_F_sten2">Beräkningshjälp!$A$127:$A$130</definedName>
    <definedName name="Lista_F_öv.växt">Beräkningshjälp!$B$144:$B$147</definedName>
    <definedName name="Lista_grumlig">Beräkningshjälp!$G$94:$G$95</definedName>
    <definedName name="Lista_hed">Beräkningshjälp!$C$98:$C$100</definedName>
    <definedName name="Lista_hygge">Beräkningshjälp!$D$93:$D$95</definedName>
    <definedName name="Lista_inga_hinder">Beräkningshjälp!$H$110:$H$111</definedName>
    <definedName name="Lista_ingen_påverkan">Beräkningshjälp!$N$108:$N$109</definedName>
    <definedName name="Lista_kalfjäll">Beräkningshjälp!$A$103:$A$105</definedName>
    <definedName name="Lista_Kalkningstyp">Beräkningshjälp!$N$104:$N$105</definedName>
    <definedName name="Lista_kalkpåverkan">Beräkningshjälp!$F$106:$F$107</definedName>
    <definedName name="Lista_lövskog">Beräkningshjälp!$A$93:$A$95</definedName>
    <definedName name="Lista_Metod">Beräkningshjälp!$F$94:$F$95</definedName>
    <definedName name="Lista_myr">Beräkningshjälp!$D$98:$D$100</definedName>
    <definedName name="Lista_Ny_lokal">Beräkningshjälp!$F$59:$F$62</definedName>
    <definedName name="Lista_påverkan">Beräkningshjälp!$L$104:$L$109</definedName>
    <definedName name="Lista_sjöprocent">Beräkningshjälp!$Q$100:$Q$101</definedName>
    <definedName name="Lista_Ström_vandrande">Beräkningshjälp!$H$106:$H$107</definedName>
    <definedName name="Lista_typ_aggregat">Beräkningshjälp!$Q$92:$Q$93</definedName>
    <definedName name="Lista_uppväxtbiotop">Beräkningshjälp!$Q$104:$Q$107</definedName>
    <definedName name="Lista_vandringhinder">Beräkningshjälp!$F$110:$F$111</definedName>
    <definedName name="Lista_vattenfärg">Beräkningshjälp!$F$98:$F$99</definedName>
    <definedName name="Lista_vattenhastighet">Beräkningshjälp!$G$98:$G$99</definedName>
    <definedName name="Lista_vattennivå">Beräkningshjälp!$F$102:$F$103</definedName>
    <definedName name="Lista_X">Beräkningshjälp!$G$27:$G$28</definedName>
    <definedName name="Lista_åker">Beräkningshjälp!$A$98:$A$100</definedName>
    <definedName name="Lista_äng">Beräkningshjälp!$B$98:$B$100</definedName>
    <definedName name="Lista1">Beräkningshjälp!$H$32:$H$33</definedName>
    <definedName name="Lista10">Beräkningshjälp!$N$64:$N$100</definedName>
    <definedName name="Lista11">Beräkningshjälp!$O$64:$O$100</definedName>
    <definedName name="Lista12">Beräkningshjälp!$G$18:$G$23</definedName>
    <definedName name="Lista2">Beräkningshjälp!$N$2:$N$60</definedName>
    <definedName name="Lista3">Beräkningshjälp!$G$32:$G$34</definedName>
    <definedName name="Lista4">Beräkningshjälp!$I$4:$I$39</definedName>
    <definedName name="Lista5">Beräkningshjälp!$J$4:$J$34</definedName>
    <definedName name="Lista6">Beräkningshjälp!$F$70:$F$91</definedName>
    <definedName name="Lista7">Beräkningshjälp!$L$113:$L$400</definedName>
    <definedName name="Lista8">Beräkningshjälp!$G$12:$G$14</definedName>
    <definedName name="Lista9">Beräkningshjälp!$T$65:$T$526</definedName>
    <definedName name="Lmax">Beräkningshjälp!$H$8</definedName>
    <definedName name="Lmin">Beräkningshjälp!$H$7</definedName>
    <definedName name="lokalAvfiskadbredd">Lokalbeskrivn!$G$6</definedName>
    <definedName name="lokalAvfiskyta">Lokalbeskrivn!$J$6</definedName>
    <definedName name="LokalDatum">Lokalbeskrivn!$M$3</definedName>
    <definedName name="lokalDblock1">Lokalbeskrivn!$I$42</definedName>
    <definedName name="lokalDblock2">Lokalbeskrivn!$J$42</definedName>
    <definedName name="lokalDblock3">Lokalbeskrivn!$L$42</definedName>
    <definedName name="lokalDfinsed">Lokalbeskrivn!$C$42</definedName>
    <definedName name="lokalDgrus">Lokalbeskrivn!$E$42</definedName>
    <definedName name="lokalDhäll">Lokalbeskrivn!$N$42</definedName>
    <definedName name="lokalDsand">Lokalbeskrivn!$D$42</definedName>
    <definedName name="lokalDsten1">Lokalbeskrivn!$F$42</definedName>
    <definedName name="lokalDsten2">Lokalbeskrivn!$G$42</definedName>
    <definedName name="lokalFblock1">Lokalbeskrivn!$I$43</definedName>
    <definedName name="lokalFblock2">Lokalbeskrivn!$J$43</definedName>
    <definedName name="lokalFblock3">Lokalbeskrivn!$L$43</definedName>
    <definedName name="lokalFfinsed">Lokalbeskrivn!$C$43</definedName>
    <definedName name="lokalFgrus">Lokalbeskrivn!$E$43</definedName>
    <definedName name="lokalFhäll">Lokalbeskrivn!$N$43</definedName>
    <definedName name="lokalFsand">Lokalbeskrivn!$D$43</definedName>
    <definedName name="lokalFsten1">Lokalbeskrivn!$F$43</definedName>
    <definedName name="lokalFsten2">Lokalbeskrivn!$G$43</definedName>
    <definedName name="LokalLkoordX">Lokalbeskrivn!$G$4</definedName>
    <definedName name="LokalLkoordY">Lokalbeskrivn!$I$4</definedName>
    <definedName name="lokalLokalnamn">Lokalbeskrivn!$C$4</definedName>
    <definedName name="lokalLängd">Lokalbeskrivn!$C$6</definedName>
    <definedName name="lokalMaxdjup">Lokalbeskrivn!$E$36</definedName>
    <definedName name="lokalMedelbredd">Lokalbeskrivn!$G$7</definedName>
    <definedName name="lokalMedeldjup">Lokalbeskrivn!$E$34</definedName>
    <definedName name="lokalMedelyta">Lokalbeskrivn!$G$8</definedName>
    <definedName name="lokalTorryta">Lokalbeskrivn!$J$8</definedName>
    <definedName name="lokalVattennivå">Lokalbeskrivn!$C$7</definedName>
    <definedName name="lokalVdrnamn">Lokalbeskrivn!$C$3</definedName>
    <definedName name="LokalVkoordX">Lokalbeskrivn!$G$3</definedName>
    <definedName name="LokalVkoordY">Lokalbeskrivn!$I$3</definedName>
    <definedName name="lokalVåtbredd">Lokalbeskrivn!$C$34</definedName>
    <definedName name="lokLokNaNr">Lokalbeskrivn!$C$4</definedName>
    <definedName name="Omätta">'Antal &amp; Längder (vikter)'!$O$10:$T$27</definedName>
    <definedName name="PrLokNa">Protokoll!$F$7</definedName>
    <definedName name="PrLokNr">Protokoll!$S$7</definedName>
    <definedName name="Prot.Avfisk.bredd">Protokoll!$R$18</definedName>
    <definedName name="Prot.Avfisk.h.bredd">Protokoll!$Q$14</definedName>
    <definedName name="Prot.Datum">Protokoll!$X$9</definedName>
    <definedName name="protokollAntalutfisk">Protokoll!$H$13</definedName>
    <definedName name="ProtokollAvfiskyta">Protokoll!$AC$19</definedName>
    <definedName name="ProtokollDblock1">Protokoll!$V$32</definedName>
    <definedName name="ProtokollDblock2">Protokoll!$Y$32</definedName>
    <definedName name="ProtokollDblock3">Protokoll!$AB$32</definedName>
    <definedName name="ProtokollDfinsed">Protokoll!$G$32</definedName>
    <definedName name="ProtokollDgrus">Protokoll!$M$32</definedName>
    <definedName name="ProtokollDhäll">Protokoll!$AE$32</definedName>
    <definedName name="ProtokollDsand">Protokoll!$J$32</definedName>
    <definedName name="ProtokollDsten1">Protokoll!$P$32</definedName>
    <definedName name="ProtokollDsten2">Protokoll!$S$32</definedName>
    <definedName name="ProtokollFblock1">Protokoll!$V$33</definedName>
    <definedName name="ProtokollFblock2">Protokoll!$Y$33</definedName>
    <definedName name="ProtokollFblock3">Protokoll!$AB$33</definedName>
    <definedName name="ProtokollFfinsed">Protokoll!$G$33</definedName>
    <definedName name="ProtokollFgrus">Protokoll!$M$33</definedName>
    <definedName name="ProtokollFhäll">Protokoll!$AE$33</definedName>
    <definedName name="ProtokollFsand">Protokoll!$J$33</definedName>
    <definedName name="ProtokollFsten1">Protokoll!$P$33</definedName>
    <definedName name="ProtokollFsten2">Protokoll!$S$33</definedName>
    <definedName name="ProtokollLkoordX">Protokoll!$I$6</definedName>
    <definedName name="ProtokollLkoordY">Protokoll!$N$6</definedName>
    <definedName name="ProtokollLängd">Protokoll!$H$19</definedName>
    <definedName name="ProtokollMaxdjup">Protokoll!$H$20</definedName>
    <definedName name="ProtokollMedelbredd">Protokoll!$R$20</definedName>
    <definedName name="ProtokollMedelyta">Protokoll!$AD$20</definedName>
    <definedName name="Protokollnivåhög">Protokoll!$V$29</definedName>
    <definedName name="Protokollnivålåg">Protokoll!$K$29</definedName>
    <definedName name="Protokollnivåmedel">Protokoll!$P$29</definedName>
    <definedName name="ProtokollTorryta">Protokoll!$T$19</definedName>
    <definedName name="ProtokollVdrnamn">Protokoll!$H$3</definedName>
    <definedName name="ProtokollVkoordX">Protokoll!$I$5</definedName>
    <definedName name="ProtokollVkoordY">Protokoll!$N$5</definedName>
    <definedName name="Protokollvåtbredd">Protokoll!$H$18</definedName>
    <definedName name="Utförare">Beräkningshjälp!$Y$2:$Y$1000</definedName>
    <definedName name="_xlnm.Print_Area" localSheetId="3">'Antal &amp; Längder (vikter)'!$A$1:$M$141</definedName>
    <definedName name="_xlnm.Print_Area" localSheetId="4">Artuppgifter!$C$1:$N$50</definedName>
    <definedName name="_xlnm.Print_Area" localSheetId="2">Frekvenstabell!$A$2:$D$43</definedName>
    <definedName name="_xlnm.Print_Area" localSheetId="1">Lokalbeskrivn!$A$1:$N$75</definedName>
    <definedName name="_xlnm.Print_Area" localSheetId="0">Protokoll!$A$1:$AE$108</definedName>
    <definedName name="_xlnm.Print_Titles" localSheetId="3">'Antal &amp; Längder (vikter)'!$1:$5</definedName>
    <definedName name="_xlnm.Print_Titles" localSheetId="4">Artuppgifter!$1:$26</definedName>
    <definedName name="X" comment="Lista_Kalkningstyp">Beräkningshjälp!$N$104:$N$105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7" i="21" l="1"/>
  <c r="G4" i="1" l="1"/>
  <c r="G7" i="21"/>
  <c r="L108" i="32"/>
  <c r="L107" i="32"/>
  <c r="L106" i="32"/>
  <c r="L105" i="32"/>
  <c r="L104" i="32"/>
  <c r="N108" i="32"/>
  <c r="N104" i="32"/>
  <c r="H110" i="32"/>
  <c r="F110" i="32"/>
  <c r="Q100" i="32"/>
  <c r="Q96" i="32"/>
  <c r="Q92" i="32"/>
  <c r="F94" i="32"/>
  <c r="F106" i="32"/>
  <c r="H106" i="32"/>
  <c r="H102" i="32"/>
  <c r="G98" i="32"/>
  <c r="F98" i="32"/>
  <c r="G94" i="32"/>
  <c r="D141" i="32"/>
  <c r="C141" i="32"/>
  <c r="B141" i="32"/>
  <c r="D140" i="32"/>
  <c r="C140" i="32"/>
  <c r="B140" i="32"/>
  <c r="D139" i="32"/>
  <c r="C139" i="32"/>
  <c r="B139" i="32"/>
  <c r="D136" i="32"/>
  <c r="C136" i="32"/>
  <c r="B136" i="32"/>
  <c r="D135" i="32"/>
  <c r="C135" i="32"/>
  <c r="B135" i="32"/>
  <c r="D134" i="32"/>
  <c r="C134" i="32"/>
  <c r="B134" i="32"/>
  <c r="D153" i="32"/>
  <c r="C153" i="32"/>
  <c r="B153" i="32"/>
  <c r="D152" i="32"/>
  <c r="C152" i="32"/>
  <c r="B152" i="32"/>
  <c r="D151" i="32"/>
  <c r="C151" i="32"/>
  <c r="B151" i="32"/>
  <c r="D150" i="32"/>
  <c r="C150" i="32"/>
  <c r="B150" i="32"/>
  <c r="D147" i="32"/>
  <c r="C147" i="32"/>
  <c r="B147" i="32"/>
  <c r="D146" i="32"/>
  <c r="C146" i="32"/>
  <c r="B146" i="32"/>
  <c r="D145" i="32"/>
  <c r="C145" i="32"/>
  <c r="B145" i="32"/>
  <c r="D144" i="32"/>
  <c r="C144" i="32"/>
  <c r="B144" i="32"/>
  <c r="D105" i="32"/>
  <c r="B105" i="32"/>
  <c r="A105" i="32"/>
  <c r="D104" i="32"/>
  <c r="B104" i="32"/>
  <c r="A104" i="32"/>
  <c r="D103" i="32"/>
  <c r="B103" i="32"/>
  <c r="A103" i="32"/>
  <c r="D100" i="32"/>
  <c r="C100" i="32"/>
  <c r="B100" i="32"/>
  <c r="A100" i="32"/>
  <c r="D99" i="32"/>
  <c r="C99" i="32"/>
  <c r="B99" i="32"/>
  <c r="A99" i="32"/>
  <c r="D98" i="32"/>
  <c r="C98" i="32"/>
  <c r="B98" i="32"/>
  <c r="A98" i="32"/>
  <c r="D95" i="32"/>
  <c r="C95" i="32"/>
  <c r="B95" i="32"/>
  <c r="A95" i="32"/>
  <c r="D94" i="32"/>
  <c r="C94" i="32"/>
  <c r="B94" i="32"/>
  <c r="A94" i="32"/>
  <c r="D93" i="32"/>
  <c r="C93" i="32"/>
  <c r="B93" i="32"/>
  <c r="A93" i="32"/>
  <c r="B46" i="1"/>
  <c r="BE7" i="21"/>
  <c r="B58" i="1"/>
  <c r="A46" i="1"/>
  <c r="K3" i="21"/>
  <c r="C44" i="21" s="1"/>
  <c r="J3" i="21"/>
  <c r="A3" i="21" s="1"/>
  <c r="H54" i="32"/>
  <c r="G54" i="32"/>
  <c r="F54" i="32" s="1"/>
  <c r="H53" i="32"/>
  <c r="F53" i="32" s="1"/>
  <c r="G53" i="32"/>
  <c r="H52" i="32"/>
  <c r="G52" i="32"/>
  <c r="F52" i="32" s="1"/>
  <c r="H51" i="32"/>
  <c r="F51" i="32" s="1"/>
  <c r="G51" i="32"/>
  <c r="H50" i="32"/>
  <c r="G50" i="32"/>
  <c r="F50" i="32" s="1"/>
  <c r="H49" i="32"/>
  <c r="F49" i="32" s="1"/>
  <c r="G49" i="32"/>
  <c r="H48" i="32"/>
  <c r="G48" i="32"/>
  <c r="F48" i="32" s="1"/>
  <c r="H47" i="32"/>
  <c r="F47" i="32" s="1"/>
  <c r="G47" i="32"/>
  <c r="H46" i="32"/>
  <c r="G46" i="32"/>
  <c r="F46" i="32" s="1"/>
  <c r="H45" i="32"/>
  <c r="F45" i="32" s="1"/>
  <c r="G45" i="32"/>
  <c r="H44" i="32"/>
  <c r="G44" i="32"/>
  <c r="F44" i="32" s="1"/>
  <c r="H43" i="32"/>
  <c r="F43" i="32" s="1"/>
  <c r="G43" i="32"/>
  <c r="H42" i="32"/>
  <c r="G42" i="32"/>
  <c r="F42" i="32" s="1"/>
  <c r="H41" i="32"/>
  <c r="F41" i="32" s="1"/>
  <c r="G41" i="32"/>
  <c r="H40" i="32"/>
  <c r="G40" i="32"/>
  <c r="F40" i="32" s="1"/>
  <c r="H39" i="32"/>
  <c r="F39" i="32" s="1"/>
  <c r="G39" i="32"/>
  <c r="H38" i="32"/>
  <c r="G38" i="32"/>
  <c r="F38" i="32" s="1"/>
  <c r="W6" i="51"/>
  <c r="W16" i="51" s="1"/>
  <c r="A34" i="1"/>
  <c r="D11" i="1"/>
  <c r="C11" i="1"/>
  <c r="L3" i="21"/>
  <c r="AE33" i="39"/>
  <c r="AB33" i="39"/>
  <c r="Y33" i="39"/>
  <c r="V33" i="39"/>
  <c r="P33" i="39"/>
  <c r="M33" i="39"/>
  <c r="O27" i="41"/>
  <c r="O26" i="41"/>
  <c r="O25" i="41"/>
  <c r="O24" i="41"/>
  <c r="O23" i="41"/>
  <c r="O22" i="41"/>
  <c r="O21" i="41"/>
  <c r="O20" i="41"/>
  <c r="O19" i="41"/>
  <c r="O18" i="41"/>
  <c r="O17" i="41"/>
  <c r="O16" i="41"/>
  <c r="O15" i="41"/>
  <c r="O14" i="41"/>
  <c r="O13" i="41"/>
  <c r="O12" i="41"/>
  <c r="O11" i="41"/>
  <c r="M64" i="32"/>
  <c r="AF35" i="39"/>
  <c r="AF34" i="39"/>
  <c r="M131" i="41"/>
  <c r="AI1066" i="32" s="1"/>
  <c r="K131" i="41"/>
  <c r="I131" i="41"/>
  <c r="G131" i="41"/>
  <c r="AH1020" i="32" s="1"/>
  <c r="AE1020" i="32" s="1"/>
  <c r="E131" i="41"/>
  <c r="AH994" i="32" s="1"/>
  <c r="C131" i="41"/>
  <c r="M116" i="41"/>
  <c r="K116" i="41"/>
  <c r="I116" i="41"/>
  <c r="G116" i="41"/>
  <c r="AI888" i="32" s="1"/>
  <c r="E116" i="41"/>
  <c r="C116" i="41"/>
  <c r="AI847" i="32" s="1"/>
  <c r="M101" i="41"/>
  <c r="K101" i="41"/>
  <c r="I101" i="41"/>
  <c r="G101" i="41"/>
  <c r="AI767" i="32" s="1"/>
  <c r="E101" i="41"/>
  <c r="C101" i="41"/>
  <c r="M86" i="41"/>
  <c r="AI710" i="32" s="1"/>
  <c r="K86" i="41"/>
  <c r="I86" i="41"/>
  <c r="G86" i="41"/>
  <c r="E86" i="41"/>
  <c r="C86" i="41"/>
  <c r="M71" i="41"/>
  <c r="K71" i="41"/>
  <c r="I71" i="41"/>
  <c r="G71" i="41"/>
  <c r="E71" i="41"/>
  <c r="C71" i="41"/>
  <c r="M56" i="41"/>
  <c r="AH480" i="32" s="1"/>
  <c r="AE480" i="32" s="1"/>
  <c r="K56" i="41"/>
  <c r="I56" i="41"/>
  <c r="G56" i="41"/>
  <c r="AI405" i="32" s="1"/>
  <c r="E56" i="41"/>
  <c r="C56" i="41"/>
  <c r="M41" i="41"/>
  <c r="K41" i="41"/>
  <c r="AH339" i="32" s="1"/>
  <c r="AE339" i="32" s="1"/>
  <c r="I41" i="41"/>
  <c r="AI306" i="32"/>
  <c r="G41" i="41"/>
  <c r="AI285" i="32" s="1"/>
  <c r="E41" i="41"/>
  <c r="AI265" i="32" s="1"/>
  <c r="C41" i="41"/>
  <c r="M26" i="41"/>
  <c r="K26" i="41"/>
  <c r="AI212" i="32" s="1"/>
  <c r="I26" i="41"/>
  <c r="G26" i="41"/>
  <c r="E26" i="41"/>
  <c r="C26" i="41"/>
  <c r="AI127" i="32" s="1"/>
  <c r="G3" i="21"/>
  <c r="J53" i="32"/>
  <c r="J51" i="32"/>
  <c r="J48" i="32"/>
  <c r="J46" i="32"/>
  <c r="L60" i="32"/>
  <c r="R60" i="32" s="1"/>
  <c r="K59" i="32"/>
  <c r="R59" i="32" s="1"/>
  <c r="L58" i="32"/>
  <c r="R58" i="32" s="1"/>
  <c r="K57" i="32"/>
  <c r="R57" i="32" s="1"/>
  <c r="L56" i="32"/>
  <c r="R56" i="32"/>
  <c r="K55" i="32"/>
  <c r="R55" i="32" s="1"/>
  <c r="L54" i="32"/>
  <c r="R54" i="32" s="1"/>
  <c r="K53" i="32"/>
  <c r="R53" i="32" s="1"/>
  <c r="L52" i="32"/>
  <c r="R52" i="32" s="1"/>
  <c r="K51" i="32"/>
  <c r="R51" i="32" s="1"/>
  <c r="L50" i="32"/>
  <c r="R50" i="32" s="1"/>
  <c r="K49" i="32"/>
  <c r="R49" i="32" s="1"/>
  <c r="L48" i="32"/>
  <c r="R48" i="32" s="1"/>
  <c r="K47" i="32"/>
  <c r="R47" i="32" s="1"/>
  <c r="L46" i="32"/>
  <c r="R46" i="32" s="1"/>
  <c r="K45" i="32"/>
  <c r="R45" i="32" s="1"/>
  <c r="L44" i="32"/>
  <c r="R44" i="32" s="1"/>
  <c r="K43" i="32"/>
  <c r="R43" i="32" s="1"/>
  <c r="L42" i="32"/>
  <c r="R42" i="32"/>
  <c r="K41" i="32"/>
  <c r="R41" i="32" s="1"/>
  <c r="L40" i="32"/>
  <c r="R40" i="32" s="1"/>
  <c r="K39" i="32"/>
  <c r="R39" i="32" s="1"/>
  <c r="L38" i="32"/>
  <c r="R38" i="32"/>
  <c r="K37" i="32"/>
  <c r="R37" i="32" s="1"/>
  <c r="L36" i="32"/>
  <c r="R36" i="32" s="1"/>
  <c r="K35" i="32"/>
  <c r="R35" i="32" s="1"/>
  <c r="L34" i="32"/>
  <c r="R34" i="32"/>
  <c r="K33" i="32"/>
  <c r="R33" i="32" s="1"/>
  <c r="L32" i="32"/>
  <c r="R32" i="32" s="1"/>
  <c r="K31" i="32"/>
  <c r="R31" i="32" s="1"/>
  <c r="L30" i="32"/>
  <c r="R30" i="32"/>
  <c r="K29" i="32"/>
  <c r="R29" i="32" s="1"/>
  <c r="L28" i="32"/>
  <c r="R28" i="32" s="1"/>
  <c r="K27" i="32"/>
  <c r="R27" i="32" s="1"/>
  <c r="L26" i="32"/>
  <c r="R26" i="32"/>
  <c r="K25" i="32"/>
  <c r="R25" i="32" s="1"/>
  <c r="L24" i="32"/>
  <c r="K23" i="32"/>
  <c r="R23" i="32" s="1"/>
  <c r="L22" i="32"/>
  <c r="R22" i="32" s="1"/>
  <c r="K21" i="32"/>
  <c r="R21" i="32" s="1"/>
  <c r="L20" i="32"/>
  <c r="R20" i="32" s="1"/>
  <c r="K19" i="32"/>
  <c r="R19" i="32" s="1"/>
  <c r="L18" i="32"/>
  <c r="R18" i="32" s="1"/>
  <c r="K17" i="32"/>
  <c r="R17" i="32" s="1"/>
  <c r="L16" i="32"/>
  <c r="R16" i="32" s="1"/>
  <c r="K15" i="32"/>
  <c r="R15" i="32" s="1"/>
  <c r="L14" i="32"/>
  <c r="R14" i="32" s="1"/>
  <c r="K13" i="32"/>
  <c r="R13" i="32" s="1"/>
  <c r="L12" i="32"/>
  <c r="R12" i="32" s="1"/>
  <c r="K11" i="32"/>
  <c r="R11" i="32" s="1"/>
  <c r="L10" i="32"/>
  <c r="R10" i="32" s="1"/>
  <c r="K9" i="32"/>
  <c r="R9" i="32" s="1"/>
  <c r="L8" i="32"/>
  <c r="R8" i="32" s="1"/>
  <c r="K7" i="32"/>
  <c r="R7" i="32" s="1"/>
  <c r="L6" i="32"/>
  <c r="R6" i="32" s="1"/>
  <c r="K5" i="32"/>
  <c r="R5" i="32" s="1"/>
  <c r="L4" i="32"/>
  <c r="R4" i="32" s="1"/>
  <c r="K3" i="32"/>
  <c r="R3" i="32" s="1"/>
  <c r="L2" i="32"/>
  <c r="R2" i="32" s="1"/>
  <c r="N26" i="51"/>
  <c r="AH70" i="32"/>
  <c r="AH1051" i="32"/>
  <c r="O9" i="51"/>
  <c r="O8" i="51"/>
  <c r="AH3" i="32"/>
  <c r="AH1072" i="32"/>
  <c r="AH1071" i="32"/>
  <c r="AH1070" i="32"/>
  <c r="AE1070" i="32"/>
  <c r="AH1069" i="32"/>
  <c r="AH1068" i="32"/>
  <c r="AE1068" i="32" s="1"/>
  <c r="AH1067" i="32"/>
  <c r="AE1067" i="32" s="1"/>
  <c r="AF1067" i="32" s="1"/>
  <c r="AG1067" i="32" s="1"/>
  <c r="AH1066" i="32"/>
  <c r="AH1065" i="32"/>
  <c r="AE1065" i="32" s="1"/>
  <c r="AH1064" i="32"/>
  <c r="AE1064" i="32" s="1"/>
  <c r="AI1064" i="32"/>
  <c r="AH1063" i="32"/>
  <c r="AB1063" i="32" s="1"/>
  <c r="AH1052" i="32"/>
  <c r="AE1052" i="32"/>
  <c r="AF1052" i="32" s="1"/>
  <c r="AG1052" i="32" s="1"/>
  <c r="AC1052" i="32" s="1"/>
  <c r="AH1050" i="32"/>
  <c r="AE1050" i="32" s="1"/>
  <c r="AF1050" i="32" s="1"/>
  <c r="AG1050" i="32" s="1"/>
  <c r="AH1049" i="32"/>
  <c r="AH1048" i="32"/>
  <c r="AH1047" i="32"/>
  <c r="AH1046" i="32"/>
  <c r="AH1045" i="32"/>
  <c r="AH1044" i="32"/>
  <c r="AE1044" i="32" s="1"/>
  <c r="AH1043" i="32"/>
  <c r="AH1032" i="32"/>
  <c r="AE1032" i="32" s="1"/>
  <c r="AH1031" i="32"/>
  <c r="AE1031" i="32" s="1"/>
  <c r="AH1030" i="32"/>
  <c r="AH1029" i="32"/>
  <c r="AH1028" i="32"/>
  <c r="AE1028" i="32" s="1"/>
  <c r="AF1028" i="32" s="1"/>
  <c r="AG1028" i="32" s="1"/>
  <c r="AH1027" i="32"/>
  <c r="AE1027" i="32" s="1"/>
  <c r="AH1026" i="32"/>
  <c r="AE1026" i="32" s="1"/>
  <c r="AI1026" i="32"/>
  <c r="AH1025" i="32"/>
  <c r="AE1025" i="32" s="1"/>
  <c r="AF1025" i="32" s="1"/>
  <c r="AG1025" i="32" s="1"/>
  <c r="AC1025" i="32" s="1"/>
  <c r="AH1024" i="32"/>
  <c r="AE1024" i="32" s="1"/>
  <c r="AH1023" i="32"/>
  <c r="AE1023" i="32"/>
  <c r="AH1012" i="32"/>
  <c r="AH1011" i="32"/>
  <c r="AI1011" i="32"/>
  <c r="AH1010" i="32"/>
  <c r="AE1010" i="32" s="1"/>
  <c r="AF1010" i="32" s="1"/>
  <c r="AG1010" i="32" s="1"/>
  <c r="AC1010" i="32" s="1"/>
  <c r="AH1009" i="32"/>
  <c r="AH1008" i="32"/>
  <c r="AE1008" i="32" s="1"/>
  <c r="AF1008" i="32" s="1"/>
  <c r="AG1008" i="32" s="1"/>
  <c r="AH1007" i="32"/>
  <c r="AE1007" i="32"/>
  <c r="AH1006" i="32"/>
  <c r="AE1006" i="32" s="1"/>
  <c r="AH1005" i="32"/>
  <c r="AE1005" i="32"/>
  <c r="AH1004" i="32"/>
  <c r="AE1004" i="32"/>
  <c r="AF1004" i="32" s="1"/>
  <c r="AG1004" i="32"/>
  <c r="AH1003" i="32"/>
  <c r="AE1003" i="32" s="1"/>
  <c r="AH992" i="32"/>
  <c r="AE992" i="32" s="1"/>
  <c r="AH991" i="32"/>
  <c r="AH990" i="32"/>
  <c r="AE990" i="32" s="1"/>
  <c r="AF990" i="32" s="1"/>
  <c r="AG990" i="32" s="1"/>
  <c r="AH989" i="32"/>
  <c r="AH988" i="32"/>
  <c r="AE988" i="32" s="1"/>
  <c r="AI988" i="32"/>
  <c r="AH987" i="32"/>
  <c r="AH986" i="32"/>
  <c r="AE986" i="32" s="1"/>
  <c r="AH985" i="32"/>
  <c r="AE985" i="32" s="1"/>
  <c r="AH984" i="32"/>
  <c r="AE984" i="32" s="1"/>
  <c r="AH983" i="32"/>
  <c r="AB983" i="32" s="1"/>
  <c r="AH972" i="32"/>
  <c r="AE972" i="32"/>
  <c r="AH971" i="32"/>
  <c r="AH970" i="32"/>
  <c r="AH969" i="32"/>
  <c r="AH968" i="32"/>
  <c r="AH967" i="32"/>
  <c r="AE967" i="32" s="1"/>
  <c r="AH966" i="32"/>
  <c r="AE966" i="32" s="1"/>
  <c r="AF966" i="32" s="1"/>
  <c r="AG966" i="32" s="1"/>
  <c r="AH965" i="32"/>
  <c r="AH964" i="32"/>
  <c r="AE964" i="32"/>
  <c r="AH963" i="32"/>
  <c r="AB963" i="32" s="1"/>
  <c r="AB964" i="32" s="1"/>
  <c r="AB965" i="32" s="1"/>
  <c r="AH952" i="32"/>
  <c r="AE952" i="32"/>
  <c r="AI952" i="32"/>
  <c r="AH951" i="32"/>
  <c r="AE951" i="32"/>
  <c r="AI951" i="32"/>
  <c r="AH950" i="32"/>
  <c r="AH949" i="32"/>
  <c r="AE949" i="32" s="1"/>
  <c r="AI949" i="32"/>
  <c r="AH948" i="32"/>
  <c r="AH947" i="32"/>
  <c r="AH946" i="32"/>
  <c r="AE946" i="32"/>
  <c r="AI946" i="32"/>
  <c r="AH945" i="32"/>
  <c r="AH944" i="32"/>
  <c r="AH943" i="32"/>
  <c r="AH932" i="32"/>
  <c r="AE932" i="32" s="1"/>
  <c r="AH931" i="32"/>
  <c r="AH930" i="32"/>
  <c r="AH929" i="32"/>
  <c r="AE929" i="32" s="1"/>
  <c r="AH928" i="32"/>
  <c r="AE928" i="32"/>
  <c r="AH927" i="32"/>
  <c r="AH926" i="32"/>
  <c r="AH925" i="32"/>
  <c r="AE925" i="32"/>
  <c r="AF925" i="32" s="1"/>
  <c r="AG925" i="32" s="1"/>
  <c r="AH924" i="32"/>
  <c r="AH923" i="32"/>
  <c r="AE923" i="32"/>
  <c r="AH912" i="32"/>
  <c r="AH911" i="32"/>
  <c r="AH910" i="32"/>
  <c r="AE910" i="32"/>
  <c r="AH909" i="32"/>
  <c r="AE909" i="32" s="1"/>
  <c r="AH908" i="32"/>
  <c r="AH907" i="32"/>
  <c r="AE907" i="32" s="1"/>
  <c r="AH906" i="32"/>
  <c r="AE906" i="32" s="1"/>
  <c r="AH905" i="32"/>
  <c r="AH904" i="32"/>
  <c r="AE904" i="32"/>
  <c r="AH903" i="32"/>
  <c r="AH892" i="32"/>
  <c r="AE892" i="32" s="1"/>
  <c r="AH891" i="32"/>
  <c r="AE891" i="32" s="1"/>
  <c r="AH890" i="32"/>
  <c r="AI890" i="32"/>
  <c r="AH889" i="32"/>
  <c r="AE889" i="32" s="1"/>
  <c r="AH888" i="32"/>
  <c r="AE888" i="32" s="1"/>
  <c r="AF888" i="32" s="1"/>
  <c r="AG888" i="32" s="1"/>
  <c r="AH887" i="32"/>
  <c r="AE887" i="32" s="1"/>
  <c r="AI887" i="32"/>
  <c r="AH886" i="32"/>
  <c r="AE886" i="32" s="1"/>
  <c r="AH885" i="32"/>
  <c r="AH884" i="32"/>
  <c r="AH883" i="32"/>
  <c r="AB883" i="32" s="1"/>
  <c r="AB884" i="32" s="1"/>
  <c r="AB885" i="32" s="1"/>
  <c r="AH872" i="32"/>
  <c r="AE872" i="32"/>
  <c r="AH871" i="32"/>
  <c r="AE871" i="32" s="1"/>
  <c r="AH870" i="32"/>
  <c r="AE870" i="32" s="1"/>
  <c r="AF870" i="32" s="1"/>
  <c r="AG870" i="32" s="1"/>
  <c r="AH869" i="32"/>
  <c r="AE869" i="32" s="1"/>
  <c r="AH868" i="32"/>
  <c r="AE868" i="32" s="1"/>
  <c r="AH867" i="32"/>
  <c r="AE867" i="32" s="1"/>
  <c r="AH866" i="32"/>
  <c r="AE866" i="32" s="1"/>
  <c r="AH865" i="32"/>
  <c r="AH864" i="32"/>
  <c r="AE864" i="32" s="1"/>
  <c r="AF864" i="32" s="1"/>
  <c r="AG864" i="32" s="1"/>
  <c r="AH863" i="32"/>
  <c r="AE863" i="32" s="1"/>
  <c r="AH852" i="32"/>
  <c r="AH851" i="32"/>
  <c r="AH850" i="32"/>
  <c r="AE850" i="32"/>
  <c r="AH849" i="32"/>
  <c r="AE849" i="32" s="1"/>
  <c r="AF849" i="32" s="1"/>
  <c r="AG849" i="32" s="1"/>
  <c r="AH848" i="32"/>
  <c r="AE848" i="32" s="1"/>
  <c r="AH847" i="32"/>
  <c r="AE847" i="32" s="1"/>
  <c r="AH846" i="32"/>
  <c r="AE846" i="32" s="1"/>
  <c r="AH845" i="32"/>
  <c r="AE845" i="32"/>
  <c r="AI845" i="32"/>
  <c r="AH844" i="32"/>
  <c r="AH843" i="32"/>
  <c r="AH832" i="32"/>
  <c r="AH831" i="32"/>
  <c r="AE831" i="32" s="1"/>
  <c r="AF831" i="32" s="1"/>
  <c r="AG831" i="32" s="1"/>
  <c r="AH830" i="32"/>
  <c r="AE830" i="32"/>
  <c r="AH829" i="32"/>
  <c r="AH828" i="32"/>
  <c r="AE828" i="32" s="1"/>
  <c r="AF828" i="32" s="1"/>
  <c r="AG828" i="32" s="1"/>
  <c r="AC828" i="32" s="1"/>
  <c r="AI828" i="32"/>
  <c r="AH827" i="32"/>
  <c r="AH826" i="32"/>
  <c r="AH825" i="32"/>
  <c r="AH824" i="32"/>
  <c r="AH823" i="32"/>
  <c r="AH812" i="32"/>
  <c r="AH811" i="32"/>
  <c r="AE811" i="32" s="1"/>
  <c r="AH810" i="32"/>
  <c r="AE810" i="32"/>
  <c r="AI810" i="32"/>
  <c r="AH809" i="32"/>
  <c r="AH808" i="32"/>
  <c r="AE808" i="32"/>
  <c r="AH807" i="32"/>
  <c r="AE807" i="32" s="1"/>
  <c r="AH806" i="32"/>
  <c r="AH805" i="32"/>
  <c r="AE805" i="32" s="1"/>
  <c r="AF805" i="32" s="1"/>
  <c r="AG805" i="32" s="1"/>
  <c r="AC805" i="32" s="1"/>
  <c r="AH804" i="32"/>
  <c r="AH803" i="32"/>
  <c r="AH792" i="32"/>
  <c r="AH791" i="32"/>
  <c r="AE791" i="32" s="1"/>
  <c r="AF791" i="32" s="1"/>
  <c r="AG791" i="32" s="1"/>
  <c r="AH790" i="32"/>
  <c r="AE790" i="32" s="1"/>
  <c r="AF790" i="32" s="1"/>
  <c r="AG790" i="32" s="1"/>
  <c r="AH789" i="32"/>
  <c r="AE789" i="32" s="1"/>
  <c r="AH788" i="32"/>
  <c r="AH787" i="32"/>
  <c r="AE787" i="32" s="1"/>
  <c r="AH786" i="32"/>
  <c r="AE786" i="32" s="1"/>
  <c r="AH785" i="32"/>
  <c r="AH784" i="32"/>
  <c r="AE784" i="32" s="1"/>
  <c r="AH783" i="32"/>
  <c r="AH772" i="32"/>
  <c r="AH771" i="32"/>
  <c r="AH770" i="32"/>
  <c r="AH769" i="32"/>
  <c r="AE769" i="32" s="1"/>
  <c r="AF769" i="32" s="1"/>
  <c r="AG769" i="32" s="1"/>
  <c r="AH768" i="32"/>
  <c r="AH767" i="32"/>
  <c r="AE767" i="32" s="1"/>
  <c r="AH766" i="32"/>
  <c r="AE766" i="32" s="1"/>
  <c r="AH765" i="32"/>
  <c r="AH764" i="32"/>
  <c r="AE764" i="32"/>
  <c r="AH763" i="32"/>
  <c r="AE763" i="32" s="1"/>
  <c r="AI763" i="32"/>
  <c r="AH752" i="32"/>
  <c r="AE752" i="32" s="1"/>
  <c r="AH751" i="32"/>
  <c r="AE751" i="32"/>
  <c r="AF751" i="32" s="1"/>
  <c r="AG751" i="32" s="1"/>
  <c r="AI751" i="32"/>
  <c r="AH750" i="32"/>
  <c r="AH749" i="32"/>
  <c r="AE749" i="32" s="1"/>
  <c r="AF749" i="32" s="1"/>
  <c r="AG749" i="32" s="1"/>
  <c r="AC749" i="32" s="1"/>
  <c r="AH748" i="32"/>
  <c r="AH747" i="32"/>
  <c r="AH746" i="32"/>
  <c r="AH745" i="32"/>
  <c r="AH744" i="32"/>
  <c r="AH743" i="32"/>
  <c r="AE743" i="32" s="1"/>
  <c r="AF743" i="32" s="1"/>
  <c r="AG743" i="32" s="1"/>
  <c r="AC743" i="32" s="1"/>
  <c r="AI743" i="32"/>
  <c r="AH732" i="32"/>
  <c r="AE732" i="32" s="1"/>
  <c r="AF732" i="32"/>
  <c r="AG732" i="32" s="1"/>
  <c r="AH731" i="32"/>
  <c r="AH730" i="32"/>
  <c r="AH729" i="32"/>
  <c r="AE729" i="32" s="1"/>
  <c r="AF729" i="32" s="1"/>
  <c r="AG729" i="32" s="1"/>
  <c r="AH728" i="32"/>
  <c r="AH727" i="32"/>
  <c r="AE727" i="32" s="1"/>
  <c r="AF727" i="32" s="1"/>
  <c r="AG727" i="32" s="1"/>
  <c r="AH726" i="32"/>
  <c r="AE726" i="32" s="1"/>
  <c r="AH725" i="32"/>
  <c r="AH724" i="32"/>
  <c r="AH723" i="32"/>
  <c r="AB723" i="32" s="1"/>
  <c r="AB724" i="32" s="1"/>
  <c r="AH712" i="32"/>
  <c r="AI712" i="32"/>
  <c r="AH711" i="32"/>
  <c r="AE711" i="32" s="1"/>
  <c r="AH710" i="32"/>
  <c r="AH709" i="32"/>
  <c r="AH708" i="32"/>
  <c r="AE708" i="32"/>
  <c r="AH707" i="32"/>
  <c r="AE707" i="32"/>
  <c r="AF707" i="32" s="1"/>
  <c r="AG707" i="32" s="1"/>
  <c r="AC707" i="32" s="1"/>
  <c r="AH706" i="32"/>
  <c r="AE706" i="32" s="1"/>
  <c r="AH705" i="32"/>
  <c r="AE705" i="32" s="1"/>
  <c r="AH704" i="32"/>
  <c r="AE704" i="32" s="1"/>
  <c r="AH703" i="32"/>
  <c r="AB703" i="32"/>
  <c r="AB704" i="32" s="1"/>
  <c r="AH692" i="32"/>
  <c r="AH691" i="32"/>
  <c r="AE691" i="32" s="1"/>
  <c r="AF691" i="32" s="1"/>
  <c r="AG691" i="32" s="1"/>
  <c r="AC691" i="32" s="1"/>
  <c r="AH690" i="32"/>
  <c r="AH689" i="32"/>
  <c r="AE689" i="32" s="1"/>
  <c r="AH688" i="32"/>
  <c r="AH687" i="32"/>
  <c r="AE687" i="32" s="1"/>
  <c r="AH686" i="32"/>
  <c r="AH685" i="32"/>
  <c r="AE685" i="32"/>
  <c r="AF685" i="32" s="1"/>
  <c r="AG685" i="32" s="1"/>
  <c r="AH684" i="32"/>
  <c r="AH683" i="32"/>
  <c r="AE683" i="32" s="1"/>
  <c r="AF683" i="32" s="1"/>
  <c r="AG683" i="32" s="1"/>
  <c r="AH672" i="32"/>
  <c r="AH671" i="32"/>
  <c r="AE671" i="32" s="1"/>
  <c r="AI671" i="32"/>
  <c r="AH670" i="32"/>
  <c r="AE670" i="32"/>
  <c r="AF670" i="32" s="1"/>
  <c r="AG670" i="32" s="1"/>
  <c r="AH669" i="32"/>
  <c r="AH668" i="32"/>
  <c r="AE668" i="32" s="1"/>
  <c r="AH667" i="32"/>
  <c r="AH666" i="32"/>
  <c r="AH665" i="32"/>
  <c r="AH664" i="32"/>
  <c r="AE664" i="32"/>
  <c r="AI664" i="32"/>
  <c r="AH663" i="32"/>
  <c r="AH652" i="32"/>
  <c r="AE652" i="32" s="1"/>
  <c r="AF652" i="32" s="1"/>
  <c r="AG652" i="32" s="1"/>
  <c r="AC652" i="32" s="1"/>
  <c r="AH651" i="32"/>
  <c r="AE651" i="32" s="1"/>
  <c r="AH650" i="32"/>
  <c r="AE650" i="32" s="1"/>
  <c r="AH649" i="32"/>
  <c r="AE649" i="32" s="1"/>
  <c r="AF649" i="32" s="1"/>
  <c r="AG649" i="32" s="1"/>
  <c r="AH648" i="32"/>
  <c r="AE648" i="32" s="1"/>
  <c r="AH647" i="32"/>
  <c r="AH646" i="32"/>
  <c r="AH645" i="32"/>
  <c r="AH644" i="32"/>
  <c r="AE644" i="32" s="1"/>
  <c r="AH643" i="32"/>
  <c r="AE643" i="32" s="1"/>
  <c r="AF643" i="32" s="1"/>
  <c r="AG643" i="32" s="1"/>
  <c r="AH632" i="32"/>
  <c r="AE632" i="32" s="1"/>
  <c r="AH631" i="32"/>
  <c r="AE631" i="32" s="1"/>
  <c r="AF631" i="32" s="1"/>
  <c r="AG631" i="32" s="1"/>
  <c r="AC631" i="32" s="1"/>
  <c r="AI631" i="32"/>
  <c r="AH630" i="32"/>
  <c r="AE630" i="32" s="1"/>
  <c r="AH629" i="32"/>
  <c r="AE629" i="32" s="1"/>
  <c r="AI629" i="32"/>
  <c r="AH628" i="32"/>
  <c r="AE628" i="32" s="1"/>
  <c r="AH627" i="32"/>
  <c r="AE627" i="32" s="1"/>
  <c r="AH626" i="32"/>
  <c r="AH625" i="32"/>
  <c r="AH624" i="32"/>
  <c r="AE624" i="32" s="1"/>
  <c r="AH623" i="32"/>
  <c r="AB623" i="32" s="1"/>
  <c r="AB624" i="32" s="1"/>
  <c r="AH612" i="32"/>
  <c r="AH611" i="32"/>
  <c r="AE611" i="32" s="1"/>
  <c r="AH610" i="32"/>
  <c r="AI610" i="32"/>
  <c r="AH609" i="32"/>
  <c r="AH608" i="32"/>
  <c r="AH607" i="32"/>
  <c r="AH606" i="32"/>
  <c r="AH605" i="32"/>
  <c r="AE605" i="32" s="1"/>
  <c r="AF605" i="32" s="1"/>
  <c r="AG605" i="32" s="1"/>
  <c r="AH604" i="32"/>
  <c r="AH603" i="32"/>
  <c r="AH592" i="32"/>
  <c r="AE592" i="32" s="1"/>
  <c r="AH591" i="32"/>
  <c r="AH590" i="32"/>
  <c r="AH589" i="32"/>
  <c r="AH588" i="32"/>
  <c r="AE588" i="32"/>
  <c r="AH587" i="32"/>
  <c r="AE587" i="32" s="1"/>
  <c r="AH586" i="32"/>
  <c r="AH585" i="32"/>
  <c r="AE585" i="32" s="1"/>
  <c r="AH584" i="32"/>
  <c r="AE584" i="32" s="1"/>
  <c r="AI584" i="32"/>
  <c r="AH583" i="32"/>
  <c r="AE583" i="32" s="1"/>
  <c r="AB583" i="32"/>
  <c r="AB584" i="32" s="1"/>
  <c r="AI583" i="32"/>
  <c r="AH572" i="32"/>
  <c r="AH571" i="32"/>
  <c r="AH570" i="32"/>
  <c r="AE570" i="32"/>
  <c r="AH569" i="32"/>
  <c r="AE569" i="32" s="1"/>
  <c r="AH568" i="32"/>
  <c r="AE568" i="32"/>
  <c r="AH567" i="32"/>
  <c r="AH566" i="32"/>
  <c r="AE566" i="32" s="1"/>
  <c r="AH565" i="32"/>
  <c r="AE565" i="32" s="1"/>
  <c r="AH564" i="32"/>
  <c r="AH563" i="32"/>
  <c r="AE563" i="32" s="1"/>
  <c r="AH552" i="32"/>
  <c r="AE552" i="32"/>
  <c r="AF552" i="32" s="1"/>
  <c r="AG552" i="32" s="1"/>
  <c r="AH551" i="32"/>
  <c r="AE551" i="32" s="1"/>
  <c r="AH550" i="32"/>
  <c r="AE550" i="32" s="1"/>
  <c r="AH549" i="32"/>
  <c r="AH548" i="32"/>
  <c r="AH547" i="32"/>
  <c r="AE547" i="32" s="1"/>
  <c r="AH546" i="32"/>
  <c r="AH545" i="32"/>
  <c r="AE545" i="32" s="1"/>
  <c r="AH544" i="32"/>
  <c r="AH543" i="32"/>
  <c r="AB543" i="32" s="1"/>
  <c r="AH532" i="32"/>
  <c r="AE532" i="32" s="1"/>
  <c r="AF532" i="32" s="1"/>
  <c r="AG532" i="32" s="1"/>
  <c r="AI532" i="32"/>
  <c r="AH531" i="32"/>
  <c r="AE531" i="32" s="1"/>
  <c r="AF531" i="32" s="1"/>
  <c r="AG531" i="32" s="1"/>
  <c r="AC531" i="32" s="1"/>
  <c r="AI531" i="32"/>
  <c r="AH530" i="32"/>
  <c r="AI530" i="32"/>
  <c r="AH529" i="32"/>
  <c r="AH528" i="32"/>
  <c r="AE528" i="32"/>
  <c r="AH527" i="32"/>
  <c r="AH526" i="32"/>
  <c r="AH525" i="32"/>
  <c r="AE525" i="32"/>
  <c r="AH524" i="32"/>
  <c r="AH523" i="32"/>
  <c r="AE523" i="32" s="1"/>
  <c r="AH512" i="32"/>
  <c r="AE512" i="32" s="1"/>
  <c r="AH511" i="32"/>
  <c r="AH510" i="32"/>
  <c r="AE510" i="32"/>
  <c r="AI510" i="32"/>
  <c r="AH509" i="32"/>
  <c r="AE509" i="32" s="1"/>
  <c r="AH508" i="32"/>
  <c r="AE508" i="32"/>
  <c r="AH507" i="32"/>
  <c r="AH506" i="32"/>
  <c r="AH505" i="32"/>
  <c r="AE505" i="32"/>
  <c r="AH504" i="32"/>
  <c r="AH503" i="32"/>
  <c r="AB503" i="32" s="1"/>
  <c r="AB504" i="32" s="1"/>
  <c r="AH492" i="32"/>
  <c r="AE492" i="32" s="1"/>
  <c r="AH491" i="32"/>
  <c r="AH490" i="32"/>
  <c r="AE490" i="32" s="1"/>
  <c r="AH489" i="32"/>
  <c r="AH488" i="32"/>
  <c r="AE488" i="32" s="1"/>
  <c r="AH487" i="32"/>
  <c r="AE487" i="32" s="1"/>
  <c r="AH486" i="32"/>
  <c r="AH485" i="32"/>
  <c r="AH484" i="32"/>
  <c r="AE484" i="32" s="1"/>
  <c r="AH483" i="32"/>
  <c r="AB483" i="32"/>
  <c r="AB484" i="32" s="1"/>
  <c r="AH472" i="32"/>
  <c r="AH471" i="32"/>
  <c r="AE471" i="32" s="1"/>
  <c r="AF471" i="32" s="1"/>
  <c r="AG471" i="32" s="1"/>
  <c r="AH470" i="32"/>
  <c r="AH469" i="32"/>
  <c r="AE469" i="32" s="1"/>
  <c r="AH468" i="32"/>
  <c r="AE468" i="32" s="1"/>
  <c r="AH467" i="32"/>
  <c r="AH466" i="32"/>
  <c r="AE466" i="32" s="1"/>
  <c r="AI466" i="32"/>
  <c r="AH465" i="32"/>
  <c r="AE465" i="32" s="1"/>
  <c r="AH464" i="32"/>
  <c r="AE464" i="32" s="1"/>
  <c r="AH463" i="32"/>
  <c r="AH452" i="32"/>
  <c r="AE452" i="32" s="1"/>
  <c r="AH451" i="32"/>
  <c r="AE451" i="32" s="1"/>
  <c r="AF451" i="32" s="1"/>
  <c r="AG451" i="32" s="1"/>
  <c r="AH450" i="32"/>
  <c r="AH449" i="32"/>
  <c r="AH448" i="32"/>
  <c r="AE448" i="32" s="1"/>
  <c r="AF448" i="32" s="1"/>
  <c r="AG448" i="32" s="1"/>
  <c r="AC448" i="32" s="1"/>
  <c r="AI448" i="32"/>
  <c r="AH447" i="32"/>
  <c r="AE447" i="32"/>
  <c r="AF447" i="32" s="1"/>
  <c r="AG447" i="32" s="1"/>
  <c r="AC447" i="32" s="1"/>
  <c r="AI447" i="32"/>
  <c r="AH446" i="32"/>
  <c r="AE446" i="32"/>
  <c r="AI446" i="32"/>
  <c r="AH445" i="32"/>
  <c r="AH444" i="32"/>
  <c r="AH443" i="32"/>
  <c r="AB443" i="32" s="1"/>
  <c r="AB444" i="32" s="1"/>
  <c r="AB445" i="32" s="1"/>
  <c r="AH432" i="32"/>
  <c r="AE432" i="32" s="1"/>
  <c r="AH431" i="32"/>
  <c r="AE431" i="32" s="1"/>
  <c r="AF431" i="32" s="1"/>
  <c r="AG431" i="32" s="1"/>
  <c r="AH430" i="32"/>
  <c r="AE430" i="32" s="1"/>
  <c r="AH429" i="32"/>
  <c r="AE429" i="32" s="1"/>
  <c r="AH428" i="32"/>
  <c r="AE428" i="32" s="1"/>
  <c r="AH427" i="32"/>
  <c r="AH426" i="32"/>
  <c r="AE426" i="32" s="1"/>
  <c r="AH425" i="32"/>
  <c r="AH424" i="32"/>
  <c r="AE424" i="32" s="1"/>
  <c r="AH423" i="32"/>
  <c r="AH412" i="32"/>
  <c r="AH411" i="32"/>
  <c r="AE411" i="32" s="1"/>
  <c r="AH410" i="32"/>
  <c r="AE410" i="32" s="1"/>
  <c r="AF410" i="32" s="1"/>
  <c r="AG410" i="32" s="1"/>
  <c r="AC410" i="32" s="1"/>
  <c r="AH409" i="32"/>
  <c r="AE409" i="32" s="1"/>
  <c r="AF409" i="32"/>
  <c r="AG409" i="32" s="1"/>
  <c r="AI409" i="32"/>
  <c r="AH408" i="32"/>
  <c r="AH407" i="32"/>
  <c r="AE407" i="32" s="1"/>
  <c r="AH406" i="32"/>
  <c r="AH405" i="32"/>
  <c r="AH404" i="32"/>
  <c r="AH403" i="32"/>
  <c r="AE403" i="32" s="1"/>
  <c r="AH392" i="32"/>
  <c r="AH391" i="32"/>
  <c r="AE391" i="32" s="1"/>
  <c r="AF391" i="32" s="1"/>
  <c r="AG391" i="32" s="1"/>
  <c r="AH390" i="32"/>
  <c r="AE390" i="32" s="1"/>
  <c r="AH389" i="32"/>
  <c r="AH388" i="32"/>
  <c r="AE388" i="32" s="1"/>
  <c r="AI388" i="32"/>
  <c r="AH387" i="32"/>
  <c r="AH386" i="32"/>
  <c r="AE386" i="32" s="1"/>
  <c r="AH385" i="32"/>
  <c r="AH384" i="32"/>
  <c r="AE384" i="32" s="1"/>
  <c r="AI384" i="32"/>
  <c r="AH383" i="32"/>
  <c r="AB383" i="32" s="1"/>
  <c r="AH372" i="32"/>
  <c r="AE372" i="32"/>
  <c r="AF372" i="32" s="1"/>
  <c r="AG372" i="32" s="1"/>
  <c r="AC372" i="32" s="1"/>
  <c r="AI372" i="32"/>
  <c r="AH371" i="32"/>
  <c r="AE371" i="32"/>
  <c r="AH370" i="32"/>
  <c r="AH369" i="32"/>
  <c r="AI369" i="32"/>
  <c r="AH368" i="32"/>
  <c r="AE368" i="32" s="1"/>
  <c r="AF368" i="32" s="1"/>
  <c r="AG368" i="32" s="1"/>
  <c r="AH367" i="32"/>
  <c r="AE367" i="32" s="1"/>
  <c r="AH366" i="32"/>
  <c r="AH365" i="32"/>
  <c r="AE365" i="32" s="1"/>
  <c r="AH364" i="32"/>
  <c r="AE364" i="32" s="1"/>
  <c r="AF364" i="32" s="1"/>
  <c r="AG364" i="32" s="1"/>
  <c r="AH363" i="32"/>
  <c r="AB363" i="32" s="1"/>
  <c r="AH352" i="32"/>
  <c r="AH351" i="32"/>
  <c r="AE351" i="32" s="1"/>
  <c r="AH350" i="32"/>
  <c r="AH349" i="32"/>
  <c r="AH348" i="32"/>
  <c r="AE348" i="32"/>
  <c r="AH347" i="32"/>
  <c r="AE347" i="32" s="1"/>
  <c r="AH346" i="32"/>
  <c r="AE346" i="32" s="1"/>
  <c r="AF346" i="32" s="1"/>
  <c r="AG346" i="32" s="1"/>
  <c r="AH345" i="32"/>
  <c r="AE345" i="32" s="1"/>
  <c r="AH344" i="32"/>
  <c r="AE344" i="32" s="1"/>
  <c r="AF344" i="32" s="1"/>
  <c r="AG344" i="32" s="1"/>
  <c r="AH343" i="32"/>
  <c r="AB343" i="32" s="1"/>
  <c r="AB344" i="32" s="1"/>
  <c r="AH332" i="32"/>
  <c r="AE332" i="32" s="1"/>
  <c r="AI332" i="32"/>
  <c r="AH331" i="32"/>
  <c r="AE331" i="32"/>
  <c r="AI331" i="32"/>
  <c r="AH330" i="32"/>
  <c r="AH329" i="32"/>
  <c r="AH328" i="32"/>
  <c r="AE328" i="32" s="1"/>
  <c r="AI328" i="32"/>
  <c r="AH327" i="32"/>
  <c r="AE327" i="32"/>
  <c r="AF327" i="32" s="1"/>
  <c r="AG327" i="32" s="1"/>
  <c r="AH326" i="32"/>
  <c r="AE326" i="32" s="1"/>
  <c r="AH325" i="32"/>
  <c r="AE325" i="32" s="1"/>
  <c r="AF325" i="32" s="1"/>
  <c r="AG325" i="32" s="1"/>
  <c r="AC325" i="32" s="1"/>
  <c r="AH324" i="32"/>
  <c r="AE324" i="32" s="1"/>
  <c r="AF324" i="32" s="1"/>
  <c r="AG324" i="32" s="1"/>
  <c r="AC324" i="32" s="1"/>
  <c r="AH323" i="32"/>
  <c r="AE323" i="32"/>
  <c r="AF323" i="32" s="1"/>
  <c r="AG323" i="32" s="1"/>
  <c r="AH312" i="32"/>
  <c r="AE312" i="32" s="1"/>
  <c r="AI312" i="32"/>
  <c r="AH311" i="32"/>
  <c r="AH310" i="32"/>
  <c r="AH309" i="32"/>
  <c r="AH308" i="32"/>
  <c r="AE308" i="32" s="1"/>
  <c r="AH307" i="32"/>
  <c r="AE307" i="32"/>
  <c r="AH306" i="32"/>
  <c r="AE306" i="32" s="1"/>
  <c r="AF306" i="32" s="1"/>
  <c r="AG306" i="32" s="1"/>
  <c r="AC306" i="32" s="1"/>
  <c r="AH305" i="32"/>
  <c r="AE305" i="32"/>
  <c r="AH304" i="32"/>
  <c r="AE304" i="32" s="1"/>
  <c r="AH303" i="32"/>
  <c r="AB303" i="32"/>
  <c r="AB304" i="32" s="1"/>
  <c r="AB305" i="32" s="1"/>
  <c r="AB306" i="32" s="1"/>
  <c r="AH292" i="32"/>
  <c r="AH291" i="32"/>
  <c r="AH290" i="32"/>
  <c r="AE290" i="32" s="1"/>
  <c r="AF290" i="32" s="1"/>
  <c r="AG290" i="32" s="1"/>
  <c r="AI290" i="32"/>
  <c r="AH289" i="32"/>
  <c r="AH288" i="32"/>
  <c r="AE288" i="32" s="1"/>
  <c r="AF288" i="32" s="1"/>
  <c r="AG288" i="32" s="1"/>
  <c r="AH287" i="32"/>
  <c r="AE287" i="32" s="1"/>
  <c r="AH286" i="32"/>
  <c r="AE286" i="32" s="1"/>
  <c r="AH285" i="32"/>
  <c r="AE285" i="32"/>
  <c r="AH284" i="32"/>
  <c r="AH283" i="32"/>
  <c r="AE283" i="32" s="1"/>
  <c r="AH272" i="32"/>
  <c r="AH271" i="32"/>
  <c r="AH270" i="32"/>
  <c r="AE270" i="32" s="1"/>
  <c r="AF270" i="32" s="1"/>
  <c r="AG270" i="32" s="1"/>
  <c r="AH269" i="32"/>
  <c r="AH268" i="32"/>
  <c r="AH267" i="32"/>
  <c r="AH266" i="32"/>
  <c r="AH265" i="32"/>
  <c r="AH264" i="32"/>
  <c r="AE264" i="32" s="1"/>
  <c r="AI264" i="32"/>
  <c r="AH263" i="32"/>
  <c r="AB263" i="32" s="1"/>
  <c r="AB264" i="32" s="1"/>
  <c r="AH252" i="32"/>
  <c r="AE252" i="32"/>
  <c r="AF252" i="32" s="1"/>
  <c r="AG252" i="32" s="1"/>
  <c r="AH251" i="32"/>
  <c r="AE251" i="32" s="1"/>
  <c r="AF251" i="32" s="1"/>
  <c r="AG251" i="32" s="1"/>
  <c r="AH250" i="32"/>
  <c r="AH249" i="32"/>
  <c r="AH248" i="32"/>
  <c r="AE248" i="32" s="1"/>
  <c r="AF248" i="32" s="1"/>
  <c r="AG248" i="32" s="1"/>
  <c r="AH247" i="32"/>
  <c r="AH246" i="32"/>
  <c r="AE246" i="32" s="1"/>
  <c r="AH245" i="32"/>
  <c r="AH244" i="32"/>
  <c r="AE244" i="32" s="1"/>
  <c r="AF244" i="32" s="1"/>
  <c r="AG244" i="32" s="1"/>
  <c r="AH243" i="32"/>
  <c r="AH232" i="32"/>
  <c r="AE232" i="32"/>
  <c r="AF232" i="32" s="1"/>
  <c r="AG232" i="32" s="1"/>
  <c r="AI232" i="32"/>
  <c r="AH231" i="32"/>
  <c r="AE231" i="32" s="1"/>
  <c r="AI231" i="32"/>
  <c r="AH230" i="32"/>
  <c r="AE230" i="32" s="1"/>
  <c r="AF230" i="32" s="1"/>
  <c r="AG230" i="32" s="1"/>
  <c r="AC230" i="32" s="1"/>
  <c r="AH229" i="32"/>
  <c r="AE229" i="32" s="1"/>
  <c r="AH228" i="32"/>
  <c r="AH227" i="32"/>
  <c r="AE227" i="32"/>
  <c r="AH226" i="32"/>
  <c r="AH225" i="32"/>
  <c r="AI225" i="32"/>
  <c r="AH224" i="32"/>
  <c r="AE224" i="32" s="1"/>
  <c r="AH223" i="32"/>
  <c r="AE223" i="32" s="1"/>
  <c r="AH212" i="32"/>
  <c r="AE212" i="32" s="1"/>
  <c r="AH211" i="32"/>
  <c r="AE211" i="32" s="1"/>
  <c r="AI211" i="32"/>
  <c r="AH210" i="32"/>
  <c r="AE210" i="32" s="1"/>
  <c r="AH209" i="32"/>
  <c r="AE209" i="32" s="1"/>
  <c r="AI209" i="32"/>
  <c r="AH208" i="32"/>
  <c r="AH207" i="32"/>
  <c r="AH206" i="32"/>
  <c r="AE206" i="32" s="1"/>
  <c r="AI206" i="32"/>
  <c r="AH205" i="32"/>
  <c r="AI205" i="32"/>
  <c r="AH204" i="32"/>
  <c r="AE204" i="32" s="1"/>
  <c r="AF204" i="32" s="1"/>
  <c r="AG204" i="32" s="1"/>
  <c r="AH203" i="32"/>
  <c r="AB203" i="32" s="1"/>
  <c r="AH192" i="32"/>
  <c r="AE192" i="32" s="1"/>
  <c r="AH191" i="32"/>
  <c r="AH190" i="32"/>
  <c r="AE190" i="32" s="1"/>
  <c r="AH189" i="32"/>
  <c r="AE189" i="32" s="1"/>
  <c r="AH188" i="32"/>
  <c r="AH187" i="32"/>
  <c r="AE187" i="32" s="1"/>
  <c r="AF187" i="32" s="1"/>
  <c r="AG187" i="32" s="1"/>
  <c r="AH186" i="32"/>
  <c r="AE186" i="32" s="1"/>
  <c r="AF186" i="32" s="1"/>
  <c r="AG186" i="32" s="1"/>
  <c r="AH185" i="32"/>
  <c r="AE185" i="32"/>
  <c r="AF185" i="32" s="1"/>
  <c r="AG185" i="32" s="1"/>
  <c r="AH184" i="32"/>
  <c r="AH183" i="32"/>
  <c r="AB183" i="32" s="1"/>
  <c r="AB184" i="32" s="1"/>
  <c r="AH172" i="32"/>
  <c r="AH171" i="32"/>
  <c r="AE171" i="32" s="1"/>
  <c r="AF171" i="32" s="1"/>
  <c r="AG171" i="32" s="1"/>
  <c r="AI171" i="32"/>
  <c r="AH170" i="32"/>
  <c r="AE170" i="32" s="1"/>
  <c r="AH169" i="32"/>
  <c r="AH168" i="32"/>
  <c r="AH167" i="32"/>
  <c r="AE167" i="32" s="1"/>
  <c r="AF167" i="32" s="1"/>
  <c r="AG167" i="32" s="1"/>
  <c r="AH166" i="32"/>
  <c r="AE166" i="32" s="1"/>
  <c r="AH165" i="32"/>
  <c r="AE165" i="32" s="1"/>
  <c r="AF165" i="32" s="1"/>
  <c r="AG165" i="32" s="1"/>
  <c r="AC165" i="32" s="1"/>
  <c r="AH164" i="32"/>
  <c r="AE164" i="32" s="1"/>
  <c r="AH163" i="32"/>
  <c r="AB163" i="32" s="1"/>
  <c r="AH152" i="32"/>
  <c r="AE152" i="32" s="1"/>
  <c r="AH151" i="32"/>
  <c r="AH150" i="32"/>
  <c r="AE150" i="32" s="1"/>
  <c r="AF150" i="32" s="1"/>
  <c r="AG150" i="32" s="1"/>
  <c r="AH149" i="32"/>
  <c r="AH148" i="32"/>
  <c r="AE148" i="32" s="1"/>
  <c r="AH147" i="32"/>
  <c r="AE147" i="32"/>
  <c r="AF147" i="32" s="1"/>
  <c r="AG147" i="32" s="1"/>
  <c r="AH146" i="32"/>
  <c r="AE146" i="32" s="1"/>
  <c r="AF146" i="32" s="1"/>
  <c r="AG146" i="32" s="1"/>
  <c r="AH145" i="32"/>
  <c r="AE145" i="32"/>
  <c r="AF145" i="32" s="1"/>
  <c r="AG145" i="32" s="1"/>
  <c r="AC145" i="32" s="1"/>
  <c r="AI145" i="32"/>
  <c r="AH144" i="32"/>
  <c r="AH143" i="32"/>
  <c r="AB143" i="32" s="1"/>
  <c r="AB144" i="32" s="1"/>
  <c r="AH132" i="32"/>
  <c r="AH131" i="32"/>
  <c r="AE131" i="32" s="1"/>
  <c r="AH130" i="32"/>
  <c r="AH129" i="32"/>
  <c r="AE129" i="32"/>
  <c r="AF129" i="32" s="1"/>
  <c r="AG129" i="32" s="1"/>
  <c r="AC129" i="32" s="1"/>
  <c r="AI129" i="32"/>
  <c r="AH128" i="32"/>
  <c r="AH127" i="32"/>
  <c r="AE127" i="32"/>
  <c r="AF127" i="32" s="1"/>
  <c r="AG127" i="32" s="1"/>
  <c r="AC127" i="32" s="1"/>
  <c r="AH126" i="32"/>
  <c r="AE126" i="32" s="1"/>
  <c r="AI126" i="32"/>
  <c r="AH125" i="32"/>
  <c r="AE125" i="32"/>
  <c r="AH124" i="32"/>
  <c r="AH123" i="32"/>
  <c r="AH112" i="32"/>
  <c r="AH111" i="32"/>
  <c r="AH110" i="32"/>
  <c r="AE110" i="32" s="1"/>
  <c r="AF110" i="32" s="1"/>
  <c r="AG110" i="32" s="1"/>
  <c r="AH109" i="32"/>
  <c r="AE109" i="32"/>
  <c r="AH108" i="32"/>
  <c r="AE108" i="32" s="1"/>
  <c r="AF108" i="32" s="1"/>
  <c r="AG108" i="32" s="1"/>
  <c r="AH107" i="32"/>
  <c r="AH106" i="32"/>
  <c r="AE106" i="32" s="1"/>
  <c r="M11" i="41"/>
  <c r="AI106" i="32" s="1"/>
  <c r="AH105" i="32"/>
  <c r="AH104" i="32"/>
  <c r="AH103" i="32"/>
  <c r="AB103" i="32" s="1"/>
  <c r="AB104" i="32" s="1"/>
  <c r="AH92" i="32"/>
  <c r="AH91" i="32"/>
  <c r="AH90" i="32"/>
  <c r="AE90" i="32"/>
  <c r="K11" i="41"/>
  <c r="AH93" i="32" s="1"/>
  <c r="AB93" i="32" s="1"/>
  <c r="AB94" i="32" s="1"/>
  <c r="AH89" i="32"/>
  <c r="AH88" i="32"/>
  <c r="AH87" i="32"/>
  <c r="AE87" i="32" s="1"/>
  <c r="AH86" i="32"/>
  <c r="AH85" i="32"/>
  <c r="AE85" i="32" s="1"/>
  <c r="AF85" i="32" s="1"/>
  <c r="AG85" i="32" s="1"/>
  <c r="AC85" i="32" s="1"/>
  <c r="AH84" i="32"/>
  <c r="AE84" i="32" s="1"/>
  <c r="AF84" i="32" s="1"/>
  <c r="AG84" i="32" s="1"/>
  <c r="AH83" i="32"/>
  <c r="AH72" i="32"/>
  <c r="AE72" i="32" s="1"/>
  <c r="AH71" i="32"/>
  <c r="AE71" i="32" s="1"/>
  <c r="I11" i="41"/>
  <c r="AI71" i="32" s="1"/>
  <c r="AH69" i="32"/>
  <c r="AE69" i="32" s="1"/>
  <c r="AF69" i="32" s="1"/>
  <c r="AG69" i="32" s="1"/>
  <c r="AH68" i="32"/>
  <c r="AE68" i="32" s="1"/>
  <c r="AH67" i="32"/>
  <c r="AE67" i="32" s="1"/>
  <c r="AH66" i="32"/>
  <c r="AE66" i="32"/>
  <c r="AH65" i="32"/>
  <c r="AE65" i="32" s="1"/>
  <c r="AH64" i="32"/>
  <c r="AE64" i="32"/>
  <c r="AF64" i="32" s="1"/>
  <c r="AG64" i="32" s="1"/>
  <c r="AH63" i="32"/>
  <c r="AH52" i="32"/>
  <c r="AE52" i="32" s="1"/>
  <c r="AF52" i="32" s="1"/>
  <c r="AG52" i="32" s="1"/>
  <c r="G11" i="41"/>
  <c r="AI48" i="32" s="1"/>
  <c r="AH51" i="32"/>
  <c r="AE51" i="32" s="1"/>
  <c r="AH50" i="32"/>
  <c r="AE50" i="32" s="1"/>
  <c r="AF50" i="32" s="1"/>
  <c r="AG50" i="32" s="1"/>
  <c r="AC50" i="32" s="1"/>
  <c r="AI50" i="32"/>
  <c r="AH49" i="32"/>
  <c r="AE49" i="32"/>
  <c r="AF49" i="32" s="1"/>
  <c r="AG49" i="32" s="1"/>
  <c r="AH48" i="32"/>
  <c r="AE48" i="32" s="1"/>
  <c r="AH47" i="32"/>
  <c r="AE47" i="32" s="1"/>
  <c r="AF47" i="32" s="1"/>
  <c r="AG47" i="32" s="1"/>
  <c r="AI47" i="32"/>
  <c r="AH46" i="32"/>
  <c r="AH45" i="32"/>
  <c r="AE45" i="32"/>
  <c r="AF45" i="32" s="1"/>
  <c r="AG45" i="32" s="1"/>
  <c r="AH44" i="32"/>
  <c r="AE44" i="32" s="1"/>
  <c r="AF44" i="32" s="1"/>
  <c r="AG44" i="32" s="1"/>
  <c r="AH43" i="32"/>
  <c r="AE43" i="32"/>
  <c r="AI43" i="32"/>
  <c r="AH32" i="32"/>
  <c r="AE32" i="32"/>
  <c r="AH31" i="32"/>
  <c r="AH30" i="32"/>
  <c r="AE30" i="32" s="1"/>
  <c r="AH29" i="32"/>
  <c r="AE29" i="32" s="1"/>
  <c r="AH28" i="32"/>
  <c r="AH27" i="32"/>
  <c r="AH26" i="32"/>
  <c r="AH25" i="32"/>
  <c r="AE25" i="32"/>
  <c r="AF25" i="32" s="1"/>
  <c r="AG25" i="32" s="1"/>
  <c r="AH24" i="32"/>
  <c r="AE24" i="32" s="1"/>
  <c r="AH23" i="32"/>
  <c r="AE23" i="32"/>
  <c r="AH12" i="32"/>
  <c r="AH11" i="32"/>
  <c r="AH10" i="32"/>
  <c r="AH9" i="32"/>
  <c r="AE9" i="32" s="1"/>
  <c r="AF9" i="32" s="1"/>
  <c r="AG9" i="32" s="1"/>
  <c r="AC9" i="32" s="1"/>
  <c r="AH8" i="32"/>
  <c r="AH7" i="32"/>
  <c r="AH6" i="32"/>
  <c r="AE6" i="32" s="1"/>
  <c r="C11" i="41"/>
  <c r="AH5" i="32"/>
  <c r="AE5" i="32" s="1"/>
  <c r="AF5" i="32" s="1"/>
  <c r="AG5" i="32" s="1"/>
  <c r="AC5" i="32" s="1"/>
  <c r="AH4" i="32"/>
  <c r="AE4" i="32"/>
  <c r="G87" i="21"/>
  <c r="G86" i="21"/>
  <c r="K86" i="21" s="1"/>
  <c r="G85" i="21"/>
  <c r="H85" i="21" s="1"/>
  <c r="G84" i="21"/>
  <c r="G83" i="21"/>
  <c r="G82" i="21"/>
  <c r="G81" i="21"/>
  <c r="C81" i="21" s="1"/>
  <c r="G80" i="21"/>
  <c r="C80" i="21" s="1"/>
  <c r="G79" i="21"/>
  <c r="H79" i="21" s="1"/>
  <c r="J79" i="21"/>
  <c r="G78" i="21"/>
  <c r="G77" i="21"/>
  <c r="G76" i="21"/>
  <c r="D76" i="21"/>
  <c r="A76" i="21" s="1"/>
  <c r="G75" i="21"/>
  <c r="L75" i="21" s="1"/>
  <c r="G74" i="21"/>
  <c r="L74" i="21" s="1"/>
  <c r="G73" i="21"/>
  <c r="C73" i="21"/>
  <c r="G72" i="21"/>
  <c r="D72" i="21" s="1"/>
  <c r="E72" i="21" s="1"/>
  <c r="G71" i="21"/>
  <c r="K71" i="21"/>
  <c r="G70" i="21"/>
  <c r="C70" i="21" s="1"/>
  <c r="G69" i="21"/>
  <c r="I69" i="21"/>
  <c r="G68" i="21"/>
  <c r="G67" i="21"/>
  <c r="K7" i="1"/>
  <c r="F7" i="21"/>
  <c r="E7" i="21"/>
  <c r="L112" i="32"/>
  <c r="I2" i="51"/>
  <c r="C2" i="51"/>
  <c r="C1" i="51"/>
  <c r="AE8" i="51"/>
  <c r="AC9" i="51" s="1"/>
  <c r="AE10" i="51" s="1"/>
  <c r="AC11" i="51" s="1"/>
  <c r="AE12" i="51" s="1"/>
  <c r="AC13" i="51" s="1"/>
  <c r="AE14" i="51" s="1"/>
  <c r="AC15" i="51" s="1"/>
  <c r="AE16" i="51" s="1"/>
  <c r="AC17" i="51" s="1"/>
  <c r="AE18" i="51" s="1"/>
  <c r="J1" i="51"/>
  <c r="U6" i="51"/>
  <c r="V6" i="51" s="1"/>
  <c r="M26" i="51"/>
  <c r="F91" i="32"/>
  <c r="F90" i="32"/>
  <c r="F89" i="32"/>
  <c r="F88" i="32"/>
  <c r="F87" i="32"/>
  <c r="F86" i="32"/>
  <c r="F85" i="32"/>
  <c r="F84" i="32"/>
  <c r="F83" i="32"/>
  <c r="F82" i="32"/>
  <c r="F81" i="32"/>
  <c r="F80" i="32"/>
  <c r="F79" i="32"/>
  <c r="F78" i="32"/>
  <c r="F77" i="32"/>
  <c r="F76" i="32"/>
  <c r="F75" i="32"/>
  <c r="F74" i="32"/>
  <c r="F73" i="32"/>
  <c r="F72" i="32"/>
  <c r="J62" i="32"/>
  <c r="I62" i="32"/>
  <c r="G69" i="32"/>
  <c r="F69" i="32"/>
  <c r="AD3" i="32"/>
  <c r="J97" i="32"/>
  <c r="I96" i="32"/>
  <c r="J95" i="32"/>
  <c r="I94" i="32"/>
  <c r="J93" i="32"/>
  <c r="I92" i="32"/>
  <c r="J91" i="32"/>
  <c r="I90" i="32"/>
  <c r="J89" i="32"/>
  <c r="I88" i="32"/>
  <c r="J87" i="32"/>
  <c r="I86" i="32"/>
  <c r="AD963" i="32"/>
  <c r="AD964" i="32"/>
  <c r="AD965" i="32"/>
  <c r="AD966" i="32"/>
  <c r="AD967" i="32"/>
  <c r="AD968" i="32"/>
  <c r="AD969" i="32"/>
  <c r="AD970" i="32"/>
  <c r="AD971" i="32"/>
  <c r="AD972" i="32"/>
  <c r="AD973" i="32"/>
  <c r="AD974" i="32"/>
  <c r="AD975" i="32"/>
  <c r="AD976" i="32"/>
  <c r="AD977" i="32"/>
  <c r="AD978" i="32"/>
  <c r="AD979" i="32"/>
  <c r="AD980" i="32"/>
  <c r="AD981" i="32"/>
  <c r="AD982" i="32"/>
  <c r="AD983" i="32"/>
  <c r="AD984" i="32"/>
  <c r="AD985" i="32"/>
  <c r="AD986" i="32"/>
  <c r="AD987" i="32"/>
  <c r="AD988" i="32"/>
  <c r="AD989" i="32"/>
  <c r="AD990" i="32"/>
  <c r="AD991" i="32"/>
  <c r="AD992" i="32"/>
  <c r="AD993" i="32"/>
  <c r="AD994" i="32"/>
  <c r="AD995" i="32"/>
  <c r="AD996" i="32"/>
  <c r="AD997" i="32"/>
  <c r="AD998" i="32"/>
  <c r="AD999" i="32"/>
  <c r="AD1000" i="32"/>
  <c r="AD1001" i="32"/>
  <c r="AD1002" i="32"/>
  <c r="AD1003" i="32"/>
  <c r="AD1004" i="32"/>
  <c r="AD1005" i="32"/>
  <c r="AD1006" i="32"/>
  <c r="AD1007" i="32"/>
  <c r="AD1008" i="32"/>
  <c r="AD1009" i="32"/>
  <c r="AD1010" i="32"/>
  <c r="AD1011" i="32"/>
  <c r="AD1012" i="32"/>
  <c r="AD1013" i="32"/>
  <c r="AD1014" i="32"/>
  <c r="AD1015" i="32"/>
  <c r="AD1016" i="32"/>
  <c r="AD1017" i="32"/>
  <c r="AD1018" i="32"/>
  <c r="AD1019" i="32"/>
  <c r="AD1020" i="32"/>
  <c r="AD1021" i="32"/>
  <c r="AD1022" i="32"/>
  <c r="AD1023" i="32"/>
  <c r="AD1024" i="32"/>
  <c r="AD1025" i="32"/>
  <c r="AD1026" i="32"/>
  <c r="AD1027" i="32"/>
  <c r="AD1028" i="32"/>
  <c r="AD1029" i="32"/>
  <c r="AD1030" i="32"/>
  <c r="AD1031" i="32"/>
  <c r="AD1032" i="32"/>
  <c r="AD1033" i="32"/>
  <c r="AD1034" i="32"/>
  <c r="AD1035" i="32"/>
  <c r="AD1036" i="32"/>
  <c r="AD1037" i="32"/>
  <c r="AD1038" i="32"/>
  <c r="AD1039" i="32"/>
  <c r="AD1040" i="32"/>
  <c r="AD1041" i="32"/>
  <c r="AD1042" i="32"/>
  <c r="AD1043" i="32"/>
  <c r="AD1044" i="32"/>
  <c r="AD1045" i="32"/>
  <c r="AD1046" i="32"/>
  <c r="AD1047" i="32"/>
  <c r="AD1048" i="32"/>
  <c r="AD1049" i="32"/>
  <c r="AD1050" i="32"/>
  <c r="AD1051" i="32"/>
  <c r="AD1052" i="32"/>
  <c r="AD1053" i="32"/>
  <c r="AD1054" i="32"/>
  <c r="AD1055" i="32"/>
  <c r="AD1056" i="32"/>
  <c r="AD1057" i="32"/>
  <c r="AD1058" i="32"/>
  <c r="AD1059" i="32"/>
  <c r="AD1060" i="32"/>
  <c r="AD1061" i="32"/>
  <c r="AD1062" i="32"/>
  <c r="AD1063" i="32"/>
  <c r="AD1064" i="32"/>
  <c r="AD1065" i="32"/>
  <c r="AD1066" i="32"/>
  <c r="AD1067" i="32"/>
  <c r="AD1068" i="32"/>
  <c r="AD1069" i="32"/>
  <c r="AD1070" i="32"/>
  <c r="AD1071" i="32"/>
  <c r="AD1072" i="32"/>
  <c r="AD1073" i="32"/>
  <c r="AD1074" i="32"/>
  <c r="AD1075" i="32"/>
  <c r="AD1076" i="32"/>
  <c r="AD1077" i="32"/>
  <c r="AD1078" i="32"/>
  <c r="AD1079" i="32"/>
  <c r="AD1080" i="32"/>
  <c r="AD1081" i="32"/>
  <c r="AD1082" i="32"/>
  <c r="AD843" i="32"/>
  <c r="AD844" i="32"/>
  <c r="AD845" i="32"/>
  <c r="AD846" i="32"/>
  <c r="AD847" i="32"/>
  <c r="AD848" i="32"/>
  <c r="AD849" i="32"/>
  <c r="AD850" i="32"/>
  <c r="AD851" i="32"/>
  <c r="AD852" i="32"/>
  <c r="AD853" i="32"/>
  <c r="AD854" i="32"/>
  <c r="AD855" i="32"/>
  <c r="AD856" i="32"/>
  <c r="AD857" i="32"/>
  <c r="AD858" i="32"/>
  <c r="AD859" i="32"/>
  <c r="AD860" i="32"/>
  <c r="AD861" i="32"/>
  <c r="AD862" i="32"/>
  <c r="AD863" i="32"/>
  <c r="AD864" i="32"/>
  <c r="AD865" i="32"/>
  <c r="AD866" i="32"/>
  <c r="AD867" i="32"/>
  <c r="AD868" i="32"/>
  <c r="AD869" i="32"/>
  <c r="AD870" i="32"/>
  <c r="AD871" i="32"/>
  <c r="AD872" i="32"/>
  <c r="AD873" i="32"/>
  <c r="AD874" i="32"/>
  <c r="AD875" i="32"/>
  <c r="AD876" i="32"/>
  <c r="AD877" i="32"/>
  <c r="AD878" i="32"/>
  <c r="AD879" i="32"/>
  <c r="AD880" i="32"/>
  <c r="AD881" i="32"/>
  <c r="AD882" i="32"/>
  <c r="AD883" i="32"/>
  <c r="AD884" i="32"/>
  <c r="AD885" i="32"/>
  <c r="AD886" i="32"/>
  <c r="AD887" i="32"/>
  <c r="AD888" i="32"/>
  <c r="AD889" i="32"/>
  <c r="AD890" i="32"/>
  <c r="AD891" i="32"/>
  <c r="AD892" i="32"/>
  <c r="AD893" i="32"/>
  <c r="AD894" i="32"/>
  <c r="AD895" i="32"/>
  <c r="AD896" i="32"/>
  <c r="AD897" i="32"/>
  <c r="AD898" i="32"/>
  <c r="AD899" i="32"/>
  <c r="AD900" i="32"/>
  <c r="AD901" i="32"/>
  <c r="AD902" i="32"/>
  <c r="AD903" i="32"/>
  <c r="AD904" i="32"/>
  <c r="AD905" i="32"/>
  <c r="AD906" i="32"/>
  <c r="AD907" i="32"/>
  <c r="AD908" i="32"/>
  <c r="AD909" i="32"/>
  <c r="AD910" i="32"/>
  <c r="AD911" i="32"/>
  <c r="AD912" i="32"/>
  <c r="AD913" i="32"/>
  <c r="AD914" i="32"/>
  <c r="AD915" i="32"/>
  <c r="AD916" i="32"/>
  <c r="AD917" i="32"/>
  <c r="AD918" i="32"/>
  <c r="AD919" i="32"/>
  <c r="AD920" i="32"/>
  <c r="AD921" i="32"/>
  <c r="AD922" i="32"/>
  <c r="AD923" i="32"/>
  <c r="AD924" i="32"/>
  <c r="AD925" i="32"/>
  <c r="AD926" i="32"/>
  <c r="AD927" i="32"/>
  <c r="AD928" i="32"/>
  <c r="AD929" i="32"/>
  <c r="AD930" i="32"/>
  <c r="AD931" i="32"/>
  <c r="AD932" i="32"/>
  <c r="AD933" i="32"/>
  <c r="AD934" i="32"/>
  <c r="AD935" i="32"/>
  <c r="AD936" i="32"/>
  <c r="AD937" i="32"/>
  <c r="AD938" i="32"/>
  <c r="AD939" i="32"/>
  <c r="AD940" i="32"/>
  <c r="AD941" i="32"/>
  <c r="AD942" i="32"/>
  <c r="AD943" i="32"/>
  <c r="AD944" i="32"/>
  <c r="AD945" i="32"/>
  <c r="AD946" i="32"/>
  <c r="AD947" i="32"/>
  <c r="AD948" i="32"/>
  <c r="AD949" i="32"/>
  <c r="AD950" i="32"/>
  <c r="AD951" i="32"/>
  <c r="AD952" i="32"/>
  <c r="AD953" i="32"/>
  <c r="AD954" i="32"/>
  <c r="AD955" i="32"/>
  <c r="AD956" i="32"/>
  <c r="AD957" i="32"/>
  <c r="AD958" i="32"/>
  <c r="AD959" i="32"/>
  <c r="AD960" i="32"/>
  <c r="AD961" i="32"/>
  <c r="AD962" i="32"/>
  <c r="AD723" i="32"/>
  <c r="AD724" i="32"/>
  <c r="AD725" i="32"/>
  <c r="AD726" i="32"/>
  <c r="AD727" i="32"/>
  <c r="AD728" i="32"/>
  <c r="AD729" i="32"/>
  <c r="AD730" i="32"/>
  <c r="AD731" i="32"/>
  <c r="AD732" i="32"/>
  <c r="AD733" i="32"/>
  <c r="AD734" i="32"/>
  <c r="AD735" i="32"/>
  <c r="AD736" i="32"/>
  <c r="AD737" i="32"/>
  <c r="AD738" i="32"/>
  <c r="AD739" i="32"/>
  <c r="AD740" i="32"/>
  <c r="AD741" i="32"/>
  <c r="AD742" i="32"/>
  <c r="AD743" i="32"/>
  <c r="AD744" i="32"/>
  <c r="AD745" i="32"/>
  <c r="AD746" i="32"/>
  <c r="AD747" i="32"/>
  <c r="AD748" i="32"/>
  <c r="AD749" i="32"/>
  <c r="AD750" i="32"/>
  <c r="AD751" i="32"/>
  <c r="AD752" i="32"/>
  <c r="AD753" i="32"/>
  <c r="AD754" i="32"/>
  <c r="AD755" i="32"/>
  <c r="AD756" i="32"/>
  <c r="AD757" i="32"/>
  <c r="AD758" i="32"/>
  <c r="AD759" i="32"/>
  <c r="AD760" i="32"/>
  <c r="AD761" i="32"/>
  <c r="AD762" i="32"/>
  <c r="AD763" i="32"/>
  <c r="AD764" i="32"/>
  <c r="AD765" i="32"/>
  <c r="AD766" i="32"/>
  <c r="AD767" i="32"/>
  <c r="AD768" i="32"/>
  <c r="AD769" i="32"/>
  <c r="AD770" i="32"/>
  <c r="AD771" i="32"/>
  <c r="AD772" i="32"/>
  <c r="AD773" i="32"/>
  <c r="AD774" i="32"/>
  <c r="AD775" i="32"/>
  <c r="AD776" i="32"/>
  <c r="AD777" i="32"/>
  <c r="AD778" i="32"/>
  <c r="AD779" i="32"/>
  <c r="AD780" i="32"/>
  <c r="AD781" i="32"/>
  <c r="AD782" i="32"/>
  <c r="AD783" i="32"/>
  <c r="AD784" i="32"/>
  <c r="AD785" i="32"/>
  <c r="AD786" i="32"/>
  <c r="AD787" i="32"/>
  <c r="AD788" i="32"/>
  <c r="AD789" i="32"/>
  <c r="AD790" i="32"/>
  <c r="AD791" i="32"/>
  <c r="AD792" i="32"/>
  <c r="AD793" i="32"/>
  <c r="AD794" i="32"/>
  <c r="AD795" i="32"/>
  <c r="AD796" i="32"/>
  <c r="AD797" i="32"/>
  <c r="AD798" i="32"/>
  <c r="AD799" i="32"/>
  <c r="AD800" i="32"/>
  <c r="AD801" i="32"/>
  <c r="AD802" i="32"/>
  <c r="AD803" i="32"/>
  <c r="AD804" i="32"/>
  <c r="AD805" i="32"/>
  <c r="AD806" i="32"/>
  <c r="AD807" i="32"/>
  <c r="AD808" i="32"/>
  <c r="AD809" i="32"/>
  <c r="AD810" i="32"/>
  <c r="AD811" i="32"/>
  <c r="AD812" i="32"/>
  <c r="AD813" i="32"/>
  <c r="AD814" i="32"/>
  <c r="AD815" i="32"/>
  <c r="AD816" i="32"/>
  <c r="AD817" i="32"/>
  <c r="AD818" i="32"/>
  <c r="AD819" i="32"/>
  <c r="AD820" i="32"/>
  <c r="AD821" i="32"/>
  <c r="AD822" i="32"/>
  <c r="AD823" i="32"/>
  <c r="AD824" i="32"/>
  <c r="AD825" i="32"/>
  <c r="AD826" i="32"/>
  <c r="AD827" i="32"/>
  <c r="AD828" i="32"/>
  <c r="AD829" i="32"/>
  <c r="AD830" i="32"/>
  <c r="AD831" i="32"/>
  <c r="AD832" i="32"/>
  <c r="AD833" i="32"/>
  <c r="AD834" i="32"/>
  <c r="AD835" i="32"/>
  <c r="AD836" i="32"/>
  <c r="AD837" i="32"/>
  <c r="AD838" i="32"/>
  <c r="AD839" i="32"/>
  <c r="AD840" i="32"/>
  <c r="AD841" i="32"/>
  <c r="AD842" i="32"/>
  <c r="AD603" i="32"/>
  <c r="AD604" i="32"/>
  <c r="AD605" i="32"/>
  <c r="AD606" i="32"/>
  <c r="AD607" i="32"/>
  <c r="AD608" i="32"/>
  <c r="AD609" i="32"/>
  <c r="AD610" i="32"/>
  <c r="AD611" i="32"/>
  <c r="AD612" i="32"/>
  <c r="AD613" i="32"/>
  <c r="AD614" i="32"/>
  <c r="AD615" i="32"/>
  <c r="AD616" i="32"/>
  <c r="AD617" i="32"/>
  <c r="AD618" i="32"/>
  <c r="AD619" i="32"/>
  <c r="AD620" i="32"/>
  <c r="AD621" i="32"/>
  <c r="AD622" i="32"/>
  <c r="AD623" i="32"/>
  <c r="AD624" i="32"/>
  <c r="AD625" i="32"/>
  <c r="AD626" i="32"/>
  <c r="AD627" i="32"/>
  <c r="AD628" i="32"/>
  <c r="AD629" i="32"/>
  <c r="AD630" i="32"/>
  <c r="AD631" i="32"/>
  <c r="AD632" i="32"/>
  <c r="AD633" i="32"/>
  <c r="AD634" i="32"/>
  <c r="AD635" i="32"/>
  <c r="AD636" i="32"/>
  <c r="AD637" i="32"/>
  <c r="AD638" i="32"/>
  <c r="AD639" i="32"/>
  <c r="AD640" i="32"/>
  <c r="AD641" i="32"/>
  <c r="AD642" i="32"/>
  <c r="AD643" i="32"/>
  <c r="AD644" i="32"/>
  <c r="AD645" i="32"/>
  <c r="AD646" i="32"/>
  <c r="AD647" i="32"/>
  <c r="AD648" i="32"/>
  <c r="AD649" i="32"/>
  <c r="AD650" i="32"/>
  <c r="AD651" i="32"/>
  <c r="AD652" i="32"/>
  <c r="AD653" i="32"/>
  <c r="AD654" i="32"/>
  <c r="AD655" i="32"/>
  <c r="AD656" i="32"/>
  <c r="AD657" i="32"/>
  <c r="AD658" i="32"/>
  <c r="AD659" i="32"/>
  <c r="AD660" i="32"/>
  <c r="AD661" i="32"/>
  <c r="AD662" i="32"/>
  <c r="AD663" i="32"/>
  <c r="AD664" i="32"/>
  <c r="AD665" i="32"/>
  <c r="AD666" i="32"/>
  <c r="AD667" i="32"/>
  <c r="AD668" i="32"/>
  <c r="AD669" i="32"/>
  <c r="AD670" i="32"/>
  <c r="AD671" i="32"/>
  <c r="AD672" i="32"/>
  <c r="AD673" i="32"/>
  <c r="AD674" i="32"/>
  <c r="AD675" i="32"/>
  <c r="AD676" i="32"/>
  <c r="AD677" i="32"/>
  <c r="AD678" i="32"/>
  <c r="AD679" i="32"/>
  <c r="AD680" i="32"/>
  <c r="AD681" i="32"/>
  <c r="AD682" i="32"/>
  <c r="AD683" i="32"/>
  <c r="AD684" i="32"/>
  <c r="AD685" i="32"/>
  <c r="AD686" i="32"/>
  <c r="AD687" i="32"/>
  <c r="AD688" i="32"/>
  <c r="AD689" i="32"/>
  <c r="AD690" i="32"/>
  <c r="AD691" i="32"/>
  <c r="AD692" i="32"/>
  <c r="AD693" i="32"/>
  <c r="AD694" i="32"/>
  <c r="AD695" i="32"/>
  <c r="AD696" i="32"/>
  <c r="AD697" i="32"/>
  <c r="AD698" i="32"/>
  <c r="AD699" i="32"/>
  <c r="AD700" i="32"/>
  <c r="AD701" i="32"/>
  <c r="AD702" i="32"/>
  <c r="AD703" i="32"/>
  <c r="AD704" i="32"/>
  <c r="AD705" i="32"/>
  <c r="AD706" i="32"/>
  <c r="AD707" i="32"/>
  <c r="AD708" i="32"/>
  <c r="AD709" i="32"/>
  <c r="AD710" i="32"/>
  <c r="AD711" i="32"/>
  <c r="AD712" i="32"/>
  <c r="AD713" i="32"/>
  <c r="AD714" i="32"/>
  <c r="AD715" i="32"/>
  <c r="AD716" i="32"/>
  <c r="AD717" i="32"/>
  <c r="AD718" i="32"/>
  <c r="AD719" i="32"/>
  <c r="AD720" i="32"/>
  <c r="AD721" i="32"/>
  <c r="AD722" i="32"/>
  <c r="AD483" i="32"/>
  <c r="AD484" i="32"/>
  <c r="AD485" i="32"/>
  <c r="AD486" i="32"/>
  <c r="AD487" i="32"/>
  <c r="AD488" i="32"/>
  <c r="AD489" i="32"/>
  <c r="AD490" i="32"/>
  <c r="AD491" i="32"/>
  <c r="AD492" i="32"/>
  <c r="AD493" i="32"/>
  <c r="AD494" i="32"/>
  <c r="AD495" i="32"/>
  <c r="AD496" i="32"/>
  <c r="AD497" i="32"/>
  <c r="AD498" i="32"/>
  <c r="AD499" i="32"/>
  <c r="AD500" i="32"/>
  <c r="AD501" i="32"/>
  <c r="AD502" i="32"/>
  <c r="AD503" i="32"/>
  <c r="AD504" i="32"/>
  <c r="AD505" i="32"/>
  <c r="AD506" i="32"/>
  <c r="AD507" i="32"/>
  <c r="AD508" i="32"/>
  <c r="AD509" i="32"/>
  <c r="AD510" i="32"/>
  <c r="AD511" i="32"/>
  <c r="AD512" i="32"/>
  <c r="AD513" i="32"/>
  <c r="AD514" i="32"/>
  <c r="AD515" i="32"/>
  <c r="AD516" i="32"/>
  <c r="AD517" i="32"/>
  <c r="AD518" i="32"/>
  <c r="AD519" i="32"/>
  <c r="AD520" i="32"/>
  <c r="AD521" i="32"/>
  <c r="AD522" i="32"/>
  <c r="AD523" i="32"/>
  <c r="AD524" i="32"/>
  <c r="AD525" i="32"/>
  <c r="AD526" i="32"/>
  <c r="AD527" i="32"/>
  <c r="AD528" i="32"/>
  <c r="AD529" i="32"/>
  <c r="AD530" i="32"/>
  <c r="AD531" i="32"/>
  <c r="AD532" i="32"/>
  <c r="AD533" i="32"/>
  <c r="AD534" i="32"/>
  <c r="AD535" i="32"/>
  <c r="AD536" i="32"/>
  <c r="AD537" i="32"/>
  <c r="AD538" i="32"/>
  <c r="AD539" i="32"/>
  <c r="AD540" i="32"/>
  <c r="AD541" i="32"/>
  <c r="AD542" i="32"/>
  <c r="AD543" i="32"/>
  <c r="AD544" i="32"/>
  <c r="AD545" i="32"/>
  <c r="AD546" i="32"/>
  <c r="AD547" i="32"/>
  <c r="AD548" i="32"/>
  <c r="AD549" i="32"/>
  <c r="AD550" i="32"/>
  <c r="AD551" i="32"/>
  <c r="AD552" i="32"/>
  <c r="AD553" i="32"/>
  <c r="AD554" i="32"/>
  <c r="AD555" i="32"/>
  <c r="AD556" i="32"/>
  <c r="AD557" i="32"/>
  <c r="AD558" i="32"/>
  <c r="AD559" i="32"/>
  <c r="AD560" i="32"/>
  <c r="AD561" i="32"/>
  <c r="AD562" i="32"/>
  <c r="AD563" i="32"/>
  <c r="AD564" i="32"/>
  <c r="AD565" i="32"/>
  <c r="AD566" i="32"/>
  <c r="AD567" i="32"/>
  <c r="AD568" i="32"/>
  <c r="AD569" i="32"/>
  <c r="AD570" i="32"/>
  <c r="AD571" i="32"/>
  <c r="AD572" i="32"/>
  <c r="AD573" i="32"/>
  <c r="AD574" i="32"/>
  <c r="AD575" i="32"/>
  <c r="AD576" i="32"/>
  <c r="AD577" i="32"/>
  <c r="AD578" i="32"/>
  <c r="AD579" i="32"/>
  <c r="AD580" i="32"/>
  <c r="AD581" i="32"/>
  <c r="AD582" i="32"/>
  <c r="AD583" i="32"/>
  <c r="AD584" i="32"/>
  <c r="AD585" i="32"/>
  <c r="AD586" i="32"/>
  <c r="AD587" i="32"/>
  <c r="AD588" i="32"/>
  <c r="AD589" i="32"/>
  <c r="AD590" i="32"/>
  <c r="AD591" i="32"/>
  <c r="AD592" i="32"/>
  <c r="AD593" i="32"/>
  <c r="AD594" i="32"/>
  <c r="AD595" i="32"/>
  <c r="AD596" i="32"/>
  <c r="AD597" i="32"/>
  <c r="AD598" i="32"/>
  <c r="AD599" i="32"/>
  <c r="AD600" i="32"/>
  <c r="AD601" i="32"/>
  <c r="AD602" i="32"/>
  <c r="AD363" i="32"/>
  <c r="AD364" i="32"/>
  <c r="AD365" i="32"/>
  <c r="AD366" i="32"/>
  <c r="AD367" i="32"/>
  <c r="AD368" i="32"/>
  <c r="AD369" i="32"/>
  <c r="AD370" i="32"/>
  <c r="AD371" i="32"/>
  <c r="AD372" i="32"/>
  <c r="AD373" i="32"/>
  <c r="AD374" i="32"/>
  <c r="AD375" i="32"/>
  <c r="AD376" i="32"/>
  <c r="AD377" i="32"/>
  <c r="AD378" i="32"/>
  <c r="AD379" i="32"/>
  <c r="AD380" i="32"/>
  <c r="AD381" i="32"/>
  <c r="AD382" i="32"/>
  <c r="AD383" i="32"/>
  <c r="AD384" i="32"/>
  <c r="AD385" i="32"/>
  <c r="AD386" i="32"/>
  <c r="AD387" i="32"/>
  <c r="AD388" i="32"/>
  <c r="AD389" i="32"/>
  <c r="AD390" i="32"/>
  <c r="AD391" i="32"/>
  <c r="AD392" i="32"/>
  <c r="AD393" i="32"/>
  <c r="AD394" i="32"/>
  <c r="AD395" i="32"/>
  <c r="AD396" i="32"/>
  <c r="AD397" i="32"/>
  <c r="AD398" i="32"/>
  <c r="AD399" i="32"/>
  <c r="AD400" i="32"/>
  <c r="AD401" i="32"/>
  <c r="AD402" i="32"/>
  <c r="AD403" i="32"/>
  <c r="AD404" i="32"/>
  <c r="AD405" i="32"/>
  <c r="AD406" i="32"/>
  <c r="AD407" i="32"/>
  <c r="AD408" i="32"/>
  <c r="AD409" i="32"/>
  <c r="AD410" i="32"/>
  <c r="AD411" i="32"/>
  <c r="AD412" i="32"/>
  <c r="AD413" i="32"/>
  <c r="AD414" i="32"/>
  <c r="AD415" i="32"/>
  <c r="AD416" i="32"/>
  <c r="AD417" i="32"/>
  <c r="AD418" i="32"/>
  <c r="AD419" i="32"/>
  <c r="AD420" i="32"/>
  <c r="AD421" i="32"/>
  <c r="AD422" i="32"/>
  <c r="AD423" i="32"/>
  <c r="AD424" i="32"/>
  <c r="AD425" i="32"/>
  <c r="AD426" i="32"/>
  <c r="AD427" i="32"/>
  <c r="AD428" i="32"/>
  <c r="AD429" i="32"/>
  <c r="AD430" i="32"/>
  <c r="AD431" i="32"/>
  <c r="AD432" i="32"/>
  <c r="AD433" i="32"/>
  <c r="AD434" i="32"/>
  <c r="AD435" i="32"/>
  <c r="AD436" i="32"/>
  <c r="AD437" i="32"/>
  <c r="AD438" i="32"/>
  <c r="AD439" i="32"/>
  <c r="AD440" i="32"/>
  <c r="AD441" i="32"/>
  <c r="AD442" i="32"/>
  <c r="AD443" i="32"/>
  <c r="AD444" i="32"/>
  <c r="AD445" i="32"/>
  <c r="AD446" i="32"/>
  <c r="AD447" i="32"/>
  <c r="AD448" i="32"/>
  <c r="AD449" i="32"/>
  <c r="AD450" i="32"/>
  <c r="AD451" i="32"/>
  <c r="AD452" i="32"/>
  <c r="AD453" i="32"/>
  <c r="AD454" i="32"/>
  <c r="AD455" i="32"/>
  <c r="AD456" i="32"/>
  <c r="AD457" i="32"/>
  <c r="AD458" i="32"/>
  <c r="AD459" i="32"/>
  <c r="AD460" i="32"/>
  <c r="AD461" i="32"/>
  <c r="AD462" i="32"/>
  <c r="AD463" i="32"/>
  <c r="AD464" i="32"/>
  <c r="AD465" i="32"/>
  <c r="AD466" i="32"/>
  <c r="AD467" i="32"/>
  <c r="AD468" i="32"/>
  <c r="AD469" i="32"/>
  <c r="AD470" i="32"/>
  <c r="AD471" i="32"/>
  <c r="AD472" i="32"/>
  <c r="AD473" i="32"/>
  <c r="AD474" i="32"/>
  <c r="AD475" i="32"/>
  <c r="AD476" i="32"/>
  <c r="AD477" i="32"/>
  <c r="AD478" i="32"/>
  <c r="AD479" i="32"/>
  <c r="AD480" i="32"/>
  <c r="AD481" i="32"/>
  <c r="AD48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0" i="32"/>
  <c r="AD361" i="32"/>
  <c r="AD36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2" i="32"/>
  <c r="AD21" i="32"/>
  <c r="AD20" i="32"/>
  <c r="AD19" i="32"/>
  <c r="AD18" i="32"/>
  <c r="AD17" i="32"/>
  <c r="AD16" i="32"/>
  <c r="AD15" i="32"/>
  <c r="AD14" i="32"/>
  <c r="AD13" i="32"/>
  <c r="AD12" i="32"/>
  <c r="AD11" i="32"/>
  <c r="AD10" i="32"/>
  <c r="AD9" i="32"/>
  <c r="AD8" i="32"/>
  <c r="AD7" i="32"/>
  <c r="AD6" i="32"/>
  <c r="AD5" i="32"/>
  <c r="AD4"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AD60" i="32"/>
  <c r="AD59" i="32"/>
  <c r="AD58" i="32"/>
  <c r="AD57" i="32"/>
  <c r="AD56" i="32"/>
  <c r="AD55" i="32"/>
  <c r="AD54" i="32"/>
  <c r="AD53" i="32"/>
  <c r="AD52" i="32"/>
  <c r="AD51" i="32"/>
  <c r="AD50" i="32"/>
  <c r="AD49" i="32"/>
  <c r="AD48" i="32"/>
  <c r="AD47" i="32"/>
  <c r="AD46" i="32"/>
  <c r="AD45" i="32"/>
  <c r="AD44" i="32"/>
  <c r="AD43" i="32"/>
  <c r="AD42" i="32"/>
  <c r="AD41" i="32"/>
  <c r="AD40" i="32"/>
  <c r="AD39" i="32"/>
  <c r="AD38" i="32"/>
  <c r="AD37" i="32"/>
  <c r="AD36" i="32"/>
  <c r="AD35" i="32"/>
  <c r="AD34" i="32"/>
  <c r="AD33" i="32"/>
  <c r="AD32" i="32"/>
  <c r="AD31" i="32"/>
  <c r="AD30" i="32"/>
  <c r="AD29" i="32"/>
  <c r="AD28" i="32"/>
  <c r="AD27" i="32"/>
  <c r="AD26" i="32"/>
  <c r="AD25" i="32"/>
  <c r="AD24" i="32"/>
  <c r="AD23" i="32"/>
  <c r="AC1" i="39"/>
  <c r="S3" i="21" s="1"/>
  <c r="M3" i="1"/>
  <c r="P4" i="39"/>
  <c r="Q3" i="21" s="1"/>
  <c r="D7" i="21"/>
  <c r="AR7" i="21" s="1"/>
  <c r="E11" i="41"/>
  <c r="AH42" i="32" s="1"/>
  <c r="AE42" i="32" s="1"/>
  <c r="AH799" i="32"/>
  <c r="AE799" i="32" s="1"/>
  <c r="C34" i="1"/>
  <c r="J26" i="39" s="1"/>
  <c r="G6" i="1"/>
  <c r="J6" i="1" s="1"/>
  <c r="T19" i="39"/>
  <c r="M4" i="1"/>
  <c r="T324" i="32" s="1"/>
  <c r="AI972" i="32"/>
  <c r="I4" i="1"/>
  <c r="F3" i="21"/>
  <c r="N13" i="1" a="1"/>
  <c r="AI7" i="21"/>
  <c r="F114" i="32"/>
  <c r="E34" i="1"/>
  <c r="J3" i="41"/>
  <c r="J1" i="41"/>
  <c r="G1" i="41"/>
  <c r="C1" i="41"/>
  <c r="B50" i="32"/>
  <c r="B51" i="32"/>
  <c r="B52" i="32"/>
  <c r="B53" i="32"/>
  <c r="B54" i="32"/>
  <c r="B55" i="32"/>
  <c r="B56" i="32"/>
  <c r="B57" i="32"/>
  <c r="B58" i="32"/>
  <c r="B59" i="32"/>
  <c r="D51" i="32" s="1"/>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W7" i="21"/>
  <c r="C4" i="1"/>
  <c r="G3" i="1"/>
  <c r="C3" i="1"/>
  <c r="V29" i="39"/>
  <c r="P29" i="39"/>
  <c r="G8" i="1"/>
  <c r="G7" i="1"/>
  <c r="N65" i="32"/>
  <c r="O65" i="32"/>
  <c r="N66" i="32"/>
  <c r="O66" i="32"/>
  <c r="N67" i="32"/>
  <c r="O67" i="32"/>
  <c r="N68" i="32"/>
  <c r="O68" i="32"/>
  <c r="N69" i="32"/>
  <c r="O69" i="32"/>
  <c r="N70" i="32"/>
  <c r="O70" i="32"/>
  <c r="N71" i="32"/>
  <c r="O71" i="32"/>
  <c r="N72" i="32"/>
  <c r="O72" i="32"/>
  <c r="N73" i="32"/>
  <c r="O73" i="32"/>
  <c r="N74" i="32"/>
  <c r="O74" i="32"/>
  <c r="N75" i="32"/>
  <c r="O75" i="32"/>
  <c r="N76" i="32"/>
  <c r="O76" i="32"/>
  <c r="N77" i="32"/>
  <c r="O77" i="32"/>
  <c r="N78" i="32"/>
  <c r="O78" i="32"/>
  <c r="N79" i="32"/>
  <c r="O79" i="32"/>
  <c r="N80" i="32"/>
  <c r="O80" i="32"/>
  <c r="N81" i="32"/>
  <c r="O81" i="32"/>
  <c r="N82" i="32"/>
  <c r="O82" i="32"/>
  <c r="N83" i="32"/>
  <c r="O83" i="32"/>
  <c r="N84" i="32"/>
  <c r="O84" i="32"/>
  <c r="N85" i="32"/>
  <c r="O85" i="32"/>
  <c r="N86" i="32"/>
  <c r="O86" i="32"/>
  <c r="N87" i="32"/>
  <c r="O87" i="32"/>
  <c r="N88" i="32"/>
  <c r="O88" i="32"/>
  <c r="N89" i="32"/>
  <c r="O89" i="32"/>
  <c r="N90" i="32"/>
  <c r="O90" i="32"/>
  <c r="N91" i="32"/>
  <c r="O91" i="32"/>
  <c r="N92" i="32"/>
  <c r="O92" i="32"/>
  <c r="N93" i="32"/>
  <c r="O93" i="32"/>
  <c r="N94" i="32"/>
  <c r="O94" i="32"/>
  <c r="N95" i="32"/>
  <c r="O95" i="32"/>
  <c r="N96" i="32"/>
  <c r="O96" i="32"/>
  <c r="N97" i="32"/>
  <c r="O97" i="32"/>
  <c r="N98" i="32"/>
  <c r="O98" i="32"/>
  <c r="N99" i="32"/>
  <c r="O99" i="32"/>
  <c r="N100" i="32"/>
  <c r="O100"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C3" i="21"/>
  <c r="AT7" i="21"/>
  <c r="AN7" i="21"/>
  <c r="AF7" i="21"/>
  <c r="AE7" i="21"/>
  <c r="AH7" i="21"/>
  <c r="BD7" i="21"/>
  <c r="E3" i="21"/>
  <c r="D3" i="21"/>
  <c r="D44" i="21"/>
  <c r="A44" i="21" s="1"/>
  <c r="O3" i="21"/>
  <c r="N3" i="21"/>
  <c r="A64" i="21"/>
  <c r="A63" i="21"/>
  <c r="A62" i="21"/>
  <c r="A61" i="21"/>
  <c r="A60" i="21"/>
  <c r="A59" i="21"/>
  <c r="A58" i="21"/>
  <c r="A57" i="21"/>
  <c r="A56" i="21"/>
  <c r="A55" i="21"/>
  <c r="A54" i="21"/>
  <c r="E53" i="21"/>
  <c r="D53" i="21" s="1"/>
  <c r="E52" i="21"/>
  <c r="D48" i="21"/>
  <c r="B48" i="21" s="1"/>
  <c r="AU7" i="21"/>
  <c r="AS7" i="21"/>
  <c r="AQ7" i="21"/>
  <c r="AP7" i="21"/>
  <c r="AM7" i="21"/>
  <c r="AL7" i="21"/>
  <c r="AK7" i="21"/>
  <c r="AJ7" i="21"/>
  <c r="AG7" i="21"/>
  <c r="AD7" i="21"/>
  <c r="Y7" i="21"/>
  <c r="V7" i="21"/>
  <c r="U7" i="21"/>
  <c r="T7" i="21"/>
  <c r="R7" i="21"/>
  <c r="M7" i="21"/>
  <c r="L7" i="21"/>
  <c r="I7" i="21"/>
  <c r="H7" i="21"/>
  <c r="K7" i="21"/>
  <c r="J7" i="21"/>
  <c r="R3" i="21"/>
  <c r="P3" i="21"/>
  <c r="M3" i="21"/>
  <c r="I3" i="21"/>
  <c r="H3" i="21"/>
  <c r="C64" i="21"/>
  <c r="B64" i="21"/>
  <c r="C63" i="21"/>
  <c r="B63" i="21"/>
  <c r="C62" i="21"/>
  <c r="B62" i="21"/>
  <c r="C61" i="21"/>
  <c r="B61" i="21"/>
  <c r="C60" i="21"/>
  <c r="B60" i="21"/>
  <c r="C59" i="21"/>
  <c r="B59" i="21"/>
  <c r="C58" i="21"/>
  <c r="B58" i="21"/>
  <c r="C57" i="21"/>
  <c r="B57" i="21"/>
  <c r="C56" i="21"/>
  <c r="B56" i="21"/>
  <c r="C55" i="21"/>
  <c r="B55" i="21"/>
  <c r="C54" i="21"/>
  <c r="B54" i="21"/>
  <c r="S7" i="21"/>
  <c r="I3" i="1"/>
  <c r="C37" i="1"/>
  <c r="C36" i="1"/>
  <c r="X12" i="39"/>
  <c r="T65" i="32"/>
  <c r="T88" i="32"/>
  <c r="T354" i="32"/>
  <c r="T463" i="32"/>
  <c r="T290" i="32"/>
  <c r="T398" i="32"/>
  <c r="T211" i="32"/>
  <c r="T494" i="32"/>
  <c r="T103" i="32"/>
  <c r="T336" i="32"/>
  <c r="C79" i="21"/>
  <c r="C87" i="21"/>
  <c r="T343" i="32"/>
  <c r="T454" i="32"/>
  <c r="T396" i="32"/>
  <c r="T492" i="32"/>
  <c r="T490" i="32"/>
  <c r="AI1023" i="32"/>
  <c r="AI1024" i="32"/>
  <c r="AH441" i="32"/>
  <c r="AE441" i="32" s="1"/>
  <c r="AF441" i="32" s="1"/>
  <c r="AG441" i="32" s="1"/>
  <c r="AC441" i="32" s="1"/>
  <c r="AH458" i="32"/>
  <c r="AE458" i="32" s="1"/>
  <c r="AE690" i="32"/>
  <c r="AF690" i="32" s="1"/>
  <c r="AG690" i="32" s="1"/>
  <c r="T346" i="32"/>
  <c r="T358" i="32"/>
  <c r="T242" i="32"/>
  <c r="T121" i="32"/>
  <c r="T403" i="32"/>
  <c r="T176" i="32"/>
  <c r="T360" i="32"/>
  <c r="AH222" i="32"/>
  <c r="AE222" i="32" s="1"/>
  <c r="AI44" i="32"/>
  <c r="AI204" i="32"/>
  <c r="AI348" i="32"/>
  <c r="AH616" i="32"/>
  <c r="AE616" i="32"/>
  <c r="AF616" i="32" s="1"/>
  <c r="AG616" i="32" s="1"/>
  <c r="AC616" i="32" s="1"/>
  <c r="AI266" i="32"/>
  <c r="AI272" i="32"/>
  <c r="AH275" i="32"/>
  <c r="AH281" i="32"/>
  <c r="AI268" i="32"/>
  <c r="AI889" i="32"/>
  <c r="AH895" i="32"/>
  <c r="AI189" i="32"/>
  <c r="AH280" i="32"/>
  <c r="AE280" i="32" s="1"/>
  <c r="AI271" i="32"/>
  <c r="AH279" i="32"/>
  <c r="AH274" i="32"/>
  <c r="AE274" i="32"/>
  <c r="AI267" i="32"/>
  <c r="AH499" i="32"/>
  <c r="AI1029" i="32"/>
  <c r="AI588" i="32"/>
  <c r="C77" i="21"/>
  <c r="C86" i="21"/>
  <c r="O7" i="21"/>
  <c r="T289" i="32"/>
  <c r="T505" i="32"/>
  <c r="T520" i="32"/>
  <c r="T182" i="32"/>
  <c r="T174" i="32"/>
  <c r="T210" i="32"/>
  <c r="T301" i="32"/>
  <c r="T330" i="32"/>
  <c r="T430" i="32"/>
  <c r="T274" i="32"/>
  <c r="T473" i="32"/>
  <c r="T493" i="32"/>
  <c r="T141" i="32"/>
  <c r="T266" i="32"/>
  <c r="T476" i="32"/>
  <c r="T486" i="32"/>
  <c r="T525" i="32"/>
  <c r="T125" i="32"/>
  <c r="T208" i="32"/>
  <c r="T235" i="32"/>
  <c r="T212" i="32"/>
  <c r="T93" i="32"/>
  <c r="T223" i="32"/>
  <c r="T137" i="32"/>
  <c r="T377" i="32"/>
  <c r="T252" i="32"/>
  <c r="T136" i="32"/>
  <c r="T500" i="32"/>
  <c r="T374" i="32"/>
  <c r="T431" i="32"/>
  <c r="T71" i="32"/>
  <c r="T392" i="32"/>
  <c r="C69" i="21"/>
  <c r="AI426" i="32"/>
  <c r="AI592" i="32"/>
  <c r="AI425" i="32"/>
  <c r="AI967" i="32"/>
  <c r="AI971" i="32"/>
  <c r="AI966" i="32"/>
  <c r="AH976" i="32"/>
  <c r="AE976" i="32" s="1"/>
  <c r="AF976" i="32" s="1"/>
  <c r="AG976" i="32" s="1"/>
  <c r="AC976" i="32" s="1"/>
  <c r="AH980" i="32"/>
  <c r="AH974" i="32"/>
  <c r="AH981" i="32"/>
  <c r="AH975" i="32"/>
  <c r="AE975" i="32"/>
  <c r="AI968" i="32"/>
  <c r="AI970" i="32"/>
  <c r="AI964" i="32"/>
  <c r="AI969" i="32"/>
  <c r="AH876" i="32"/>
  <c r="AE876" i="32" s="1"/>
  <c r="AI783" i="32"/>
  <c r="AH801" i="32"/>
  <c r="AH802" i="32"/>
  <c r="AE802" i="32" s="1"/>
  <c r="AF802" i="32" s="1"/>
  <c r="AG802" i="32" s="1"/>
  <c r="AC802" i="32" s="1"/>
  <c r="AI791" i="32"/>
  <c r="AI788" i="32"/>
  <c r="AH793" i="32"/>
  <c r="AB793" i="32" s="1"/>
  <c r="AI870" i="32"/>
  <c r="AH955" i="32"/>
  <c r="AE955" i="32"/>
  <c r="AI945" i="32"/>
  <c r="AH960" i="32"/>
  <c r="AE960" i="32" s="1"/>
  <c r="AF960" i="32" s="1"/>
  <c r="AG960" i="32" s="1"/>
  <c r="AC960" i="32" s="1"/>
  <c r="AH953" i="32"/>
  <c r="AE953" i="32" s="1"/>
  <c r="AF953" i="32" s="1"/>
  <c r="AG953" i="32" s="1"/>
  <c r="AC953" i="32" s="1"/>
  <c r="AH962" i="32"/>
  <c r="AH961" i="32"/>
  <c r="AH959" i="32"/>
  <c r="AE959" i="32"/>
  <c r="AF959" i="32" s="1"/>
  <c r="AG959" i="32" s="1"/>
  <c r="AC959" i="32" s="1"/>
  <c r="AH954" i="32"/>
  <c r="AI947" i="32"/>
  <c r="AH495" i="32"/>
  <c r="AE495" i="32" s="1"/>
  <c r="AH497" i="32"/>
  <c r="AE497" i="32" s="1"/>
  <c r="AF497" i="32" s="1"/>
  <c r="AG497" i="32" s="1"/>
  <c r="AI484" i="32"/>
  <c r="AH496" i="32"/>
  <c r="AE496" i="32" s="1"/>
  <c r="AF496" i="32" s="1"/>
  <c r="AG496" i="32" s="1"/>
  <c r="AC496" i="32" s="1"/>
  <c r="AI491" i="32"/>
  <c r="AI485" i="32"/>
  <c r="AH498" i="32"/>
  <c r="AH680" i="32"/>
  <c r="AI663" i="32"/>
  <c r="AH682" i="32"/>
  <c r="AI668" i="32"/>
  <c r="AH679" i="32"/>
  <c r="AE679" i="32" s="1"/>
  <c r="AH675" i="32"/>
  <c r="AI486" i="32"/>
  <c r="AH674" i="32"/>
  <c r="AE674" i="32"/>
  <c r="AH494" i="32"/>
  <c r="AE494" i="32" s="1"/>
  <c r="AF494" i="32" s="1"/>
  <c r="AG494" i="32" s="1"/>
  <c r="AC494" i="32" s="1"/>
  <c r="AH502" i="32"/>
  <c r="AE502" i="32" s="1"/>
  <c r="AF502" i="32" s="1"/>
  <c r="AG502" i="32" s="1"/>
  <c r="AC502" i="32" s="1"/>
  <c r="AI487" i="32"/>
  <c r="AH578" i="32"/>
  <c r="AE578" i="32" s="1"/>
  <c r="AF578" i="32" s="1"/>
  <c r="AG578" i="32" s="1"/>
  <c r="AC578" i="32" s="1"/>
  <c r="AH735" i="32"/>
  <c r="AH897" i="32"/>
  <c r="AH199" i="32"/>
  <c r="AE199" i="32" s="1"/>
  <c r="AF199" i="32" s="1"/>
  <c r="AG199" i="32" s="1"/>
  <c r="AC199" i="32" s="1"/>
  <c r="AH273" i="32"/>
  <c r="AB273" i="32" s="1"/>
  <c r="AB274" i="32" s="1"/>
  <c r="AB275" i="32" s="1"/>
  <c r="AB276" i="32" s="1"/>
  <c r="AI270" i="32"/>
  <c r="AH276" i="32"/>
  <c r="AE276" i="32" s="1"/>
  <c r="AI263" i="32"/>
  <c r="C74" i="21"/>
  <c r="C85" i="21"/>
  <c r="AI1005" i="32"/>
  <c r="AI572" i="32"/>
  <c r="AI563" i="32"/>
  <c r="AH658" i="32"/>
  <c r="AE658" i="32" s="1"/>
  <c r="AF658" i="32" s="1"/>
  <c r="AG658" i="32" s="1"/>
  <c r="AC658" i="32" s="1"/>
  <c r="AH662" i="32"/>
  <c r="AH660" i="32"/>
  <c r="AE660" i="32" s="1"/>
  <c r="AH653" i="32"/>
  <c r="AE653" i="32" s="1"/>
  <c r="AH575" i="32"/>
  <c r="AH195" i="32"/>
  <c r="AI192" i="32"/>
  <c r="AI191" i="32"/>
  <c r="AI184" i="32"/>
  <c r="AI183" i="32"/>
  <c r="AH193" i="32"/>
  <c r="AB193" i="32" s="1"/>
  <c r="AB194" i="32" s="1"/>
  <c r="AH579" i="32"/>
  <c r="AH656" i="32"/>
  <c r="AE656" i="32" s="1"/>
  <c r="AI566" i="32"/>
  <c r="AH618" i="32"/>
  <c r="AH615" i="32"/>
  <c r="AE615" i="32" s="1"/>
  <c r="AH756" i="32"/>
  <c r="AI752" i="32"/>
  <c r="AH758" i="32"/>
  <c r="AI746" i="32"/>
  <c r="AI750" i="32"/>
  <c r="AH757" i="32"/>
  <c r="AE757" i="32" s="1"/>
  <c r="AI744" i="32"/>
  <c r="AH754" i="32"/>
  <c r="AE754" i="32" s="1"/>
  <c r="AF754" i="32" s="1"/>
  <c r="AG754" i="32" s="1"/>
  <c r="AC754" i="32" s="1"/>
  <c r="AH435" i="32"/>
  <c r="AH433" i="32"/>
  <c r="AI731" i="32"/>
  <c r="AI723" i="32"/>
  <c r="AH738" i="32"/>
  <c r="AE738" i="32" s="1"/>
  <c r="AI724" i="32"/>
  <c r="AI729" i="32"/>
  <c r="AI9" i="32"/>
  <c r="AI10" i="32"/>
  <c r="AI932" i="32"/>
  <c r="AH53" i="32"/>
  <c r="AB53" i="32"/>
  <c r="AB54" i="32" s="1"/>
  <c r="AH354" i="32"/>
  <c r="AH355" i="32"/>
  <c r="AH361" i="32"/>
  <c r="AI352" i="32"/>
  <c r="AI347" i="32"/>
  <c r="AH462" i="32"/>
  <c r="AE462" i="32"/>
  <c r="AF462" i="32" s="1"/>
  <c r="AG462" i="32" s="1"/>
  <c r="AC462" i="32" s="1"/>
  <c r="AH1075" i="32"/>
  <c r="AI590" i="32"/>
  <c r="AI587" i="32"/>
  <c r="AH594" i="32"/>
  <c r="AI771" i="32"/>
  <c r="AH1038" i="32"/>
  <c r="AI1025" i="32"/>
  <c r="AI1030" i="32"/>
  <c r="AH1035" i="32"/>
  <c r="AH1034" i="32"/>
  <c r="AH1041" i="32"/>
  <c r="AE1041" i="32"/>
  <c r="AH135" i="32"/>
  <c r="AE135" i="32" s="1"/>
  <c r="AF135" i="32" s="1"/>
  <c r="AG135" i="32" s="1"/>
  <c r="AC135" i="32" s="1"/>
  <c r="AI432" i="32"/>
  <c r="AI423" i="32"/>
  <c r="AH439" i="32"/>
  <c r="AI529" i="32"/>
  <c r="AH218" i="32"/>
  <c r="AI443" i="32"/>
  <c r="AH461" i="32"/>
  <c r="AH61" i="32"/>
  <c r="AH619" i="32"/>
  <c r="AI124" i="32"/>
  <c r="AI607" i="32"/>
  <c r="AH1019" i="32"/>
  <c r="AI208" i="32"/>
  <c r="AI451" i="32"/>
  <c r="AH54" i="32"/>
  <c r="AE54" i="32" s="1"/>
  <c r="AF54" i="32" s="1"/>
  <c r="AG54" i="32" s="1"/>
  <c r="AC54" i="32" s="1"/>
  <c r="AI612" i="32"/>
  <c r="AH20" i="32"/>
  <c r="AE20" i="32" s="1"/>
  <c r="AF20" i="32" s="1"/>
  <c r="AG20" i="32" s="1"/>
  <c r="AC20" i="32" s="1"/>
  <c r="AH134" i="32"/>
  <c r="AE134" i="32" s="1"/>
  <c r="AF134" i="32" s="1"/>
  <c r="AG134" i="32" s="1"/>
  <c r="AC134" i="32" s="1"/>
  <c r="AI609" i="32"/>
  <c r="AH621" i="32"/>
  <c r="AI603" i="32"/>
  <c r="AH542" i="32"/>
  <c r="AE542" i="32" s="1"/>
  <c r="AF542" i="32" s="1"/>
  <c r="AG542" i="32" s="1"/>
  <c r="AC542" i="32" s="1"/>
  <c r="AI449" i="32"/>
  <c r="AI203" i="32"/>
  <c r="AI768" i="32"/>
  <c r="AH60" i="32"/>
  <c r="AE60" i="32" s="1"/>
  <c r="AH453" i="32"/>
  <c r="AE453" i="32" s="1"/>
  <c r="AF453" i="32" s="1"/>
  <c r="AG453" i="32" s="1"/>
  <c r="AC453" i="32" s="1"/>
  <c r="AH622" i="32"/>
  <c r="AE622" i="32" s="1"/>
  <c r="AF622" i="32" s="1"/>
  <c r="AG622" i="32" s="1"/>
  <c r="AC622" i="32" s="1"/>
  <c r="AH1022" i="32"/>
  <c r="AH933" i="32"/>
  <c r="AB933" i="32"/>
  <c r="AH219" i="32"/>
  <c r="AE219" i="32" s="1"/>
  <c r="AI452" i="32"/>
  <c r="AH454" i="32"/>
  <c r="AE454" i="32" s="1"/>
  <c r="AF454" i="32" s="1"/>
  <c r="AG454" i="32" s="1"/>
  <c r="AC454" i="32" s="1"/>
  <c r="AH57" i="32"/>
  <c r="AH937" i="32"/>
  <c r="AE937" i="32" s="1"/>
  <c r="AI608" i="32"/>
  <c r="AH620" i="32"/>
  <c r="AI606" i="32"/>
  <c r="AI1009" i="32"/>
  <c r="AH1016" i="32"/>
  <c r="AE1016" i="32" s="1"/>
  <c r="AI926" i="32"/>
  <c r="AH536" i="32"/>
  <c r="AI1008" i="32"/>
  <c r="AI1010" i="32"/>
  <c r="AI1003" i="32"/>
  <c r="AI1007" i="32"/>
  <c r="AI1004" i="32"/>
  <c r="AI1012" i="32"/>
  <c r="AH1021" i="32"/>
  <c r="AE1021" i="32" s="1"/>
  <c r="AF1021" i="32" s="1"/>
  <c r="AG1021" i="32" s="1"/>
  <c r="AC1021" i="32" s="1"/>
  <c r="AH1013" i="32"/>
  <c r="AI1006" i="32"/>
  <c r="AH1018" i="32"/>
  <c r="AE1018" i="32"/>
  <c r="AH1015" i="32"/>
  <c r="AE1015" i="32"/>
  <c r="AF1015" i="32" s="1"/>
  <c r="AG1015" i="32" s="1"/>
  <c r="AC1015" i="32" s="1"/>
  <c r="AH901" i="32"/>
  <c r="AH893" i="32"/>
  <c r="AB893" i="32" s="1"/>
  <c r="AI892" i="32"/>
  <c r="AH902" i="32"/>
  <c r="AE902" i="32"/>
  <c r="AI884" i="32"/>
  <c r="AI886" i="32"/>
  <c r="AI885" i="32"/>
  <c r="AH899" i="32"/>
  <c r="AH894" i="32"/>
  <c r="AE894" i="32" s="1"/>
  <c r="AI883" i="32"/>
  <c r="AH896" i="32"/>
  <c r="AH898" i="32"/>
  <c r="AH777" i="32"/>
  <c r="AE777" i="32"/>
  <c r="AF777" i="32" s="1"/>
  <c r="AG777" i="32" s="1"/>
  <c r="AC777" i="32" s="1"/>
  <c r="AI772" i="32"/>
  <c r="AH775" i="32"/>
  <c r="AE775" i="32" s="1"/>
  <c r="AF775" i="32" s="1"/>
  <c r="AG775" i="32" s="1"/>
  <c r="AC775" i="32" s="1"/>
  <c r="AH659" i="32"/>
  <c r="AE659" i="32" s="1"/>
  <c r="AH654" i="32"/>
  <c r="AE654" i="32" s="1"/>
  <c r="AF654" i="32" s="1"/>
  <c r="AG654" i="32" s="1"/>
  <c r="AC654" i="32" s="1"/>
  <c r="AH655" i="32"/>
  <c r="AE655" i="32"/>
  <c r="AF655" i="32" s="1"/>
  <c r="AG655" i="32" s="1"/>
  <c r="AC655" i="32" s="1"/>
  <c r="AI651" i="32"/>
  <c r="AI646" i="32"/>
  <c r="AI645" i="32"/>
  <c r="AI652" i="32"/>
  <c r="AI643" i="32"/>
  <c r="AI644" i="32"/>
  <c r="AH540" i="32"/>
  <c r="AE540" i="32" s="1"/>
  <c r="AI528" i="32"/>
  <c r="AH533" i="32"/>
  <c r="AB533" i="32" s="1"/>
  <c r="AI525" i="32"/>
  <c r="AH534" i="32"/>
  <c r="AE534" i="32" s="1"/>
  <c r="AI524" i="32"/>
  <c r="AH538" i="32"/>
  <c r="AH541" i="32"/>
  <c r="AH537" i="32"/>
  <c r="AH293" i="32"/>
  <c r="AI123" i="32"/>
  <c r="AH141" i="32"/>
  <c r="AE141" i="32"/>
  <c r="AF141" i="32" s="1"/>
  <c r="AG141" i="32" s="1"/>
  <c r="AC141" i="32" s="1"/>
  <c r="AI125" i="32"/>
  <c r="AH136" i="32"/>
  <c r="AE136" i="32" s="1"/>
  <c r="AF136" i="32" s="1"/>
  <c r="AG136" i="32" s="1"/>
  <c r="AC136" i="32" s="1"/>
  <c r="AH133" i="32"/>
  <c r="AB133" i="32" s="1"/>
  <c r="AB134" i="32" s="1"/>
  <c r="AB135" i="32" s="1"/>
  <c r="AH137" i="32"/>
  <c r="AE137" i="32" s="1"/>
  <c r="AF137" i="32" s="1"/>
  <c r="AG137" i="32" s="1"/>
  <c r="AC137" i="32" s="1"/>
  <c r="AH138" i="32"/>
  <c r="AE138" i="32" s="1"/>
  <c r="AI130" i="32"/>
  <c r="AH140" i="32"/>
  <c r="AE140" i="32"/>
  <c r="AF140" i="32" s="1"/>
  <c r="AG140" i="32" s="1"/>
  <c r="AC140" i="32" s="1"/>
  <c r="AI128" i="32"/>
  <c r="C83" i="21"/>
  <c r="C75" i="21"/>
  <c r="AB60" i="39"/>
  <c r="T124" i="32"/>
  <c r="T114" i="32"/>
  <c r="T506" i="32"/>
  <c r="T371" i="32"/>
  <c r="T199" i="32"/>
  <c r="T378" i="32"/>
  <c r="T249" i="32"/>
  <c r="T74" i="32"/>
  <c r="T195" i="32"/>
  <c r="T373" i="32"/>
  <c r="T422" i="32"/>
  <c r="T196" i="32"/>
  <c r="T297" i="32"/>
  <c r="AI708" i="32"/>
  <c r="AH721" i="32"/>
  <c r="AE721" i="32"/>
  <c r="AH716" i="32"/>
  <c r="AH722" i="32"/>
  <c r="AE722" i="32" s="1"/>
  <c r="AH718" i="32"/>
  <c r="AE718" i="32" s="1"/>
  <c r="AI703" i="32"/>
  <c r="AH713" i="32"/>
  <c r="AI711" i="32"/>
  <c r="AH714" i="32"/>
  <c r="AH719" i="32"/>
  <c r="AI706" i="32"/>
  <c r="AH715" i="32"/>
  <c r="AI704" i="32"/>
  <c r="AH717" i="32"/>
  <c r="AE717" i="32" s="1"/>
  <c r="AF717" i="32" s="1"/>
  <c r="AG717" i="32" s="1"/>
  <c r="AC717" i="32" s="1"/>
  <c r="AI709" i="32"/>
  <c r="AH720" i="32"/>
  <c r="AE720" i="32"/>
  <c r="AF720" i="32" s="1"/>
  <c r="AG720" i="32" s="1"/>
  <c r="AC720" i="32" s="1"/>
  <c r="AH856" i="32"/>
  <c r="AE856" i="32" s="1"/>
  <c r="AF856" i="32" s="1"/>
  <c r="AG856" i="32" s="1"/>
  <c r="AC856" i="32" s="1"/>
  <c r="AH855" i="32"/>
  <c r="AE855" i="32" s="1"/>
  <c r="AF855" i="32" s="1"/>
  <c r="AG855" i="32" s="1"/>
  <c r="AC855" i="32" s="1"/>
  <c r="AI843" i="32"/>
  <c r="AI851" i="32"/>
  <c r="AH853" i="32"/>
  <c r="AB853" i="32" s="1"/>
  <c r="AB854" i="32" s="1"/>
  <c r="AH854" i="32"/>
  <c r="AE854" i="32"/>
  <c r="AF854" i="32" s="1"/>
  <c r="AG854" i="32" s="1"/>
  <c r="AC854" i="32" s="1"/>
  <c r="AI844" i="32"/>
  <c r="AH860" i="32"/>
  <c r="AI850" i="32"/>
  <c r="AH858" i="32"/>
  <c r="AE858" i="32" s="1"/>
  <c r="AH861" i="32"/>
  <c r="AE861" i="32" s="1"/>
  <c r="AH862" i="32"/>
  <c r="AI846" i="32"/>
  <c r="AH859" i="32"/>
  <c r="AH37" i="32"/>
  <c r="AE37" i="32" s="1"/>
  <c r="AH38" i="32"/>
  <c r="AH39" i="32"/>
  <c r="AI28" i="32"/>
  <c r="AH253" i="32"/>
  <c r="AB253" i="32" s="1"/>
  <c r="AH262" i="32"/>
  <c r="AE262" i="32" s="1"/>
  <c r="AH254" i="32"/>
  <c r="AH257" i="32"/>
  <c r="AE257" i="32" s="1"/>
  <c r="AF257" i="32" s="1"/>
  <c r="AG257" i="32" s="1"/>
  <c r="AC257" i="32" s="1"/>
  <c r="AI245" i="32"/>
  <c r="AI411" i="32"/>
  <c r="AI403" i="32"/>
  <c r="AH421" i="32"/>
  <c r="AH420" i="32"/>
  <c r="AE420" i="32"/>
  <c r="AI412" i="32"/>
  <c r="AH419" i="32"/>
  <c r="AH418" i="32"/>
  <c r="AH414" i="32"/>
  <c r="AH415" i="32"/>
  <c r="AE415" i="32" s="1"/>
  <c r="AF415" i="32" s="1"/>
  <c r="AG415" i="32" s="1"/>
  <c r="AC415" i="32" s="1"/>
  <c r="AH413" i="32"/>
  <c r="AI404" i="32"/>
  <c r="AH417" i="32"/>
  <c r="AE417" i="32"/>
  <c r="AI406" i="32"/>
  <c r="AI408" i="32"/>
  <c r="AH416" i="32"/>
  <c r="AH422" i="32"/>
  <c r="AE422" i="32" s="1"/>
  <c r="AF422" i="32" s="1"/>
  <c r="AG422" i="32" s="1"/>
  <c r="AC422" i="32" s="1"/>
  <c r="AI410" i="32"/>
  <c r="AI707" i="32"/>
  <c r="AI705" i="32"/>
  <c r="AH177" i="32"/>
  <c r="AE177" i="32" s="1"/>
  <c r="AI164" i="32"/>
  <c r="AI168" i="32"/>
  <c r="AI330" i="32"/>
  <c r="AI325" i="32"/>
  <c r="AI329" i="32"/>
  <c r="AI324" i="32"/>
  <c r="AH336" i="32"/>
  <c r="AE336" i="32" s="1"/>
  <c r="AI323" i="32"/>
  <c r="AI326" i="32"/>
  <c r="AI327" i="32"/>
  <c r="AH333" i="32"/>
  <c r="AB333" i="32" s="1"/>
  <c r="AB334" i="32" s="1"/>
  <c r="AH338" i="32"/>
  <c r="AE338" i="32"/>
  <c r="AF338" i="32" s="1"/>
  <c r="AG338" i="32" s="1"/>
  <c r="AC338" i="32" s="1"/>
  <c r="AH340" i="32"/>
  <c r="AE340" i="32" s="1"/>
  <c r="AH334" i="32"/>
  <c r="AH335" i="32"/>
  <c r="AH342" i="32"/>
  <c r="AE342" i="32" s="1"/>
  <c r="AH337" i="32"/>
  <c r="AI86" i="32"/>
  <c r="AH341" i="32"/>
  <c r="AI848" i="32"/>
  <c r="AI407" i="32"/>
  <c r="AI1063" i="32"/>
  <c r="AH599" i="32"/>
  <c r="AE599" i="32"/>
  <c r="AF599" i="32" s="1"/>
  <c r="AG599" i="32" s="1"/>
  <c r="AC599" i="32" s="1"/>
  <c r="AI591" i="32"/>
  <c r="AH598" i="32"/>
  <c r="AE598" i="32" s="1"/>
  <c r="AF598" i="32" s="1"/>
  <c r="AG598" i="32" s="1"/>
  <c r="AC598" i="32" s="1"/>
  <c r="AI343" i="32"/>
  <c r="AI345" i="32"/>
  <c r="AH353" i="32"/>
  <c r="AI349" i="32"/>
  <c r="AH356" i="32"/>
  <c r="AH359" i="32"/>
  <c r="AE359" i="32" s="1"/>
  <c r="AH360" i="32"/>
  <c r="AI346" i="32"/>
  <c r="AH357" i="32"/>
  <c r="AI672" i="32"/>
  <c r="AI666" i="32"/>
  <c r="AI669" i="32"/>
  <c r="AH676" i="32"/>
  <c r="AE676" i="32" s="1"/>
  <c r="AH673" i="32"/>
  <c r="AB673" i="32" s="1"/>
  <c r="AI667" i="32"/>
  <c r="AI745" i="32"/>
  <c r="AH762" i="32"/>
  <c r="AE762" i="32"/>
  <c r="AF762" i="32" s="1"/>
  <c r="AG762" i="32" s="1"/>
  <c r="AC762" i="32" s="1"/>
  <c r="AI747" i="32"/>
  <c r="AH755" i="32"/>
  <c r="AE755" i="32" s="1"/>
  <c r="AI748" i="32"/>
  <c r="AI749" i="32"/>
  <c r="AI131" i="32"/>
  <c r="AH142" i="32"/>
  <c r="AE142" i="32"/>
  <c r="AF142" i="32" s="1"/>
  <c r="AG142" i="32" s="1"/>
  <c r="AC142" i="32" s="1"/>
  <c r="AH139" i="32"/>
  <c r="AE139" i="32" s="1"/>
  <c r="AI132" i="32"/>
  <c r="AH213" i="32"/>
  <c r="AE213" i="32" s="1"/>
  <c r="AB213" i="32"/>
  <c r="AB214" i="32" s="1"/>
  <c r="AH214" i="32"/>
  <c r="AE214" i="32" s="1"/>
  <c r="AH216" i="32"/>
  <c r="AI210" i="32"/>
  <c r="AH215" i="32"/>
  <c r="AE215" i="32" s="1"/>
  <c r="AH220" i="32"/>
  <c r="AH221" i="32"/>
  <c r="AH217" i="32"/>
  <c r="AI207" i="32"/>
  <c r="AH600" i="32"/>
  <c r="AH1040" i="32"/>
  <c r="AE1040" i="32" s="1"/>
  <c r="AF1040" i="32" s="1"/>
  <c r="AG1040" i="32" s="1"/>
  <c r="AC1040" i="32" s="1"/>
  <c r="AH1036" i="32"/>
  <c r="AE1036" i="32" s="1"/>
  <c r="AH1042" i="32"/>
  <c r="AI1028" i="32"/>
  <c r="AI605" i="32"/>
  <c r="AI611" i="32"/>
  <c r="AI803" i="32"/>
  <c r="AI806" i="32"/>
  <c r="AI811" i="32"/>
  <c r="AH815" i="32"/>
  <c r="AE815" i="32" s="1"/>
  <c r="AH814" i="32"/>
  <c r="AH818" i="32"/>
  <c r="AH819" i="32"/>
  <c r="AH820" i="32"/>
  <c r="AI809" i="32"/>
  <c r="AH813" i="32"/>
  <c r="AB813" i="32" s="1"/>
  <c r="AB814" i="32" s="1"/>
  <c r="AH816" i="32"/>
  <c r="AI808" i="32"/>
  <c r="AI807" i="32"/>
  <c r="AI804" i="32"/>
  <c r="AI805" i="32"/>
  <c r="AH822" i="32"/>
  <c r="AH821" i="32"/>
  <c r="AE821" i="32" s="1"/>
  <c r="AH817" i="32"/>
  <c r="AI812" i="32"/>
  <c r="AI692" i="32"/>
  <c r="AI769" i="32"/>
  <c r="AI766" i="32"/>
  <c r="AH780" i="32"/>
  <c r="AE780" i="32" s="1"/>
  <c r="AH778" i="32"/>
  <c r="AH776" i="32"/>
  <c r="AI765" i="32"/>
  <c r="AH773" i="32"/>
  <c r="AB773" i="32"/>
  <c r="AB774" i="32" s="1"/>
  <c r="AB775" i="32" s="1"/>
  <c r="AH782" i="32"/>
  <c r="AE782" i="32" s="1"/>
  <c r="AI770" i="32"/>
  <c r="AI764" i="32"/>
  <c r="AH781" i="32"/>
  <c r="AH774" i="32"/>
  <c r="AH779" i="32"/>
  <c r="AH1076" i="32"/>
  <c r="AI1069" i="32"/>
  <c r="AH1078" i="32"/>
  <c r="AE1078" i="32" s="1"/>
  <c r="AI1065" i="32"/>
  <c r="AI1032" i="32"/>
  <c r="AI852" i="32"/>
  <c r="AI965" i="32"/>
  <c r="AI589" i="32"/>
  <c r="AH601" i="32"/>
  <c r="AE601" i="32" s="1"/>
  <c r="AF601" i="32" s="1"/>
  <c r="AG601" i="32" s="1"/>
  <c r="AC601" i="32" s="1"/>
  <c r="AH597" i="32"/>
  <c r="AE597" i="32"/>
  <c r="AF597" i="32" s="1"/>
  <c r="AG597" i="32" s="1"/>
  <c r="AH595" i="32"/>
  <c r="AH1037" i="32"/>
  <c r="AE1037" i="32" s="1"/>
  <c r="AH1033" i="32"/>
  <c r="AB1033" i="32" s="1"/>
  <c r="AB1034" i="32" s="1"/>
  <c r="AI1031" i="32"/>
  <c r="AH977" i="32"/>
  <c r="AE977" i="32" s="1"/>
  <c r="AF977" i="32" s="1"/>
  <c r="AG977" i="32" s="1"/>
  <c r="AC977" i="32" s="1"/>
  <c r="AH978" i="32"/>
  <c r="AE978" i="32" s="1"/>
  <c r="AI963" i="32"/>
  <c r="AH973" i="32"/>
  <c r="AB973" i="32"/>
  <c r="AB974" i="32" s="1"/>
  <c r="AH982" i="32"/>
  <c r="AH979" i="32"/>
  <c r="AE979" i="32" s="1"/>
  <c r="AI1027" i="32"/>
  <c r="AH437" i="32"/>
  <c r="AH596" i="32"/>
  <c r="AH1039" i="32"/>
  <c r="AH857" i="32"/>
  <c r="AE857" i="32" s="1"/>
  <c r="AH593" i="32"/>
  <c r="AE593" i="32" s="1"/>
  <c r="AI45" i="32"/>
  <c r="AH122" i="32"/>
  <c r="AF122" i="32" s="1"/>
  <c r="AG122" i="32" s="1"/>
  <c r="AC122" i="32" s="1"/>
  <c r="AE122" i="32"/>
  <c r="AI269" i="32"/>
  <c r="AH278" i="32"/>
  <c r="AE278" i="32" s="1"/>
  <c r="AH277" i="32"/>
  <c r="AE277" i="32" s="1"/>
  <c r="AF277" i="32" s="1"/>
  <c r="AG277" i="32" s="1"/>
  <c r="AC277" i="32" s="1"/>
  <c r="AH282" i="32"/>
  <c r="AH459" i="32"/>
  <c r="AI445" i="32"/>
  <c r="N13" i="1"/>
  <c r="K13" i="1" s="1"/>
  <c r="N21" i="1"/>
  <c r="K21" i="1" s="1"/>
  <c r="N16" i="1"/>
  <c r="K16" i="1" s="1"/>
  <c r="T381" i="32"/>
  <c r="T470" i="32"/>
  <c r="T82" i="32"/>
  <c r="T258" i="32"/>
  <c r="T105" i="32"/>
  <c r="T213" i="32"/>
  <c r="T259" i="32"/>
  <c r="T342" i="32"/>
  <c r="T467" i="32"/>
  <c r="T384" i="32"/>
  <c r="T95" i="32"/>
  <c r="T216" i="32"/>
  <c r="T501" i="32"/>
  <c r="T379" i="32"/>
  <c r="T185" i="32"/>
  <c r="T380" i="32"/>
  <c r="T408" i="32"/>
  <c r="T160" i="32"/>
  <c r="T198" i="32"/>
  <c r="T90" i="32"/>
  <c r="T341" i="32"/>
  <c r="T319" i="32"/>
  <c r="T316" i="32"/>
  <c r="T220" i="32"/>
  <c r="T166" i="32"/>
  <c r="T344" i="32"/>
  <c r="T365" i="32"/>
  <c r="T106" i="32"/>
  <c r="T184" i="32"/>
  <c r="T515" i="32"/>
  <c r="T79" i="32"/>
  <c r="T497" i="32"/>
  <c r="T194" i="32"/>
  <c r="T375" i="32"/>
  <c r="T248" i="32"/>
  <c r="T348" i="32"/>
  <c r="T279" i="32"/>
  <c r="T468" i="32"/>
  <c r="T168" i="32"/>
  <c r="T447" i="32"/>
  <c r="T275" i="32"/>
  <c r="T320" i="32"/>
  <c r="X7" i="21"/>
  <c r="AH96" i="32"/>
  <c r="AI1049" i="32"/>
  <c r="AH101" i="32"/>
  <c r="AE101" i="32" s="1"/>
  <c r="AF101" i="32" s="1"/>
  <c r="AG101" i="32" s="1"/>
  <c r="AC101" i="32" s="1"/>
  <c r="AH102" i="32"/>
  <c r="AH34" i="32"/>
  <c r="AE34" i="32" s="1"/>
  <c r="AI72" i="32"/>
  <c r="AH22" i="32"/>
  <c r="AI471" i="32"/>
  <c r="AI92" i="32"/>
  <c r="AH155" i="32"/>
  <c r="AE155" i="32"/>
  <c r="AF155" i="32" s="1"/>
  <c r="AG155" i="32" s="1"/>
  <c r="AC155" i="32" s="1"/>
  <c r="AI149" i="32"/>
  <c r="AH160" i="32"/>
  <c r="AI152" i="32"/>
  <c r="AI543" i="32"/>
  <c r="AI551" i="32"/>
  <c r="AH696" i="32"/>
  <c r="AE696" i="32"/>
  <c r="AF696" i="32" s="1"/>
  <c r="AG696" i="32" s="1"/>
  <c r="AC696" i="32" s="1"/>
  <c r="AI685" i="32"/>
  <c r="AH836" i="32"/>
  <c r="AH837" i="32"/>
  <c r="AE837" i="32" s="1"/>
  <c r="AF837" i="32" s="1"/>
  <c r="AG837" i="32" s="1"/>
  <c r="AC837" i="32" s="1"/>
  <c r="AH917" i="32"/>
  <c r="AE917" i="32" s="1"/>
  <c r="AF917" i="32" s="1"/>
  <c r="AG917" i="32" s="1"/>
  <c r="AC917" i="32" s="1"/>
  <c r="AI912" i="32"/>
  <c r="AH98" i="32"/>
  <c r="AI84" i="32"/>
  <c r="AH153" i="32"/>
  <c r="AE153" i="32" s="1"/>
  <c r="AF153" i="32" s="1"/>
  <c r="AG153" i="32" s="1"/>
  <c r="AC153" i="32" s="1"/>
  <c r="AH1060" i="32"/>
  <c r="AE1060" i="32" s="1"/>
  <c r="AF1060" i="32" s="1"/>
  <c r="AG1060" i="32" s="1"/>
  <c r="AC1060" i="32" s="1"/>
  <c r="AH100" i="32"/>
  <c r="AE100" i="32"/>
  <c r="AH94" i="32"/>
  <c r="AE94" i="32" s="1"/>
  <c r="AF94" i="32" s="1"/>
  <c r="AG94" i="32" s="1"/>
  <c r="AC94" i="32" s="1"/>
  <c r="AH97" i="32"/>
  <c r="AI88" i="32"/>
  <c r="AH399" i="32"/>
  <c r="AE399" i="32"/>
  <c r="AH394" i="32"/>
  <c r="AE394" i="32"/>
  <c r="AH636" i="32"/>
  <c r="AE636" i="32" s="1"/>
  <c r="AF636" i="32" s="1"/>
  <c r="AG636" i="32" s="1"/>
  <c r="AC636" i="32" s="1"/>
  <c r="AH635" i="32"/>
  <c r="AH695" i="32"/>
  <c r="AE695" i="32"/>
  <c r="AI545" i="32"/>
  <c r="AI85" i="32"/>
  <c r="AH99" i="32"/>
  <c r="AE99" i="32" s="1"/>
  <c r="AF99" i="32" s="1"/>
  <c r="AG99" i="32" s="1"/>
  <c r="AC99" i="32" s="1"/>
  <c r="AI89" i="32"/>
  <c r="AI87" i="32"/>
  <c r="AI91" i="32"/>
  <c r="AI829" i="32"/>
  <c r="AH162" i="32"/>
  <c r="AH154" i="32"/>
  <c r="AE154" i="32" s="1"/>
  <c r="AI824" i="32"/>
  <c r="AI468" i="32"/>
  <c r="AI465" i="32"/>
  <c r="AH700" i="32"/>
  <c r="AE700" i="32" s="1"/>
  <c r="AH476" i="32"/>
  <c r="AE476" i="32"/>
  <c r="AF476" i="32" s="1"/>
  <c r="AG476" i="32" s="1"/>
  <c r="AC476" i="32" s="1"/>
  <c r="AI546" i="32"/>
  <c r="AI83" i="32"/>
  <c r="AH95" i="32"/>
  <c r="AI909" i="32"/>
  <c r="AI146" i="32"/>
  <c r="AI151" i="32"/>
  <c r="AH74" i="32"/>
  <c r="AH40" i="32"/>
  <c r="AE40" i="32"/>
  <c r="AI70" i="32"/>
  <c r="AI7" i="32"/>
  <c r="AH234" i="32"/>
  <c r="AE234" i="32" s="1"/>
  <c r="AF234" i="32" s="1"/>
  <c r="AG234" i="32" s="1"/>
  <c r="AC234" i="32" s="1"/>
  <c r="AI226" i="32"/>
  <c r="AH553" i="32"/>
  <c r="AH558" i="32"/>
  <c r="AE558" i="32" s="1"/>
  <c r="AF558" i="32" s="1"/>
  <c r="AG558" i="32" s="1"/>
  <c r="AC558" i="32" s="1"/>
  <c r="AI547" i="32"/>
  <c r="AH559" i="32"/>
  <c r="AE559" i="32" s="1"/>
  <c r="AI904" i="32"/>
  <c r="AH919" i="32"/>
  <c r="AE919" i="32" s="1"/>
  <c r="AF919" i="32" s="1"/>
  <c r="AG919" i="32" s="1"/>
  <c r="AC919" i="32" s="1"/>
  <c r="AI910" i="32"/>
  <c r="AH918" i="32"/>
  <c r="AE918" i="32" s="1"/>
  <c r="AI908" i="32"/>
  <c r="AH916" i="32"/>
  <c r="AE916" i="32" s="1"/>
  <c r="AI905" i="32"/>
  <c r="AI985" i="32"/>
  <c r="AI992" i="32"/>
  <c r="AH998" i="32"/>
  <c r="AH1000" i="32"/>
  <c r="AE1000" i="32" s="1"/>
  <c r="AI989" i="32"/>
  <c r="AH993" i="32"/>
  <c r="AE993" i="32"/>
  <c r="AI987" i="32"/>
  <c r="AH999" i="32"/>
  <c r="AE999" i="32" s="1"/>
  <c r="AH997" i="32"/>
  <c r="AE997" i="32"/>
  <c r="AF997" i="32" s="1"/>
  <c r="AG997" i="32" s="1"/>
  <c r="AC997" i="32" s="1"/>
  <c r="AH699" i="32"/>
  <c r="AE699" i="32" s="1"/>
  <c r="AH694" i="32"/>
  <c r="AE694" i="32" s="1"/>
  <c r="AF694" i="32" s="1"/>
  <c r="AG694" i="32" s="1"/>
  <c r="AC694" i="32" s="1"/>
  <c r="AI463" i="32"/>
  <c r="AH482" i="32"/>
  <c r="AH475" i="32"/>
  <c r="AE475" i="32"/>
  <c r="AF475" i="32" s="1"/>
  <c r="AG475" i="32" s="1"/>
  <c r="AC475" i="32" s="1"/>
  <c r="AI548" i="32"/>
  <c r="AI552" i="32"/>
  <c r="AI983" i="32"/>
  <c r="AI911" i="32"/>
  <c r="AH915" i="32"/>
  <c r="AI544" i="32"/>
  <c r="AH839" i="32"/>
  <c r="AE839" i="32" s="1"/>
  <c r="AF839" i="32" s="1"/>
  <c r="AG839" i="32" s="1"/>
  <c r="AC839" i="32" s="1"/>
  <c r="AI825" i="32"/>
  <c r="AH922" i="32"/>
  <c r="AI984" i="32"/>
  <c r="AI25" i="32"/>
  <c r="AI30" i="32"/>
  <c r="AI29" i="32"/>
  <c r="AI26" i="32"/>
  <c r="AH41" i="32"/>
  <c r="AE41" i="32" s="1"/>
  <c r="AI31" i="32"/>
  <c r="AI103" i="32"/>
  <c r="AH121" i="32"/>
  <c r="AH114" i="32"/>
  <c r="AE114" i="32" s="1"/>
  <c r="AI112" i="32"/>
  <c r="AI626" i="32"/>
  <c r="AI627" i="32"/>
  <c r="AH639" i="32"/>
  <c r="AE639" i="32"/>
  <c r="AH641" i="32"/>
  <c r="AE641" i="32" s="1"/>
  <c r="AF641" i="32" s="1"/>
  <c r="AG641" i="32" s="1"/>
  <c r="AC641" i="32" s="1"/>
  <c r="AI623" i="32"/>
  <c r="AH642" i="32"/>
  <c r="AH702" i="32"/>
  <c r="AE702" i="32" s="1"/>
  <c r="AF702" i="32" s="1"/>
  <c r="AG702" i="32" s="1"/>
  <c r="AC702" i="32" s="1"/>
  <c r="AH697" i="32"/>
  <c r="AE697" i="32" s="1"/>
  <c r="AI110" i="32"/>
  <c r="AH835" i="32"/>
  <c r="AE835" i="32"/>
  <c r="AF835" i="32"/>
  <c r="AG835" i="32" s="1"/>
  <c r="AC835" i="32" s="1"/>
  <c r="AI689" i="32"/>
  <c r="AI686" i="32"/>
  <c r="AI684" i="32"/>
  <c r="AH701" i="32"/>
  <c r="AE701" i="32" s="1"/>
  <c r="AF701" i="32" s="1"/>
  <c r="AG701" i="32" s="1"/>
  <c r="AC701" i="32" s="1"/>
  <c r="AI683" i="32"/>
  <c r="AH481" i="32"/>
  <c r="AE481" i="32" s="1"/>
  <c r="AF481" i="32" s="1"/>
  <c r="AG481" i="32" s="1"/>
  <c r="AC481" i="32" s="1"/>
  <c r="AI470" i="32"/>
  <c r="AI472" i="32"/>
  <c r="AH477" i="32"/>
  <c r="AE477" i="32" s="1"/>
  <c r="AF477" i="32" s="1"/>
  <c r="AG477" i="32" s="1"/>
  <c r="AC477" i="32" s="1"/>
  <c r="AH557" i="32"/>
  <c r="AH560" i="32"/>
  <c r="AH1001" i="32"/>
  <c r="AE1001" i="32"/>
  <c r="AF1001" i="32" s="1"/>
  <c r="AG1001" i="32" s="1"/>
  <c r="AC1001" i="32" s="1"/>
  <c r="AH913" i="32"/>
  <c r="AE913" i="32" s="1"/>
  <c r="AF913" i="32" s="1"/>
  <c r="AG913" i="32" s="1"/>
  <c r="AC913" i="32" s="1"/>
  <c r="AH914" i="32"/>
  <c r="AI907" i="32"/>
  <c r="AI23" i="32"/>
  <c r="AH33" i="32"/>
  <c r="AI32" i="32"/>
  <c r="AI27" i="32"/>
  <c r="AI107" i="32"/>
  <c r="AI990" i="32"/>
  <c r="AI549" i="32"/>
  <c r="AH640" i="32"/>
  <c r="AI625" i="32"/>
  <c r="AH317" i="32"/>
  <c r="AH318" i="32"/>
  <c r="AE318" i="32" s="1"/>
  <c r="AF318" i="32" s="1"/>
  <c r="AG318" i="32" s="1"/>
  <c r="AC318" i="32" s="1"/>
  <c r="AH402" i="32"/>
  <c r="AE402" i="32" s="1"/>
  <c r="AF402" i="32" s="1"/>
  <c r="AG402" i="32" s="1"/>
  <c r="AC402" i="32" s="1"/>
  <c r="AI389" i="32"/>
  <c r="AI830" i="32"/>
  <c r="AH833" i="32"/>
  <c r="AB833" i="32" s="1"/>
  <c r="AB834" i="32" s="1"/>
  <c r="AH842" i="32"/>
  <c r="AE842" i="32" s="1"/>
  <c r="AF842" i="32" s="1"/>
  <c r="AG842" i="32" s="1"/>
  <c r="AC842" i="32" s="1"/>
  <c r="AH840" i="32"/>
  <c r="AE840" i="32" s="1"/>
  <c r="AI827" i="32"/>
  <c r="AH838" i="32"/>
  <c r="AE838" i="32"/>
  <c r="AH834" i="32"/>
  <c r="AE834" i="32" s="1"/>
  <c r="AH1058" i="32"/>
  <c r="AE1058" i="32" s="1"/>
  <c r="AF1058" i="32" s="1"/>
  <c r="AG1058" i="32" s="1"/>
  <c r="AC1058" i="32" s="1"/>
  <c r="AI1043" i="32"/>
  <c r="AI1052" i="32"/>
  <c r="AH1055" i="32"/>
  <c r="AH473" i="32"/>
  <c r="AH921" i="32"/>
  <c r="AH1002" i="32"/>
  <c r="AE1002" i="32" s="1"/>
  <c r="AF1002" i="32" s="1"/>
  <c r="AG1002" i="32" s="1"/>
  <c r="AC1002" i="32" s="1"/>
  <c r="AI986" i="32"/>
  <c r="AI309" i="32"/>
  <c r="AH113" i="32"/>
  <c r="AB113" i="32" s="1"/>
  <c r="AI832" i="32"/>
  <c r="AI826" i="32"/>
  <c r="AI691" i="32"/>
  <c r="AH698" i="32"/>
  <c r="AI688" i="32"/>
  <c r="AI687" i="32"/>
  <c r="AH693" i="32"/>
  <c r="AH474" i="32"/>
  <c r="AE474" i="32" s="1"/>
  <c r="AI464" i="32"/>
  <c r="AH478" i="32"/>
  <c r="AE478" i="32" s="1"/>
  <c r="AF478" i="32" s="1"/>
  <c r="AG478" i="32" s="1"/>
  <c r="AC478" i="32" s="1"/>
  <c r="AI469" i="32"/>
  <c r="AH479" i="32"/>
  <c r="AE479" i="32" s="1"/>
  <c r="AI467" i="32"/>
  <c r="AH398" i="32"/>
  <c r="AE398" i="32"/>
  <c r="AF398" i="32" s="1"/>
  <c r="AG398" i="32" s="1"/>
  <c r="AC398" i="32" s="1"/>
  <c r="AH554" i="32"/>
  <c r="AH556" i="32"/>
  <c r="AE556" i="32" s="1"/>
  <c r="AH561" i="32"/>
  <c r="AE561" i="32" s="1"/>
  <c r="AF561" i="32" s="1"/>
  <c r="AG561" i="32" s="1"/>
  <c r="AC561" i="32" s="1"/>
  <c r="AH995" i="32"/>
  <c r="AE995" i="32" s="1"/>
  <c r="AF995" i="32" s="1"/>
  <c r="AG995" i="32" s="1"/>
  <c r="AC995" i="32" s="1"/>
  <c r="AI991" i="32"/>
  <c r="AI906" i="32"/>
  <c r="AI903" i="32"/>
  <c r="AH920" i="32"/>
  <c r="AE920" i="32" s="1"/>
  <c r="AH35" i="32"/>
  <c r="AE35" i="32" s="1"/>
  <c r="AH36" i="32"/>
  <c r="AI24" i="32"/>
  <c r="AI823" i="32"/>
  <c r="AH119" i="32"/>
  <c r="AH996" i="32"/>
  <c r="AE996" i="32"/>
  <c r="AF996" i="32" s="1"/>
  <c r="AG996" i="32" s="1"/>
  <c r="AC996" i="32" s="1"/>
  <c r="AI1048" i="32"/>
  <c r="AH14" i="32"/>
  <c r="AH176" i="32"/>
  <c r="AE176" i="32" s="1"/>
  <c r="AH178" i="32"/>
  <c r="AE178" i="32" s="1"/>
  <c r="AF178" i="32" s="1"/>
  <c r="AG178" i="32" s="1"/>
  <c r="AC178" i="32" s="1"/>
  <c r="AH236" i="32"/>
  <c r="AE236" i="32" s="1"/>
  <c r="AI227" i="32"/>
  <c r="AI229" i="32"/>
  <c r="AH314" i="32"/>
  <c r="AI304" i="32"/>
  <c r="AH322" i="32"/>
  <c r="AE322" i="32" s="1"/>
  <c r="AI385" i="32"/>
  <c r="AH174" i="32"/>
  <c r="AE174" i="32" s="1"/>
  <c r="AI169" i="32"/>
  <c r="AI163" i="32"/>
  <c r="AH180" i="32"/>
  <c r="AH400" i="32"/>
  <c r="AE400" i="32" s="1"/>
  <c r="AH242" i="32"/>
  <c r="AH320" i="32"/>
  <c r="AH313" i="32"/>
  <c r="AI303" i="32"/>
  <c r="AH319" i="32"/>
  <c r="AE319" i="32" s="1"/>
  <c r="AF319" i="32" s="1"/>
  <c r="AG319" i="32" s="1"/>
  <c r="AC319" i="32" s="1"/>
  <c r="AI391" i="32"/>
  <c r="AH241" i="32"/>
  <c r="AI383" i="32"/>
  <c r="AH934" i="32"/>
  <c r="AI931" i="32"/>
  <c r="AI390" i="32"/>
  <c r="AH395" i="32"/>
  <c r="AE395" i="32"/>
  <c r="AF395" i="32" s="1"/>
  <c r="AG395" i="32" s="1"/>
  <c r="AC395" i="32" s="1"/>
  <c r="AH397" i="32"/>
  <c r="AE397" i="32" s="1"/>
  <c r="AI387" i="32"/>
  <c r="AH182" i="32"/>
  <c r="AE182" i="32" s="1"/>
  <c r="AF182" i="32" s="1"/>
  <c r="AG182" i="32" s="1"/>
  <c r="AC182" i="32" s="1"/>
  <c r="AH181" i="32"/>
  <c r="AI172" i="32"/>
  <c r="AH315" i="32"/>
  <c r="AE315" i="32" s="1"/>
  <c r="AF315" i="32" s="1"/>
  <c r="AG315" i="32" s="1"/>
  <c r="AC315" i="32" s="1"/>
  <c r="AI223" i="32"/>
  <c r="AI308" i="32"/>
  <c r="AH321" i="32"/>
  <c r="AE321" i="32" s="1"/>
  <c r="AI311" i="32"/>
  <c r="AH239" i="32"/>
  <c r="AE239" i="32"/>
  <c r="AH238" i="32"/>
  <c r="AE238" i="32" s="1"/>
  <c r="AH233" i="32"/>
  <c r="AE233" i="32" s="1"/>
  <c r="AI392" i="32"/>
  <c r="AI3" i="32"/>
  <c r="AI4" i="32"/>
  <c r="AH21" i="32"/>
  <c r="AE21" i="32" s="1"/>
  <c r="AH19" i="32"/>
  <c r="AE19" i="32" s="1"/>
  <c r="AF19" i="32" s="1"/>
  <c r="AG19" i="32" s="1"/>
  <c r="AC19" i="32" s="1"/>
  <c r="AH13" i="32"/>
  <c r="AE13" i="32"/>
  <c r="AF13" i="32" s="1"/>
  <c r="AG13" i="32" s="1"/>
  <c r="AC13" i="32" s="1"/>
  <c r="AH740" i="32"/>
  <c r="AE740" i="32" s="1"/>
  <c r="AI725" i="32"/>
  <c r="AH798" i="32"/>
  <c r="AI787" i="32"/>
  <c r="AI865" i="32"/>
  <c r="AI872" i="32"/>
  <c r="AI386" i="32"/>
  <c r="AH396" i="32"/>
  <c r="AI166" i="32"/>
  <c r="AH173" i="32"/>
  <c r="AE173" i="32"/>
  <c r="AI165" i="32"/>
  <c r="AH316" i="32"/>
  <c r="AE316" i="32" s="1"/>
  <c r="AH401" i="32"/>
  <c r="AE401" i="32" s="1"/>
  <c r="AF401" i="32" s="1"/>
  <c r="AG401" i="32" s="1"/>
  <c r="AC401" i="32" s="1"/>
  <c r="AI305" i="32"/>
  <c r="AI307" i="32"/>
  <c r="AI310" i="32"/>
  <c r="AI224" i="32"/>
  <c r="AI230" i="32"/>
  <c r="AH393" i="32"/>
  <c r="AB393" i="32" s="1"/>
  <c r="AB394" i="32" s="1"/>
  <c r="AH455" i="32"/>
  <c r="AE455" i="32" s="1"/>
  <c r="AF455" i="32" s="1"/>
  <c r="AG455" i="32" s="1"/>
  <c r="AC455" i="32" s="1"/>
  <c r="AH456" i="32"/>
  <c r="AH460" i="32"/>
  <c r="AH457" i="32"/>
  <c r="AE457" i="32"/>
  <c r="AF457" i="32" s="1"/>
  <c r="AG457" i="32" s="1"/>
  <c r="AC457" i="32" s="1"/>
  <c r="AI444" i="32"/>
  <c r="AI450" i="32"/>
  <c r="AI527" i="32"/>
  <c r="AH539" i="32"/>
  <c r="AE539" i="32" s="1"/>
  <c r="AH535" i="32"/>
  <c r="AE535" i="32"/>
  <c r="AH613" i="32"/>
  <c r="AB613" i="32" s="1"/>
  <c r="AB614" i="32" s="1"/>
  <c r="AH617" i="32"/>
  <c r="AE617" i="32" s="1"/>
  <c r="AH614" i="32"/>
  <c r="AE614" i="32" s="1"/>
  <c r="AF614" i="32" s="1"/>
  <c r="AG614" i="32" s="1"/>
  <c r="AC614" i="32" s="1"/>
  <c r="AI604" i="32"/>
  <c r="AI665" i="32"/>
  <c r="AI690" i="32"/>
  <c r="AH62" i="32"/>
  <c r="AE62" i="32" s="1"/>
  <c r="AF62" i="32" s="1"/>
  <c r="AG62" i="32" s="1"/>
  <c r="AC62" i="32" s="1"/>
  <c r="AH296" i="32"/>
  <c r="AE296" i="32" s="1"/>
  <c r="AI289" i="32"/>
  <c r="AH302" i="32"/>
  <c r="AE302" i="32" s="1"/>
  <c r="AF302" i="32" s="1"/>
  <c r="AG302" i="32" s="1"/>
  <c r="AH301" i="32"/>
  <c r="AE301" i="32" s="1"/>
  <c r="AI291" i="32"/>
  <c r="AI286" i="32"/>
  <c r="AI287" i="32"/>
  <c r="AH300" i="32"/>
  <c r="AE300" i="32"/>
  <c r="AH297" i="32"/>
  <c r="AH299" i="32"/>
  <c r="AH298" i="32"/>
  <c r="AE298" i="32" s="1"/>
  <c r="AF298" i="32" s="1"/>
  <c r="AG298" i="32" s="1"/>
  <c r="AC298" i="32" s="1"/>
  <c r="AH294" i="32"/>
  <c r="AE294" i="32" s="1"/>
  <c r="AI366" i="32"/>
  <c r="AH374" i="32"/>
  <c r="AE374" i="32"/>
  <c r="AI363" i="32"/>
  <c r="AI368" i="32"/>
  <c r="AI367" i="32"/>
  <c r="AH379" i="32"/>
  <c r="AE379" i="32" s="1"/>
  <c r="AF379" i="32" s="1"/>
  <c r="AG379" i="32" s="1"/>
  <c r="AC379" i="32" s="1"/>
  <c r="AH381" i="32"/>
  <c r="AE381" i="32" s="1"/>
  <c r="AF381" i="32"/>
  <c r="AG381" i="32" s="1"/>
  <c r="AC381" i="32" s="1"/>
  <c r="AI364" i="32"/>
  <c r="AI370" i="32"/>
  <c r="AH382" i="32"/>
  <c r="AE382" i="32" s="1"/>
  <c r="AH380" i="32"/>
  <c r="AH376" i="32"/>
  <c r="AE376" i="32" s="1"/>
  <c r="AF376" i="32" s="1"/>
  <c r="AG376" i="32" s="1"/>
  <c r="AC376" i="32" s="1"/>
  <c r="AI365" i="32"/>
  <c r="AH377" i="32"/>
  <c r="AH378" i="32"/>
  <c r="AE378" i="32" s="1"/>
  <c r="AH375" i="32"/>
  <c r="AE375" i="32" s="1"/>
  <c r="AH518" i="32"/>
  <c r="AH515" i="32"/>
  <c r="AE515" i="32" s="1"/>
  <c r="AF515" i="32" s="1"/>
  <c r="AG515" i="32" s="1"/>
  <c r="AC515" i="32" s="1"/>
  <c r="AI507" i="32"/>
  <c r="AH519" i="32"/>
  <c r="AE519" i="32"/>
  <c r="AF519" i="32" s="1"/>
  <c r="AG519" i="32" s="1"/>
  <c r="AC519" i="32" s="1"/>
  <c r="AH520" i="32"/>
  <c r="AI512" i="32"/>
  <c r="AI505" i="32"/>
  <c r="AI504" i="32"/>
  <c r="AH517" i="32"/>
  <c r="AE517" i="32"/>
  <c r="AH521" i="32"/>
  <c r="AI509" i="32"/>
  <c r="AI506" i="32"/>
  <c r="AH514" i="32"/>
  <c r="AH513" i="32"/>
  <c r="AB513" i="32" s="1"/>
  <c r="AB514" i="32" s="1"/>
  <c r="AI283" i="32"/>
  <c r="AH522" i="32"/>
  <c r="AE522" i="32"/>
  <c r="AH295" i="32"/>
  <c r="AI292" i="32"/>
  <c r="AH76" i="32"/>
  <c r="AE76" i="32" s="1"/>
  <c r="AF76" i="32" s="1"/>
  <c r="AG76" i="32" s="1"/>
  <c r="AC76" i="32" s="1"/>
  <c r="AI64" i="32"/>
  <c r="AH80" i="32"/>
  <c r="AI63" i="32"/>
  <c r="AH75" i="32"/>
  <c r="AE75" i="32" s="1"/>
  <c r="AH77" i="32"/>
  <c r="AE77" i="32" s="1"/>
  <c r="AF77" i="32" s="1"/>
  <c r="AG77" i="32" s="1"/>
  <c r="AC77" i="32" s="1"/>
  <c r="AH81" i="32"/>
  <c r="AE81" i="32"/>
  <c r="AF81" i="32" s="1"/>
  <c r="AG81" i="32" s="1"/>
  <c r="AC81" i="32" s="1"/>
  <c r="AH82" i="32"/>
  <c r="AE82" i="32"/>
  <c r="AI65" i="32"/>
  <c r="AH78" i="32"/>
  <c r="AE78" i="32"/>
  <c r="AF78" i="32" s="1"/>
  <c r="AG78" i="32" s="1"/>
  <c r="AC78" i="32" s="1"/>
  <c r="AI66" i="32"/>
  <c r="AH73" i="32"/>
  <c r="AE73" i="32"/>
  <c r="AF73" i="32" s="1"/>
  <c r="AG73" i="32" s="1"/>
  <c r="AC73" i="32" s="1"/>
  <c r="AI1072" i="32"/>
  <c r="AH1073" i="32"/>
  <c r="AB1073" i="32"/>
  <c r="AH935" i="32"/>
  <c r="AE935" i="32" s="1"/>
  <c r="AI923" i="32"/>
  <c r="AI930" i="32"/>
  <c r="AH942" i="32"/>
  <c r="AI924" i="32"/>
  <c r="AH938" i="32"/>
  <c r="AH941" i="32"/>
  <c r="AE941" i="32" s="1"/>
  <c r="AF941" i="32" s="1"/>
  <c r="AG941" i="32" s="1"/>
  <c r="AC941" i="32" s="1"/>
  <c r="AH936" i="32"/>
  <c r="AE936" i="32" s="1"/>
  <c r="AF936" i="32" s="1"/>
  <c r="AG936" i="32" s="1"/>
  <c r="AC936" i="32" s="1"/>
  <c r="AH1080" i="32"/>
  <c r="AE1080" i="32" s="1"/>
  <c r="AH1074" i="32"/>
  <c r="AE1074" i="32" s="1"/>
  <c r="AH1079" i="32"/>
  <c r="AE1079" i="32"/>
  <c r="AH1077" i="32"/>
  <c r="AE1077" i="32" s="1"/>
  <c r="AI1070" i="32"/>
  <c r="AH79" i="32"/>
  <c r="AE79" i="32" s="1"/>
  <c r="AI1067" i="32"/>
  <c r="AH1081" i="32"/>
  <c r="AE1081" i="32" s="1"/>
  <c r="AI1071" i="32"/>
  <c r="AI1068" i="32"/>
  <c r="AI927" i="32"/>
  <c r="AH940" i="32"/>
  <c r="AH1082" i="32"/>
  <c r="AE1082" i="32"/>
  <c r="AF1082" i="32" s="1"/>
  <c r="AG1082" i="32" s="1"/>
  <c r="AC1082" i="32" s="1"/>
  <c r="AH201" i="32"/>
  <c r="AH194" i="32"/>
  <c r="AE194" i="32" s="1"/>
  <c r="AH200" i="32"/>
  <c r="AE200" i="32" s="1"/>
  <c r="AF200" i="32" s="1"/>
  <c r="AG200" i="32" s="1"/>
  <c r="AC200" i="32" s="1"/>
  <c r="AH196" i="32"/>
  <c r="AE196" i="32" s="1"/>
  <c r="AF196" i="32" s="1"/>
  <c r="AG196" i="32" s="1"/>
  <c r="AC196" i="32" s="1"/>
  <c r="AH197" i="32"/>
  <c r="AE197" i="32" s="1"/>
  <c r="AI186" i="32"/>
  <c r="AI187" i="32"/>
  <c r="AI188" i="32"/>
  <c r="AI190" i="32"/>
  <c r="AI185" i="32"/>
  <c r="AH198" i="32"/>
  <c r="AE198" i="32" s="1"/>
  <c r="AF198" i="32" s="1"/>
  <c r="AG198" i="32" s="1"/>
  <c r="AC198" i="32" s="1"/>
  <c r="AH202" i="32"/>
  <c r="AE202" i="32" s="1"/>
  <c r="AH59" i="32"/>
  <c r="AH56" i="32"/>
  <c r="AI46" i="32"/>
  <c r="AH562" i="32"/>
  <c r="AE562" i="32" s="1"/>
  <c r="AI550" i="32"/>
  <c r="AH555" i="32"/>
  <c r="AI624" i="32"/>
  <c r="AI630" i="32"/>
  <c r="AI628" i="32"/>
  <c r="AH637" i="32"/>
  <c r="AH634" i="32"/>
  <c r="AE634" i="32" s="1"/>
  <c r="AI632" i="32"/>
  <c r="AH633" i="32"/>
  <c r="AB633" i="32" s="1"/>
  <c r="AB634" i="32" s="1"/>
  <c r="AH638" i="32"/>
  <c r="AH753" i="32"/>
  <c r="AB753" i="32" s="1"/>
  <c r="AB754" i="32" s="1"/>
  <c r="AH759" i="32"/>
  <c r="AH761" i="32"/>
  <c r="AE761" i="32" s="1"/>
  <c r="AH760" i="32"/>
  <c r="AE760" i="32"/>
  <c r="AF760" i="32" s="1"/>
  <c r="AG760" i="32" s="1"/>
  <c r="AI944" i="32"/>
  <c r="AI948" i="32"/>
  <c r="AI943" i="32"/>
  <c r="AH957" i="32"/>
  <c r="AI950" i="32"/>
  <c r="AH956" i="32"/>
  <c r="AE956" i="32"/>
  <c r="AF956" i="32" s="1"/>
  <c r="AG956" i="32" s="1"/>
  <c r="AC956" i="32" s="1"/>
  <c r="AH958" i="32"/>
  <c r="AH1017" i="32"/>
  <c r="AE1017" i="32" s="1"/>
  <c r="AH1014" i="32"/>
  <c r="AE1014" i="32"/>
  <c r="AI108" i="32"/>
  <c r="AH117" i="32"/>
  <c r="AI111" i="32"/>
  <c r="AH115" i="32"/>
  <c r="AI105" i="32"/>
  <c r="AI109" i="32"/>
  <c r="AH116" i="32"/>
  <c r="AE116" i="32" s="1"/>
  <c r="AF116" i="32" s="1"/>
  <c r="AG116" i="32" s="1"/>
  <c r="AC116" i="32" s="1"/>
  <c r="AI104" i="32"/>
  <c r="AH120" i="32"/>
  <c r="AE120" i="32" s="1"/>
  <c r="AF120" i="32" s="1"/>
  <c r="AG120" i="32" s="1"/>
  <c r="AC120" i="32" s="1"/>
  <c r="AH240" i="32"/>
  <c r="AE240" i="32" s="1"/>
  <c r="AF240" i="32" s="1"/>
  <c r="AG240" i="32" s="1"/>
  <c r="AC240" i="32" s="1"/>
  <c r="AH235" i="32"/>
  <c r="AI228" i="32"/>
  <c r="AH237" i="32"/>
  <c r="AE237" i="32" s="1"/>
  <c r="AF237" i="32"/>
  <c r="AG237" i="32" s="1"/>
  <c r="AH436" i="32"/>
  <c r="AI427" i="32"/>
  <c r="AH438" i="32"/>
  <c r="AE438" i="32" s="1"/>
  <c r="AH500" i="32"/>
  <c r="AE500" i="32" s="1"/>
  <c r="AF500" i="32" s="1"/>
  <c r="AG500" i="32" s="1"/>
  <c r="AC500" i="32" s="1"/>
  <c r="AH501" i="32"/>
  <c r="AE501" i="32" s="1"/>
  <c r="AF501" i="32" s="1"/>
  <c r="AG501" i="32" s="1"/>
  <c r="AC501" i="32" s="1"/>
  <c r="AI488" i="32"/>
  <c r="AH493" i="32"/>
  <c r="AI483" i="32"/>
  <c r="AH573" i="32"/>
  <c r="AI564" i="32"/>
  <c r="AH841" i="32"/>
  <c r="AI831" i="32"/>
  <c r="AH900" i="32"/>
  <c r="AE900" i="32" s="1"/>
  <c r="AF900" i="32" s="1"/>
  <c r="AG900" i="32" s="1"/>
  <c r="AC900" i="32" s="1"/>
  <c r="AI891" i="32"/>
  <c r="AI523" i="32"/>
  <c r="AI526" i="32"/>
  <c r="AH677" i="32"/>
  <c r="AI670" i="32"/>
  <c r="AH681" i="32"/>
  <c r="AH678" i="32"/>
  <c r="AH739" i="32"/>
  <c r="AE739" i="32" s="1"/>
  <c r="AF739" i="32" s="1"/>
  <c r="AG739" i="32" s="1"/>
  <c r="AC739" i="32" s="1"/>
  <c r="AH734" i="32"/>
  <c r="AE734" i="32" s="1"/>
  <c r="AI785" i="32"/>
  <c r="AH797" i="32"/>
  <c r="AE797" i="32" s="1"/>
  <c r="AF797" i="32" s="1"/>
  <c r="AG797" i="32" s="1"/>
  <c r="AC797" i="32" s="1"/>
  <c r="AI789" i="32"/>
  <c r="AI867" i="32"/>
  <c r="AH880" i="32"/>
  <c r="AE880" i="32" s="1"/>
  <c r="AF880" i="32" s="1"/>
  <c r="AG880" i="32" s="1"/>
  <c r="AC880" i="32" s="1"/>
  <c r="AH1057" i="32"/>
  <c r="AE1057" i="32" s="1"/>
  <c r="AI1050" i="32"/>
  <c r="AI5" i="32"/>
  <c r="AH17" i="32"/>
  <c r="AE17" i="32" s="1"/>
  <c r="AH15" i="32"/>
  <c r="AE15" i="32" s="1"/>
  <c r="AH18" i="32"/>
  <c r="AE18" i="32" s="1"/>
  <c r="AH373" i="32"/>
  <c r="AE373" i="32"/>
  <c r="AF373" i="32" s="1"/>
  <c r="AG373" i="32" s="1"/>
  <c r="AC373" i="32" s="1"/>
  <c r="AI371" i="32"/>
  <c r="AI511" i="32"/>
  <c r="AI508" i="32"/>
  <c r="AH516" i="32"/>
  <c r="AE516" i="32" s="1"/>
  <c r="AF516" i="32" s="1"/>
  <c r="AG516" i="32" s="1"/>
  <c r="AC516" i="32" s="1"/>
  <c r="AI503" i="32"/>
  <c r="AH576" i="32"/>
  <c r="AE576" i="32" s="1"/>
  <c r="AI568" i="32"/>
  <c r="AI569" i="32"/>
  <c r="AH796" i="32"/>
  <c r="AE796" i="32" s="1"/>
  <c r="AF796" i="32" s="1"/>
  <c r="AG796" i="32" s="1"/>
  <c r="AC796" i="32" s="1"/>
  <c r="AI784" i="32"/>
  <c r="AH795" i="32"/>
  <c r="AE795" i="32" s="1"/>
  <c r="AH794" i="32"/>
  <c r="AE794" i="32"/>
  <c r="AI790" i="32"/>
  <c r="AH879" i="32"/>
  <c r="AI1047" i="32"/>
  <c r="AH1056" i="32"/>
  <c r="AE1056" i="32" s="1"/>
  <c r="AF1056" i="32" s="1"/>
  <c r="AG1056" i="32" s="1"/>
  <c r="AC1056" i="32" s="1"/>
  <c r="AH1053" i="32"/>
  <c r="AB1053" i="32" s="1"/>
  <c r="AB1054" i="32" s="1"/>
  <c r="AH1054" i="32"/>
  <c r="AH1061" i="32"/>
  <c r="AE1061" i="32" s="1"/>
  <c r="AF1061" i="32" s="1"/>
  <c r="AG1061" i="32" s="1"/>
  <c r="AC1061" i="32" s="1"/>
  <c r="AI1045" i="32"/>
  <c r="R26" i="51"/>
  <c r="R23" i="51"/>
  <c r="R30" i="51"/>
  <c r="R9" i="51"/>
  <c r="R12" i="51"/>
  <c r="R7" i="51"/>
  <c r="R10" i="51"/>
  <c r="R11" i="51"/>
  <c r="R6" i="51"/>
  <c r="R8" i="51"/>
  <c r="R14" i="51"/>
  <c r="R15" i="51"/>
  <c r="R16" i="51"/>
  <c r="R17" i="51"/>
  <c r="R19" i="51"/>
  <c r="R20" i="51"/>
  <c r="R25" i="51"/>
  <c r="R21" i="51"/>
  <c r="R22" i="51"/>
  <c r="R27" i="51"/>
  <c r="R31" i="51"/>
  <c r="R36" i="51"/>
  <c r="R41" i="51"/>
  <c r="R42" i="51"/>
  <c r="R43" i="51"/>
  <c r="R45" i="51"/>
  <c r="R56" i="51"/>
  <c r="R32" i="51"/>
  <c r="R34" i="51"/>
  <c r="R37" i="51"/>
  <c r="R39" i="51"/>
  <c r="R40" i="51"/>
  <c r="R44" i="51"/>
  <c r="R52" i="51"/>
  <c r="R51" i="51"/>
  <c r="R53" i="51"/>
  <c r="R54" i="51"/>
  <c r="R55" i="51"/>
  <c r="R29" i="51"/>
  <c r="R33" i="51"/>
  <c r="R38" i="51"/>
  <c r="R49" i="51"/>
  <c r="R50" i="51"/>
  <c r="R28" i="51"/>
  <c r="R35" i="51"/>
  <c r="R46" i="51"/>
  <c r="R48" i="51"/>
  <c r="R47" i="51"/>
  <c r="R24" i="51"/>
  <c r="R18" i="51"/>
  <c r="R13" i="51"/>
  <c r="J3" i="51"/>
  <c r="J4" i="51"/>
  <c r="S3" i="51"/>
  <c r="S4" i="51" s="1"/>
  <c r="S8" i="51"/>
  <c r="S12" i="51"/>
  <c r="S17" i="51"/>
  <c r="S18" i="51"/>
  <c r="S21" i="51"/>
  <c r="S15" i="51"/>
  <c r="S9" i="51"/>
  <c r="S11" i="51"/>
  <c r="S10" i="51"/>
  <c r="S14" i="51"/>
  <c r="S16" i="51"/>
  <c r="S22" i="51"/>
  <c r="S23" i="51"/>
  <c r="S7" i="51"/>
  <c r="S6" i="51"/>
  <c r="S13" i="51"/>
  <c r="S24" i="51"/>
  <c r="S20" i="51"/>
  <c r="S26" i="51"/>
  <c r="S28" i="51"/>
  <c r="S35" i="51"/>
  <c r="S41" i="51"/>
  <c r="S46" i="51"/>
  <c r="S51" i="51"/>
  <c r="S27" i="51"/>
  <c r="S30" i="51"/>
  <c r="S32" i="51"/>
  <c r="S36" i="51"/>
  <c r="S42" i="51"/>
  <c r="S45" i="51"/>
  <c r="S50" i="51"/>
  <c r="S56" i="51"/>
  <c r="S19" i="51"/>
  <c r="S34" i="51"/>
  <c r="S37" i="51"/>
  <c r="S39" i="51"/>
  <c r="S40" i="51"/>
  <c r="S44" i="51"/>
  <c r="S52" i="51"/>
  <c r="S53" i="51"/>
  <c r="S54" i="51"/>
  <c r="S55" i="51"/>
  <c r="S25" i="51"/>
  <c r="S29" i="51"/>
  <c r="S31" i="51"/>
  <c r="S33" i="51"/>
  <c r="S38" i="51"/>
  <c r="S43" i="51"/>
  <c r="S47" i="51"/>
  <c r="S49" i="51"/>
  <c r="S48" i="51"/>
  <c r="H70" i="21"/>
  <c r="M73" i="21"/>
  <c r="B73" i="21"/>
  <c r="L73" i="21"/>
  <c r="H73" i="21"/>
  <c r="D73" i="21"/>
  <c r="A73" i="21" s="1"/>
  <c r="J73" i="21"/>
  <c r="J77" i="21"/>
  <c r="B77" i="21"/>
  <c r="M77" i="21"/>
  <c r="I77" i="21"/>
  <c r="L77" i="21"/>
  <c r="H77" i="21"/>
  <c r="D77" i="21"/>
  <c r="E77" i="21" s="1"/>
  <c r="L80" i="21"/>
  <c r="H80" i="21"/>
  <c r="K80" i="21"/>
  <c r="D80" i="21"/>
  <c r="A80" i="21" s="1"/>
  <c r="J80" i="21"/>
  <c r="M80" i="21"/>
  <c r="I80" i="21"/>
  <c r="M83" i="21"/>
  <c r="I83" i="21"/>
  <c r="B83" i="21"/>
  <c r="L83" i="21"/>
  <c r="H83" i="21"/>
  <c r="K83" i="21"/>
  <c r="D83" i="21"/>
  <c r="A83" i="21" s="1"/>
  <c r="B87" i="21"/>
  <c r="H87" i="21"/>
  <c r="L67" i="21"/>
  <c r="J71" i="21"/>
  <c r="M71" i="21"/>
  <c r="L71" i="21"/>
  <c r="H71" i="21"/>
  <c r="K74" i="21"/>
  <c r="D74" i="21"/>
  <c r="F74" i="21" s="1"/>
  <c r="M78" i="21"/>
  <c r="I78" i="21"/>
  <c r="B78" i="21"/>
  <c r="H78" i="21"/>
  <c r="K78" i="21"/>
  <c r="D78" i="21"/>
  <c r="D81" i="21"/>
  <c r="E81" i="21" s="1"/>
  <c r="D84" i="21"/>
  <c r="A84" i="21" s="1"/>
  <c r="B84" i="21"/>
  <c r="AE486" i="32"/>
  <c r="J68" i="21"/>
  <c r="M68" i="21"/>
  <c r="I68" i="21"/>
  <c r="B68" i="21"/>
  <c r="L68" i="21"/>
  <c r="H68" i="21"/>
  <c r="D68" i="21"/>
  <c r="A68" i="21" s="1"/>
  <c r="K75" i="21"/>
  <c r="D75" i="21"/>
  <c r="A75" i="21" s="1"/>
  <c r="J75" i="21"/>
  <c r="I75" i="21"/>
  <c r="B75" i="21"/>
  <c r="H75" i="21"/>
  <c r="I82" i="21"/>
  <c r="H82" i="21"/>
  <c r="K82" i="21"/>
  <c r="K85" i="21"/>
  <c r="D85" i="21"/>
  <c r="J85" i="21"/>
  <c r="M85" i="21"/>
  <c r="I85" i="21"/>
  <c r="B85" i="21"/>
  <c r="L85" i="21"/>
  <c r="B80" i="21"/>
  <c r="J83" i="21"/>
  <c r="D87" i="21"/>
  <c r="A87" i="21" s="1"/>
  <c r="M69" i="21"/>
  <c r="B69" i="21"/>
  <c r="L69" i="21"/>
  <c r="H69" i="21"/>
  <c r="D69" i="21"/>
  <c r="E69" i="21" s="1"/>
  <c r="J69" i="21"/>
  <c r="I72" i="21"/>
  <c r="B72" i="21"/>
  <c r="J76" i="21"/>
  <c r="M76" i="21"/>
  <c r="L76" i="21"/>
  <c r="H76" i="21"/>
  <c r="I79" i="21"/>
  <c r="L79" i="21"/>
  <c r="D79" i="21"/>
  <c r="A79" i="21" s="1"/>
  <c r="B79" i="21"/>
  <c r="J86" i="21"/>
  <c r="I86" i="21"/>
  <c r="B86" i="21"/>
  <c r="L86" i="21"/>
  <c r="D86" i="21"/>
  <c r="A86" i="21" s="1"/>
  <c r="B74" i="21"/>
  <c r="K77" i="21"/>
  <c r="F52" i="21"/>
  <c r="D52" i="21"/>
  <c r="C52" i="21" s="1"/>
  <c r="H44" i="21"/>
  <c r="O44" i="21"/>
  <c r="Q44" i="21"/>
  <c r="AI51" i="32"/>
  <c r="AH55" i="32"/>
  <c r="AE55" i="32" s="1"/>
  <c r="AF55" i="32" s="1"/>
  <c r="AG55" i="32" s="1"/>
  <c r="AC55" i="32" s="1"/>
  <c r="AH58" i="32"/>
  <c r="AE58" i="32" s="1"/>
  <c r="AF58" i="32" s="1"/>
  <c r="AG58" i="32" s="1"/>
  <c r="AC58" i="32" s="1"/>
  <c r="X7" i="51"/>
  <c r="Y7" i="51" s="1"/>
  <c r="AI585" i="32"/>
  <c r="AH602" i="32"/>
  <c r="AI586" i="32"/>
  <c r="AI12" i="32"/>
  <c r="K72" i="21"/>
  <c r="A52" i="21"/>
  <c r="B81" i="21"/>
  <c r="B70" i="21"/>
  <c r="C84" i="21"/>
  <c r="L84" i="21"/>
  <c r="H84" i="21"/>
  <c r="J84" i="21"/>
  <c r="M84" i="21"/>
  <c r="K84" i="21"/>
  <c r="I84" i="21"/>
  <c r="M87" i="21"/>
  <c r="K87" i="21"/>
  <c r="I87" i="21"/>
  <c r="J87" i="21"/>
  <c r="L87" i="21"/>
  <c r="L81" i="21"/>
  <c r="J81" i="21"/>
  <c r="H81" i="21"/>
  <c r="M81" i="21"/>
  <c r="K81" i="21"/>
  <c r="I81" i="21"/>
  <c r="H67" i="21"/>
  <c r="M67" i="21"/>
  <c r="C67" i="21"/>
  <c r="K67" i="21"/>
  <c r="I67" i="21"/>
  <c r="D67" i="21"/>
  <c r="E67" i="21" s="1"/>
  <c r="B67" i="21"/>
  <c r="K70" i="21"/>
  <c r="M70" i="21"/>
  <c r="D70" i="21"/>
  <c r="F70" i="21" s="1"/>
  <c r="I70" i="21"/>
  <c r="L70" i="21"/>
  <c r="J70" i="21"/>
  <c r="J67" i="21"/>
  <c r="H86" i="21"/>
  <c r="K79" i="21"/>
  <c r="M79" i="21"/>
  <c r="B76" i="21"/>
  <c r="H72" i="21"/>
  <c r="M72" i="21"/>
  <c r="K69" i="21"/>
  <c r="L82" i="21"/>
  <c r="J82" i="21"/>
  <c r="M75" i="21"/>
  <c r="J78" i="21"/>
  <c r="M74" i="21"/>
  <c r="H74" i="21"/>
  <c r="B71" i="21"/>
  <c r="D71" i="21"/>
  <c r="A71" i="21" s="1"/>
  <c r="K73" i="21"/>
  <c r="I73" i="21"/>
  <c r="C71" i="21"/>
  <c r="C76" i="21"/>
  <c r="C72" i="21"/>
  <c r="K76" i="21"/>
  <c r="L72" i="21"/>
  <c r="D82" i="21"/>
  <c r="A82" i="21" s="1"/>
  <c r="J74" i="21"/>
  <c r="I71" i="21"/>
  <c r="AE193" i="32"/>
  <c r="AF193" i="32" s="1"/>
  <c r="AG193" i="32" s="1"/>
  <c r="AC193" i="32" s="1"/>
  <c r="AE1069" i="32"/>
  <c r="AF1069" i="32" s="1"/>
  <c r="AG1069" i="32" s="1"/>
  <c r="AC1069" i="32" s="1"/>
  <c r="AE151" i="32"/>
  <c r="AF151" i="32" s="1"/>
  <c r="AG151" i="32" s="1"/>
  <c r="AC151" i="32" s="1"/>
  <c r="O64" i="32"/>
  <c r="N64" i="32"/>
  <c r="AE89" i="32"/>
  <c r="AF89" i="32" s="1"/>
  <c r="AG89" i="32" s="1"/>
  <c r="AC89" i="32" s="1"/>
  <c r="AE750" i="32"/>
  <c r="AF750" i="32"/>
  <c r="AG750" i="32" s="1"/>
  <c r="AC750" i="32" s="1"/>
  <c r="AE914" i="32"/>
  <c r="AF914" i="32" s="1"/>
  <c r="AG914" i="32" s="1"/>
  <c r="AC914" i="32" s="1"/>
  <c r="AE8" i="32"/>
  <c r="AF8" i="32" s="1"/>
  <c r="AG8" i="32" s="1"/>
  <c r="D55" i="32"/>
  <c r="AE686" i="32"/>
  <c r="AF686" i="32" s="1"/>
  <c r="AG686" i="32" s="1"/>
  <c r="AC686" i="32" s="1"/>
  <c r="AE1071" i="32"/>
  <c r="AF1071" i="32" s="1"/>
  <c r="AG1071" i="32" s="1"/>
  <c r="AE289" i="32"/>
  <c r="AF289" i="32" s="1"/>
  <c r="AG289" i="32" s="1"/>
  <c r="AE602" i="32"/>
  <c r="AE427" i="32"/>
  <c r="AF427" i="32" s="1"/>
  <c r="AG427" i="32" s="1"/>
  <c r="AE879" i="32"/>
  <c r="AF879" i="32" s="1"/>
  <c r="AG879" i="32" s="1"/>
  <c r="AC879" i="32" s="1"/>
  <c r="AE423" i="32"/>
  <c r="AF423" i="32" s="1"/>
  <c r="AG423" i="32" s="1"/>
  <c r="AC423" i="32" s="1"/>
  <c r="AE38" i="32"/>
  <c r="AF38" i="32" s="1"/>
  <c r="AG38" i="32" s="1"/>
  <c r="AC38" i="32" s="1"/>
  <c r="AE776" i="32"/>
  <c r="AF776" i="32" s="1"/>
  <c r="AG776" i="32" s="1"/>
  <c r="AC776" i="32" s="1"/>
  <c r="AE669" i="32"/>
  <c r="AF669" i="32" s="1"/>
  <c r="AG669" i="32" s="1"/>
  <c r="AC669" i="32" s="1"/>
  <c r="AE963" i="32"/>
  <c r="AF963" i="32" s="1"/>
  <c r="AG963" i="32" s="1"/>
  <c r="AE735" i="32"/>
  <c r="AF735" i="32" s="1"/>
  <c r="AG735" i="32" s="1"/>
  <c r="AC735" i="32" s="1"/>
  <c r="AF687" i="32"/>
  <c r="AG687" i="32" s="1"/>
  <c r="AC687" i="32" s="1"/>
  <c r="AE930" i="32"/>
  <c r="AF930" i="32" s="1"/>
  <c r="AG930" i="32" s="1"/>
  <c r="AC930" i="32" s="1"/>
  <c r="AE396" i="32"/>
  <c r="AF396" i="32" s="1"/>
  <c r="AG396" i="32" s="1"/>
  <c r="AC396" i="32" s="1"/>
  <c r="AE518" i="32"/>
  <c r="AE836" i="32"/>
  <c r="AF836" i="32" s="1"/>
  <c r="AG836" i="32" s="1"/>
  <c r="AC836" i="32" s="1"/>
  <c r="AE333" i="32"/>
  <c r="AF333" i="32" s="1"/>
  <c r="AG333" i="32" s="1"/>
  <c r="AC333" i="32" s="1"/>
  <c r="AE533" i="32"/>
  <c r="AE677" i="32"/>
  <c r="AF677" i="32" s="1"/>
  <c r="AG677" i="32" s="1"/>
  <c r="AC677" i="32" s="1"/>
  <c r="AE22" i="32"/>
  <c r="AE621" i="32"/>
  <c r="AF621" i="32" s="1"/>
  <c r="AG621" i="32" s="1"/>
  <c r="AC621" i="32" s="1"/>
  <c r="D84" i="32"/>
  <c r="D62" i="32"/>
  <c r="AE104" i="32"/>
  <c r="AF104" i="32" s="1"/>
  <c r="AG104" i="32" s="1"/>
  <c r="AC104" i="32" s="1"/>
  <c r="D71" i="32"/>
  <c r="AE88" i="32"/>
  <c r="AF88" i="32" s="1"/>
  <c r="AG88" i="32" s="1"/>
  <c r="AC88" i="32" s="1"/>
  <c r="AE12" i="32"/>
  <c r="AF12" i="32"/>
  <c r="AG12" i="32" s="1"/>
  <c r="AE724" i="32"/>
  <c r="AF429" i="32"/>
  <c r="AG429" i="32" s="1"/>
  <c r="AB993" i="32"/>
  <c r="AB994" i="32" s="1"/>
  <c r="AB995" i="32" s="1"/>
  <c r="AE1043" i="32"/>
  <c r="AF1043" i="32" s="1"/>
  <c r="AG1043" i="32" s="1"/>
  <c r="AC1043" i="32" s="1"/>
  <c r="AE1022" i="32"/>
  <c r="AF1022" i="32" s="1"/>
  <c r="AG1022" i="32" s="1"/>
  <c r="AC1022" i="32" s="1"/>
  <c r="AE965" i="32"/>
  <c r="AF965" i="32" s="1"/>
  <c r="AG965" i="32" s="1"/>
  <c r="AC965" i="32" s="1"/>
  <c r="AE971" i="32"/>
  <c r="AF971" i="32" s="1"/>
  <c r="AG971" i="32" s="1"/>
  <c r="AC971" i="32" s="1"/>
  <c r="AE1009" i="32"/>
  <c r="AF1009" i="32" s="1"/>
  <c r="AG1009" i="32" s="1"/>
  <c r="AE896" i="32"/>
  <c r="AF896" i="32" s="1"/>
  <c r="AG896" i="32" s="1"/>
  <c r="AC896" i="32" s="1"/>
  <c r="AE931" i="32"/>
  <c r="AF931" i="32" s="1"/>
  <c r="AG931" i="32" s="1"/>
  <c r="AC931" i="32" s="1"/>
  <c r="AE851" i="32"/>
  <c r="AF851" i="32" s="1"/>
  <c r="AG851" i="32" s="1"/>
  <c r="AE504" i="32"/>
  <c r="AF504" i="32" s="1"/>
  <c r="AG504" i="32" s="1"/>
  <c r="AC504" i="32" s="1"/>
  <c r="AF528" i="32"/>
  <c r="AG528" i="32" s="1"/>
  <c r="AC528" i="32" s="1"/>
  <c r="AF509" i="32"/>
  <c r="AG509" i="32" s="1"/>
  <c r="AE571" i="32"/>
  <c r="AE591" i="32"/>
  <c r="AF591" i="32" s="1"/>
  <c r="AG591" i="32" s="1"/>
  <c r="AC591" i="32" s="1"/>
  <c r="AE489" i="32"/>
  <c r="AF489" i="32" s="1"/>
  <c r="AG489" i="32" s="1"/>
  <c r="AE586" i="32"/>
  <c r="AF586" i="32" s="1"/>
  <c r="AG586" i="32" s="1"/>
  <c r="AC586" i="32" s="1"/>
  <c r="AE543" i="32"/>
  <c r="AB373" i="32"/>
  <c r="AB374" i="32" s="1"/>
  <c r="AE363" i="32"/>
  <c r="AE436" i="32"/>
  <c r="AF436" i="32" s="1"/>
  <c r="AG436" i="32" s="1"/>
  <c r="AC436" i="32" s="1"/>
  <c r="AE414" i="32"/>
  <c r="AF414" i="32" s="1"/>
  <c r="AG414" i="32" s="1"/>
  <c r="AC414" i="32" s="1"/>
  <c r="AB353" i="32"/>
  <c r="AB354" i="32" s="1"/>
  <c r="AE353" i="32"/>
  <c r="AF353" i="32" s="1"/>
  <c r="AG353" i="32" s="1"/>
  <c r="AC353" i="32" s="1"/>
  <c r="AE354" i="32"/>
  <c r="AF354" i="32" s="1"/>
  <c r="AG354" i="32" s="1"/>
  <c r="AC354" i="32" s="1"/>
  <c r="AB243" i="32"/>
  <c r="AB244" i="32" s="1"/>
  <c r="AE243" i="32"/>
  <c r="AF243" i="32" s="1"/>
  <c r="AG243" i="32" s="1"/>
  <c r="AE341" i="32"/>
  <c r="AE292" i="32"/>
  <c r="AF292" i="32" s="1"/>
  <c r="AG292" i="32" s="1"/>
  <c r="AE133" i="32"/>
  <c r="AE124" i="32"/>
  <c r="AF124" i="32" s="1"/>
  <c r="AG124" i="32" s="1"/>
  <c r="AC124" i="32" s="1"/>
  <c r="AF166" i="32"/>
  <c r="AG166" i="32" s="1"/>
  <c r="AE128" i="32"/>
  <c r="AF128" i="32" s="1"/>
  <c r="AG128" i="32" s="1"/>
  <c r="AC128" i="32" s="1"/>
  <c r="AE172" i="32"/>
  <c r="AF172" i="32" s="1"/>
  <c r="AG172" i="32" s="1"/>
  <c r="AC172" i="32" s="1"/>
  <c r="AE183" i="32"/>
  <c r="AF183" i="32" s="1"/>
  <c r="AG183" i="32" s="1"/>
  <c r="AC183" i="32" s="1"/>
  <c r="AB23" i="32"/>
  <c r="AB24" i="32" s="1"/>
  <c r="AE86" i="32"/>
  <c r="AF86" i="32" s="1"/>
  <c r="AG86" i="32" s="1"/>
  <c r="AC86" i="32" s="1"/>
  <c r="AE97" i="32"/>
  <c r="AE107" i="32"/>
  <c r="AF107" i="32" s="1"/>
  <c r="AG107" i="32" s="1"/>
  <c r="AE36" i="32"/>
  <c r="AF36" i="32" s="1"/>
  <c r="AG36" i="32" s="1"/>
  <c r="AC36" i="32" s="1"/>
  <c r="AE121" i="32"/>
  <c r="AF121" i="32" s="1"/>
  <c r="AG121" i="32" s="1"/>
  <c r="AC121" i="32" s="1"/>
  <c r="AE103" i="32"/>
  <c r="AF103" i="32" s="1"/>
  <c r="AG103" i="32" s="1"/>
  <c r="AC103" i="32" s="1"/>
  <c r="AE113" i="32"/>
  <c r="AF113" i="32" s="1"/>
  <c r="AG113" i="32" s="1"/>
  <c r="AC113" i="32" s="1"/>
  <c r="AF24" i="32"/>
  <c r="AG24" i="32" s="1"/>
  <c r="AC24" i="32" s="1"/>
  <c r="AF29" i="32"/>
  <c r="AG29" i="32" s="1"/>
  <c r="AC29" i="32" s="1"/>
  <c r="AF30" i="32"/>
  <c r="AG30" i="32" s="1"/>
  <c r="AC30" i="32" s="1"/>
  <c r="AF32" i="32"/>
  <c r="AG32" i="32" s="1"/>
  <c r="AC32" i="32" s="1"/>
  <c r="AE83" i="32"/>
  <c r="AF83" i="32" s="1"/>
  <c r="AG83" i="32" s="1"/>
  <c r="AC83" i="32" s="1"/>
  <c r="AF87" i="32"/>
  <c r="AG87" i="32" s="1"/>
  <c r="AC87" i="32" s="1"/>
  <c r="AE981" i="32"/>
  <c r="AF981" i="32" s="1"/>
  <c r="AG981" i="32" s="1"/>
  <c r="AC981" i="32" s="1"/>
  <c r="AE987" i="32"/>
  <c r="AE1012" i="32"/>
  <c r="AF1012" i="32" s="1"/>
  <c r="AG1012" i="32" s="1"/>
  <c r="AE860" i="32"/>
  <c r="AF860" i="32" s="1"/>
  <c r="AG860" i="32" s="1"/>
  <c r="AC860" i="32" s="1"/>
  <c r="AE843" i="32"/>
  <c r="AF843" i="32" s="1"/>
  <c r="AG843" i="32" s="1"/>
  <c r="AC843" i="32" s="1"/>
  <c r="AE948" i="32"/>
  <c r="AF948" i="32" s="1"/>
  <c r="AG948" i="32" s="1"/>
  <c r="AC948" i="32" s="1"/>
  <c r="AE793" i="32"/>
  <c r="AF793" i="32" s="1"/>
  <c r="AG793" i="32" s="1"/>
  <c r="AC793" i="32" s="1"/>
  <c r="AF821" i="32"/>
  <c r="AG821" i="32" s="1"/>
  <c r="AC821" i="32" s="1"/>
  <c r="AF761" i="32"/>
  <c r="AG761" i="32" s="1"/>
  <c r="AC761" i="32" s="1"/>
  <c r="AE765" i="32"/>
  <c r="AF765" i="32"/>
  <c r="AG765" i="32" s="1"/>
  <c r="AC765" i="32" s="1"/>
  <c r="AE779" i="32"/>
  <c r="AF779" i="32" s="1"/>
  <c r="AG779" i="32" s="1"/>
  <c r="AC779" i="32" s="1"/>
  <c r="AE785" i="32"/>
  <c r="AF785" i="32" s="1"/>
  <c r="AG785" i="32" s="1"/>
  <c r="AC785" i="32" s="1"/>
  <c r="AB803" i="32"/>
  <c r="AB804" i="32" s="1"/>
  <c r="AB805" i="32" s="1"/>
  <c r="AE609" i="32"/>
  <c r="AF609" i="32" s="1"/>
  <c r="AG609" i="32" s="1"/>
  <c r="AE647" i="32"/>
  <c r="AF647" i="32" s="1"/>
  <c r="AG647" i="32" s="1"/>
  <c r="AE503" i="32"/>
  <c r="AF503" i="32" s="1"/>
  <c r="AG503" i="32" s="1"/>
  <c r="AC503" i="32" s="1"/>
  <c r="AE546" i="32"/>
  <c r="AF546" i="32" s="1"/>
  <c r="AG546" i="32" s="1"/>
  <c r="AC546" i="32" s="1"/>
  <c r="AF365" i="32"/>
  <c r="AG365" i="32" s="1"/>
  <c r="AC365" i="32" s="1"/>
  <c r="AF403" i="32"/>
  <c r="AG403" i="32" s="1"/>
  <c r="AC403" i="32" s="1"/>
  <c r="AE470" i="32"/>
  <c r="AF470" i="32" s="1"/>
  <c r="AG470" i="32" s="1"/>
  <c r="AC470" i="32" s="1"/>
  <c r="AE282" i="32"/>
  <c r="AF282" i="32"/>
  <c r="AG282" i="32" s="1"/>
  <c r="AC282" i="32" s="1"/>
  <c r="AE310" i="32"/>
  <c r="AF310" i="32" s="1"/>
  <c r="AG310" i="32" s="1"/>
  <c r="AC310" i="32" s="1"/>
  <c r="AE254" i="32"/>
  <c r="AF254" i="32"/>
  <c r="AG254" i="32" s="1"/>
  <c r="AC254" i="32" s="1"/>
  <c r="AF307" i="32"/>
  <c r="AG307" i="32" s="1"/>
  <c r="AC307" i="32" s="1"/>
  <c r="AB223" i="32"/>
  <c r="AB224" i="32" s="1"/>
  <c r="AF109" i="32"/>
  <c r="AG109" i="32" s="1"/>
  <c r="AC109" i="32" s="1"/>
  <c r="AF51" i="32"/>
  <c r="AG51" i="32" s="1"/>
  <c r="AC51" i="32" s="1"/>
  <c r="AF23" i="32"/>
  <c r="AG23" i="32" s="1"/>
  <c r="AC23" i="32" s="1"/>
  <c r="R18" i="39"/>
  <c r="J17" i="39" s="1"/>
  <c r="D6" i="1"/>
  <c r="F44" i="21"/>
  <c r="I44" i="21"/>
  <c r="AB63" i="32"/>
  <c r="AB64" i="32" s="1"/>
  <c r="AB83" i="32"/>
  <c r="AB84" i="32" s="1"/>
  <c r="AE1038" i="32"/>
  <c r="AF1038" i="32" s="1"/>
  <c r="AG1038" i="32" s="1"/>
  <c r="AC1038" i="32" s="1"/>
  <c r="AB1023" i="32"/>
  <c r="AF1068" i="32"/>
  <c r="AG1068" i="32" s="1"/>
  <c r="AC1068" i="32" s="1"/>
  <c r="AE1049" i="32"/>
  <c r="AF1049" i="32" s="1"/>
  <c r="AG1049" i="32" s="1"/>
  <c r="AC1049" i="32" s="1"/>
  <c r="AE983" i="32"/>
  <c r="AF983" i="32" s="1"/>
  <c r="AG983" i="32" s="1"/>
  <c r="AC983" i="32" s="1"/>
  <c r="AE1063" i="32"/>
  <c r="AF1063" i="32" s="1"/>
  <c r="AG1063" i="32" s="1"/>
  <c r="AC1063" i="32" s="1"/>
  <c r="AE1033" i="32"/>
  <c r="AF1033" i="32" s="1"/>
  <c r="AG1033" i="32" s="1"/>
  <c r="AC1033" i="32" s="1"/>
  <c r="AE1042" i="32"/>
  <c r="AF1042" i="32" s="1"/>
  <c r="AG1042" i="32" s="1"/>
  <c r="AC1042" i="32" s="1"/>
  <c r="AE893" i="32"/>
  <c r="AF893" i="32" s="1"/>
  <c r="AG893" i="32" s="1"/>
  <c r="AC893" i="32" s="1"/>
  <c r="AF863" i="32"/>
  <c r="AG863" i="32" s="1"/>
  <c r="AE832" i="32"/>
  <c r="AF832" i="32" s="1"/>
  <c r="AG832" i="32" s="1"/>
  <c r="AC832" i="32" s="1"/>
  <c r="AF838" i="32"/>
  <c r="AG838" i="32" s="1"/>
  <c r="AC838" i="32" s="1"/>
  <c r="AE773" i="32"/>
  <c r="AF773" i="32" s="1"/>
  <c r="AG773" i="32" s="1"/>
  <c r="AC773" i="32" s="1"/>
  <c r="AE817" i="32"/>
  <c r="AE770" i="32"/>
  <c r="AF770" i="32" s="1"/>
  <c r="AG770" i="32" s="1"/>
  <c r="AC770" i="32" s="1"/>
  <c r="AE806" i="32"/>
  <c r="AF806" i="32" s="1"/>
  <c r="AG806" i="32" s="1"/>
  <c r="AE820" i="32"/>
  <c r="AE804" i="32"/>
  <c r="AF804" i="32" s="1"/>
  <c r="AG804" i="32" s="1"/>
  <c r="AC804" i="32" s="1"/>
  <c r="AE816" i="32"/>
  <c r="AF816" i="32" s="1"/>
  <c r="AG816" i="32" s="1"/>
  <c r="AC816" i="32" s="1"/>
  <c r="AE819" i="32"/>
  <c r="AF819" i="32" s="1"/>
  <c r="AG819" i="32" s="1"/>
  <c r="AC819" i="32" s="1"/>
  <c r="AE746" i="32"/>
  <c r="AF746" i="32" s="1"/>
  <c r="AG746" i="32" s="1"/>
  <c r="AC746" i="32" s="1"/>
  <c r="AE748" i="32"/>
  <c r="AF748" i="32" s="1"/>
  <c r="AG748" i="32" s="1"/>
  <c r="AE826" i="32"/>
  <c r="AF826" i="32" s="1"/>
  <c r="AG826" i="32" s="1"/>
  <c r="AE665" i="32"/>
  <c r="AF665" i="32" s="1"/>
  <c r="AG665" i="32" s="1"/>
  <c r="AC665" i="32" s="1"/>
  <c r="AE714" i="32"/>
  <c r="AF714" i="32" s="1"/>
  <c r="AG714" i="32" s="1"/>
  <c r="AC714" i="32" s="1"/>
  <c r="AF668" i="32"/>
  <c r="AG668" i="32" s="1"/>
  <c r="AC668" i="32" s="1"/>
  <c r="AF624" i="32"/>
  <c r="AG624" i="32" s="1"/>
  <c r="AE645" i="32"/>
  <c r="AF645" i="32" s="1"/>
  <c r="AG645" i="32" s="1"/>
  <c r="AE673" i="32"/>
  <c r="AF673" i="32" s="1"/>
  <c r="AG673" i="32" s="1"/>
  <c r="AC673" i="32" s="1"/>
  <c r="AE612" i="32"/>
  <c r="AF612" i="32" s="1"/>
  <c r="AG612" i="32" s="1"/>
  <c r="AC612" i="32" s="1"/>
  <c r="AF650" i="32"/>
  <c r="AG650" i="32" s="1"/>
  <c r="AE555" i="32"/>
  <c r="AF555" i="32" s="1"/>
  <c r="AG555" i="32" s="1"/>
  <c r="AC555" i="32" s="1"/>
  <c r="AB553" i="32"/>
  <c r="AB554" i="32" s="1"/>
  <c r="AE537" i="32"/>
  <c r="AF537" i="32" s="1"/>
  <c r="AG537" i="32" s="1"/>
  <c r="AC537" i="32" s="1"/>
  <c r="AE548" i="32"/>
  <c r="AF548" i="32" s="1"/>
  <c r="AG548" i="32" s="1"/>
  <c r="AC548" i="32" s="1"/>
  <c r="AE412" i="32"/>
  <c r="AF412" i="32" s="1"/>
  <c r="AG412" i="32" s="1"/>
  <c r="AC412" i="32" s="1"/>
  <c r="AE387" i="32"/>
  <c r="AF387" i="32"/>
  <c r="AG387" i="32" s="1"/>
  <c r="AC387" i="32" s="1"/>
  <c r="AF390" i="32"/>
  <c r="AG390" i="32" s="1"/>
  <c r="AC390" i="32" s="1"/>
  <c r="AB423" i="32"/>
  <c r="AB424" i="32" s="1"/>
  <c r="AF426" i="32"/>
  <c r="AG426" i="32" s="1"/>
  <c r="AE463" i="32"/>
  <c r="AF463" i="32" s="1"/>
  <c r="AG463" i="32" s="1"/>
  <c r="AC463" i="32" s="1"/>
  <c r="AF326" i="32"/>
  <c r="AG326" i="32" s="1"/>
  <c r="AC326" i="32" s="1"/>
  <c r="AE265" i="32"/>
  <c r="AF265" i="32" s="1"/>
  <c r="AG265" i="32" s="1"/>
  <c r="AC265" i="32" s="1"/>
  <c r="AE272" i="32"/>
  <c r="AF272" i="32" s="1"/>
  <c r="AG272" i="32" s="1"/>
  <c r="AC272" i="32" s="1"/>
  <c r="AE273" i="32"/>
  <c r="AF273" i="32" s="1"/>
  <c r="AG273" i="32" s="1"/>
  <c r="AC273" i="32" s="1"/>
  <c r="AE250" i="32"/>
  <c r="AF250" i="32" s="1"/>
  <c r="AG250" i="32" s="1"/>
  <c r="AF280" i="32"/>
  <c r="AG280" i="32" s="1"/>
  <c r="AC280" i="32" s="1"/>
  <c r="AB173" i="32"/>
  <c r="AB174" i="32" s="1"/>
  <c r="AE201" i="32"/>
  <c r="AF201" i="32" s="1"/>
  <c r="AG201" i="32" s="1"/>
  <c r="AC201" i="32" s="1"/>
  <c r="AF239" i="32"/>
  <c r="AG239" i="32" s="1"/>
  <c r="AC239" i="32" s="1"/>
  <c r="AB123" i="32"/>
  <c r="AF176" i="32"/>
  <c r="AG176" i="32" s="1"/>
  <c r="AC176" i="32" s="1"/>
  <c r="AE123" i="32"/>
  <c r="AF123" i="32" s="1"/>
  <c r="AG123" i="32" s="1"/>
  <c r="AC123" i="32" s="1"/>
  <c r="AE93" i="32"/>
  <c r="AF93" i="32" s="1"/>
  <c r="AG93" i="32" s="1"/>
  <c r="AC93" i="32" s="1"/>
  <c r="AE59" i="32"/>
  <c r="AF59" i="32" s="1"/>
  <c r="AG59" i="32" s="1"/>
  <c r="AC59" i="32" s="1"/>
  <c r="AE53" i="32"/>
  <c r="AF53" i="32" s="1"/>
  <c r="AG53" i="32" s="1"/>
  <c r="AC53" i="32" s="1"/>
  <c r="T44" i="21"/>
  <c r="J44" i="21"/>
  <c r="R44" i="21"/>
  <c r="N7" i="21"/>
  <c r="AE1047" i="32"/>
  <c r="AF1047" i="32" s="1"/>
  <c r="AG1047" i="32" s="1"/>
  <c r="AC1047" i="32" s="1"/>
  <c r="AE973" i="32"/>
  <c r="AF973" i="32" s="1"/>
  <c r="AG973" i="32" s="1"/>
  <c r="AC973" i="32" s="1"/>
  <c r="AF1027" i="32"/>
  <c r="AG1027" i="32" s="1"/>
  <c r="AF1032" i="32"/>
  <c r="AG1032" i="32" s="1"/>
  <c r="AF1044" i="32"/>
  <c r="AG1044" i="32" s="1"/>
  <c r="AF993" i="32"/>
  <c r="AG993" i="32" s="1"/>
  <c r="AC993" i="32" s="1"/>
  <c r="AE989" i="32"/>
  <c r="AB913" i="32"/>
  <c r="AB914" i="32" s="1"/>
  <c r="AB915" i="32" s="1"/>
  <c r="AB943" i="32"/>
  <c r="AB944" i="32" s="1"/>
  <c r="AE943" i="32"/>
  <c r="AF943" i="32" s="1"/>
  <c r="AG943" i="32" s="1"/>
  <c r="AC943" i="32" s="1"/>
  <c r="AE954" i="32"/>
  <c r="AB843" i="32"/>
  <c r="AB844" i="32" s="1"/>
  <c r="AE958" i="32"/>
  <c r="AF920" i="32"/>
  <c r="AG920" i="32" s="1"/>
  <c r="AC920" i="32" s="1"/>
  <c r="AB953" i="32"/>
  <c r="AB954" i="32" s="1"/>
  <c r="AE865" i="32"/>
  <c r="AF865" i="32" s="1"/>
  <c r="AG865" i="32" s="1"/>
  <c r="AC865" i="32" s="1"/>
  <c r="AE883" i="32"/>
  <c r="AF883" i="32" s="1"/>
  <c r="AG883" i="32" s="1"/>
  <c r="AC883" i="32" s="1"/>
  <c r="AE908" i="32"/>
  <c r="AF908" i="32" s="1"/>
  <c r="AG908" i="32" s="1"/>
  <c r="AF928" i="32"/>
  <c r="AG928" i="32" s="1"/>
  <c r="AE885" i="32"/>
  <c r="AF885" i="32" s="1"/>
  <c r="AG885" i="32" s="1"/>
  <c r="AE947" i="32"/>
  <c r="AF947" i="32" s="1"/>
  <c r="AG947" i="32" s="1"/>
  <c r="AC947" i="32" s="1"/>
  <c r="AE901" i="32"/>
  <c r="AF901" i="32" s="1"/>
  <c r="AG901" i="32" s="1"/>
  <c r="AC901" i="32" s="1"/>
  <c r="AE944" i="32"/>
  <c r="AF944" i="32" s="1"/>
  <c r="AG944" i="32" s="1"/>
  <c r="AF872" i="32"/>
  <c r="AG872" i="32" s="1"/>
  <c r="AC872" i="32" s="1"/>
  <c r="AE895" i="32"/>
  <c r="AF895" i="32" s="1"/>
  <c r="AG895" i="32" s="1"/>
  <c r="AC895" i="32" s="1"/>
  <c r="AE961" i="32"/>
  <c r="AF961" i="32" s="1"/>
  <c r="AG961" i="32" s="1"/>
  <c r="AC961" i="32" s="1"/>
  <c r="AE938" i="32"/>
  <c r="AF938" i="32" s="1"/>
  <c r="AG938" i="32" s="1"/>
  <c r="AC938" i="32" s="1"/>
  <c r="AE844" i="32"/>
  <c r="AF844" i="32" s="1"/>
  <c r="AG844" i="32" s="1"/>
  <c r="AC844" i="32" s="1"/>
  <c r="AE852" i="32"/>
  <c r="AF852" i="32" s="1"/>
  <c r="AG852" i="32" s="1"/>
  <c r="AC852" i="32" s="1"/>
  <c r="AE884" i="32"/>
  <c r="AF884" i="32" s="1"/>
  <c r="AG884" i="32" s="1"/>
  <c r="AC884" i="32" s="1"/>
  <c r="AF889" i="32"/>
  <c r="AG889" i="32" s="1"/>
  <c r="AC889" i="32" s="1"/>
  <c r="AE744" i="32"/>
  <c r="AF744" i="32" s="1"/>
  <c r="AG744" i="32" s="1"/>
  <c r="AC744" i="32" s="1"/>
  <c r="AE745" i="32"/>
  <c r="AF745" i="32" s="1"/>
  <c r="AG745" i="32" s="1"/>
  <c r="AC745" i="32" s="1"/>
  <c r="AB783" i="32"/>
  <c r="AE783" i="32"/>
  <c r="AF783" i="32" s="1"/>
  <c r="AG783" i="32" s="1"/>
  <c r="AC783" i="32" s="1"/>
  <c r="AF794" i="32"/>
  <c r="AG794" i="32" s="1"/>
  <c r="AC794" i="32" s="1"/>
  <c r="AE833" i="32"/>
  <c r="AF833" i="32" s="1"/>
  <c r="AG833" i="32" s="1"/>
  <c r="AC833" i="32" s="1"/>
  <c r="AE728" i="32"/>
  <c r="AF728" i="32" s="1"/>
  <c r="AG728" i="32" s="1"/>
  <c r="AE824" i="32"/>
  <c r="AF824" i="32" s="1"/>
  <c r="AG824" i="32" s="1"/>
  <c r="AC824" i="32" s="1"/>
  <c r="AF724" i="32"/>
  <c r="AG724" i="32" s="1"/>
  <c r="AC724" i="32" s="1"/>
  <c r="AE812" i="32"/>
  <c r="AF812" i="32" s="1"/>
  <c r="AG812" i="32" s="1"/>
  <c r="AC812" i="32" s="1"/>
  <c r="AE781" i="32"/>
  <c r="AF781" i="32" s="1"/>
  <c r="AG781" i="32" s="1"/>
  <c r="AC781" i="32" s="1"/>
  <c r="AB823" i="32"/>
  <c r="AB824" i="32" s="1"/>
  <c r="AE823" i="32"/>
  <c r="AF823" i="32" s="1"/>
  <c r="AG823" i="32" s="1"/>
  <c r="AE642" i="32"/>
  <c r="AF642" i="32" s="1"/>
  <c r="AG642" i="32" s="1"/>
  <c r="AC642" i="32" s="1"/>
  <c r="AE623" i="32"/>
  <c r="AF623" i="32" s="1"/>
  <c r="AG623" i="32" s="1"/>
  <c r="AB653" i="32"/>
  <c r="AB654" i="32" s="1"/>
  <c r="AE637" i="32"/>
  <c r="AF637" i="32" s="1"/>
  <c r="AG637" i="32" s="1"/>
  <c r="AC637" i="32" s="1"/>
  <c r="AE625" i="32"/>
  <c r="AF625" i="32" s="1"/>
  <c r="AG625" i="32" s="1"/>
  <c r="AC625" i="32" s="1"/>
  <c r="AB603" i="32"/>
  <c r="AB604" i="32" s="1"/>
  <c r="AE667" i="32"/>
  <c r="AF667" i="32"/>
  <c r="AG667" i="32" s="1"/>
  <c r="AE638" i="32"/>
  <c r="AF638" i="32" s="1"/>
  <c r="AG638" i="32" s="1"/>
  <c r="AC638" i="32" s="1"/>
  <c r="AE709" i="32"/>
  <c r="AF709" i="32" s="1"/>
  <c r="AG709" i="32" s="1"/>
  <c r="AC709" i="32" s="1"/>
  <c r="AE663" i="32"/>
  <c r="AF663" i="32" s="1"/>
  <c r="AG663" i="32" s="1"/>
  <c r="AC663" i="32" s="1"/>
  <c r="AE607" i="32"/>
  <c r="AF607" i="32" s="1"/>
  <c r="AG607" i="32" s="1"/>
  <c r="AE485" i="32"/>
  <c r="AF485" i="32" s="1"/>
  <c r="AG485" i="32" s="1"/>
  <c r="AC485" i="32" s="1"/>
  <c r="AE491" i="32"/>
  <c r="AF491" i="32" s="1"/>
  <c r="AG491" i="32" s="1"/>
  <c r="AF551" i="32"/>
  <c r="AG551" i="32" s="1"/>
  <c r="AC551" i="32" s="1"/>
  <c r="AF566" i="32"/>
  <c r="AG566" i="32" s="1"/>
  <c r="AC566" i="32" s="1"/>
  <c r="AF525" i="32"/>
  <c r="AG525" i="32" s="1"/>
  <c r="AF508" i="32"/>
  <c r="AG508" i="32" s="1"/>
  <c r="AC508" i="32" s="1"/>
  <c r="AE483" i="32"/>
  <c r="AF483" i="32" s="1"/>
  <c r="AG483" i="32" s="1"/>
  <c r="AC483" i="32" s="1"/>
  <c r="AE600" i="32"/>
  <c r="AF600" i="32" s="1"/>
  <c r="AG600" i="32" s="1"/>
  <c r="AC600" i="32" s="1"/>
  <c r="AE449" i="32"/>
  <c r="AF449" i="32" s="1"/>
  <c r="AG449" i="32" s="1"/>
  <c r="AC449" i="32" s="1"/>
  <c r="AE459" i="32"/>
  <c r="AF459" i="32" s="1"/>
  <c r="AG459" i="32" s="1"/>
  <c r="AC459" i="32" s="1"/>
  <c r="AE425" i="32"/>
  <c r="AF425" i="32" s="1"/>
  <c r="AG425" i="32" s="1"/>
  <c r="AC425" i="32" s="1"/>
  <c r="AE439" i="32"/>
  <c r="AF439" i="32" s="1"/>
  <c r="AG439" i="32" s="1"/>
  <c r="AC439" i="32" s="1"/>
  <c r="AE472" i="32"/>
  <c r="AF397" i="32"/>
  <c r="AG397" i="32" s="1"/>
  <c r="AC397" i="32" s="1"/>
  <c r="AB453" i="32"/>
  <c r="AB454" i="32" s="1"/>
  <c r="AB455" i="32" s="1"/>
  <c r="AF411" i="32"/>
  <c r="AG411" i="32" s="1"/>
  <c r="AC411" i="32" s="1"/>
  <c r="AB463" i="32"/>
  <c r="AB464" i="32" s="1"/>
  <c r="AF465" i="32"/>
  <c r="AG465" i="32" s="1"/>
  <c r="AC465" i="32" s="1"/>
  <c r="AE377" i="32"/>
  <c r="AF377" i="32" s="1"/>
  <c r="AG377" i="32" s="1"/>
  <c r="AC377" i="32" s="1"/>
  <c r="AF432" i="32"/>
  <c r="AG432" i="32" s="1"/>
  <c r="AC432" i="32" s="1"/>
  <c r="AE445" i="32"/>
  <c r="AF445" i="32" s="1"/>
  <c r="AG445" i="32" s="1"/>
  <c r="AC445" i="32" s="1"/>
  <c r="AE245" i="32"/>
  <c r="AF245" i="32" s="1"/>
  <c r="AG245" i="32" s="1"/>
  <c r="AE329" i="32"/>
  <c r="AF329" i="32" s="1"/>
  <c r="AG329" i="32" s="1"/>
  <c r="AF274" i="32"/>
  <c r="AG274" i="32" s="1"/>
  <c r="AC274" i="32" s="1"/>
  <c r="AF246" i="32"/>
  <c r="AG246" i="32" s="1"/>
  <c r="AE263" i="32"/>
  <c r="AE291" i="32"/>
  <c r="AF291" i="32" s="1"/>
  <c r="AG291" i="32" s="1"/>
  <c r="AC291" i="32" s="1"/>
  <c r="AE309" i="32"/>
  <c r="AF309" i="32" s="1"/>
  <c r="AG309" i="32" s="1"/>
  <c r="AC309" i="32" s="1"/>
  <c r="AE314" i="32"/>
  <c r="AF314" i="32" s="1"/>
  <c r="AG314" i="32" s="1"/>
  <c r="AC314" i="32" s="1"/>
  <c r="AE271" i="32"/>
  <c r="AF271" i="32" s="1"/>
  <c r="AG271" i="32" s="1"/>
  <c r="AC271" i="32" s="1"/>
  <c r="AF321" i="32"/>
  <c r="AG321" i="32" s="1"/>
  <c r="AC321" i="32" s="1"/>
  <c r="AE268" i="32"/>
  <c r="AF268" i="32" s="1"/>
  <c r="AG268" i="32" s="1"/>
  <c r="AC268" i="32" s="1"/>
  <c r="AF339" i="32"/>
  <c r="AG339" i="32" s="1"/>
  <c r="AC339" i="32" s="1"/>
  <c r="AE143" i="32"/>
  <c r="AF143" i="32" s="1"/>
  <c r="AG143" i="32" s="1"/>
  <c r="AE163" i="32"/>
  <c r="AE207" i="32"/>
  <c r="AF207" i="32" s="1"/>
  <c r="AG207" i="32" s="1"/>
  <c r="AC207" i="32" s="1"/>
  <c r="AE203" i="32"/>
  <c r="AF203" i="32" s="1"/>
  <c r="AG203" i="32" s="1"/>
  <c r="AE188" i="32"/>
  <c r="AF188" i="32" s="1"/>
  <c r="AG188" i="32" s="1"/>
  <c r="AC188" i="32" s="1"/>
  <c r="AF177" i="32"/>
  <c r="AG177" i="32" s="1"/>
  <c r="AC177" i="32" s="1"/>
  <c r="AF4" i="32"/>
  <c r="AG4" i="32" s="1"/>
  <c r="AC4" i="32" s="1"/>
  <c r="AF34" i="32"/>
  <c r="AG34" i="32" s="1"/>
  <c r="AC34" i="32" s="1"/>
  <c r="A70" i="21"/>
  <c r="F87" i="21"/>
  <c r="U44" i="21"/>
  <c r="X44" i="21"/>
  <c r="AB13" i="32"/>
  <c r="AB14" i="32" s="1"/>
  <c r="AF984" i="32"/>
  <c r="AG984" i="32" s="1"/>
  <c r="AC984" i="32" s="1"/>
  <c r="AF999" i="32"/>
  <c r="AG999" i="32" s="1"/>
  <c r="AC999" i="32" s="1"/>
  <c r="AE1073" i="32"/>
  <c r="AF1073" i="32"/>
  <c r="AG1073" i="32" s="1"/>
  <c r="AC1073" i="32" s="1"/>
  <c r="AE1029" i="32"/>
  <c r="AF1029" i="32" s="1"/>
  <c r="AG1029" i="32" s="1"/>
  <c r="AC1029" i="32" s="1"/>
  <c r="AF992" i="32"/>
  <c r="AG992" i="32" s="1"/>
  <c r="AC992" i="32" s="1"/>
  <c r="AF1024" i="32"/>
  <c r="AG1024" i="32" s="1"/>
  <c r="AC1024" i="32" s="1"/>
  <c r="AF972" i="32"/>
  <c r="AG972" i="32" s="1"/>
  <c r="AC972" i="32" s="1"/>
  <c r="AF1003" i="32"/>
  <c r="AG1003" i="32" s="1"/>
  <c r="AC1003" i="32" s="1"/>
  <c r="AE982" i="32"/>
  <c r="AF982" i="32" s="1"/>
  <c r="AG982" i="32" s="1"/>
  <c r="AC982" i="32" s="1"/>
  <c r="AE1072" i="32"/>
  <c r="AF1072" i="32"/>
  <c r="AG1072" i="32" s="1"/>
  <c r="AC1072" i="32" s="1"/>
  <c r="AF986" i="32"/>
  <c r="AG986" i="32" s="1"/>
  <c r="AC986" i="32" s="1"/>
  <c r="AE969" i="32"/>
  <c r="AF969" i="32" s="1"/>
  <c r="AG969" i="32" s="1"/>
  <c r="AC969" i="32" s="1"/>
  <c r="AF967" i="32"/>
  <c r="AG967" i="32" s="1"/>
  <c r="AC967" i="32" s="1"/>
  <c r="AF1041" i="32"/>
  <c r="AG1041" i="32" s="1"/>
  <c r="AC1041" i="32" s="1"/>
  <c r="AB1003" i="32"/>
  <c r="AE905" i="32"/>
  <c r="AF905" i="32" s="1"/>
  <c r="AG905" i="32" s="1"/>
  <c r="AC905" i="32" s="1"/>
  <c r="AE911" i="32"/>
  <c r="AF911" i="32" s="1"/>
  <c r="AG911" i="32" s="1"/>
  <c r="AC911" i="32" s="1"/>
  <c r="AE950" i="32"/>
  <c r="AF950" i="32" s="1"/>
  <c r="AG950" i="32" s="1"/>
  <c r="AC950" i="32" s="1"/>
  <c r="AE922" i="32"/>
  <c r="AF922" i="32" s="1"/>
  <c r="AG922" i="32" s="1"/>
  <c r="AC922" i="32" s="1"/>
  <c r="AE915" i="32"/>
  <c r="AF915" i="32" s="1"/>
  <c r="AG915" i="32" s="1"/>
  <c r="AC915" i="32" s="1"/>
  <c r="AF923" i="32"/>
  <c r="AG923" i="32" s="1"/>
  <c r="AC923" i="32" s="1"/>
  <c r="AE926" i="32"/>
  <c r="AF926" i="32" s="1"/>
  <c r="AG926" i="32" s="1"/>
  <c r="AC926" i="32" s="1"/>
  <c r="AE933" i="32"/>
  <c r="AF933" i="32" s="1"/>
  <c r="AG933" i="32" s="1"/>
  <c r="AC933" i="32" s="1"/>
  <c r="AF869" i="32"/>
  <c r="AG869" i="32" s="1"/>
  <c r="AF850" i="32"/>
  <c r="AG850" i="32" s="1"/>
  <c r="AC850" i="32" s="1"/>
  <c r="AF867" i="32"/>
  <c r="AG867" i="32" s="1"/>
  <c r="AC867" i="32" s="1"/>
  <c r="AE903" i="32"/>
  <c r="AF903" i="32" s="1"/>
  <c r="AG903" i="32" s="1"/>
  <c r="AB903" i="32"/>
  <c r="AB904" i="32" s="1"/>
  <c r="AB905" i="32" s="1"/>
  <c r="AB906" i="32" s="1"/>
  <c r="AE924" i="32"/>
  <c r="AF924" i="32" s="1"/>
  <c r="AG924" i="32" s="1"/>
  <c r="AC924" i="32" s="1"/>
  <c r="AB863" i="32"/>
  <c r="AF918" i="32"/>
  <c r="AG918" i="32" s="1"/>
  <c r="AC918" i="32" s="1"/>
  <c r="AE862" i="32"/>
  <c r="AF862" i="32" s="1"/>
  <c r="AG862" i="32" s="1"/>
  <c r="AC862" i="32" s="1"/>
  <c r="AE897" i="32"/>
  <c r="AF897" i="32" s="1"/>
  <c r="AG897" i="32" s="1"/>
  <c r="AC897" i="32" s="1"/>
  <c r="AF910" i="32"/>
  <c r="AG910" i="32" s="1"/>
  <c r="AB923" i="32"/>
  <c r="AB924" i="32" s="1"/>
  <c r="AB925" i="32" s="1"/>
  <c r="AF886" i="32"/>
  <c r="AG886" i="32" s="1"/>
  <c r="AC886" i="32" s="1"/>
  <c r="AF904" i="32"/>
  <c r="AG904" i="32" s="1"/>
  <c r="AC904" i="32" s="1"/>
  <c r="AE813" i="32"/>
  <c r="AE825" i="32"/>
  <c r="AF825" i="32" s="1"/>
  <c r="AG825" i="32" s="1"/>
  <c r="AC825" i="32" s="1"/>
  <c r="AF820" i="32"/>
  <c r="AG820" i="32" s="1"/>
  <c r="AC820" i="32" s="1"/>
  <c r="AE827" i="32"/>
  <c r="AF827" i="32"/>
  <c r="AG827" i="32" s="1"/>
  <c r="AC827" i="32" s="1"/>
  <c r="AE841" i="32"/>
  <c r="AF841" i="32" s="1"/>
  <c r="AG841" i="32" s="1"/>
  <c r="AC841" i="32" s="1"/>
  <c r="AB743" i="32"/>
  <c r="AF808" i="32"/>
  <c r="AG808" i="32" s="1"/>
  <c r="AC808" i="32" s="1"/>
  <c r="AF755" i="32"/>
  <c r="AG755" i="32" s="1"/>
  <c r="AC755" i="32" s="1"/>
  <c r="AE731" i="32"/>
  <c r="AF731" i="32" s="1"/>
  <c r="AG731" i="32" s="1"/>
  <c r="AC731" i="32" s="1"/>
  <c r="AF815" i="32"/>
  <c r="AG815" i="32" s="1"/>
  <c r="AC815" i="32" s="1"/>
  <c r="AE725" i="32"/>
  <c r="AF725" i="32" s="1"/>
  <c r="AG725" i="32" s="1"/>
  <c r="AB763" i="32"/>
  <c r="AB764" i="32" s="1"/>
  <c r="AB765" i="32" s="1"/>
  <c r="AB766" i="32" s="1"/>
  <c r="AB767" i="32" s="1"/>
  <c r="AB768" i="32" s="1"/>
  <c r="AF767" i="32"/>
  <c r="AG767" i="32" s="1"/>
  <c r="AC767" i="32" s="1"/>
  <c r="AF786" i="32"/>
  <c r="AG786" i="32" s="1"/>
  <c r="AE792" i="32"/>
  <c r="AF792" i="32" s="1"/>
  <c r="AG792" i="32" s="1"/>
  <c r="AF807" i="32"/>
  <c r="AG807" i="32" s="1"/>
  <c r="AC807" i="32" s="1"/>
  <c r="AE829" i="32"/>
  <c r="AF829" i="32" s="1"/>
  <c r="AG829" i="32" s="1"/>
  <c r="AC829" i="32" s="1"/>
  <c r="AB663" i="32"/>
  <c r="AB664" i="32" s="1"/>
  <c r="AF627" i="32"/>
  <c r="AG627" i="32" s="1"/>
  <c r="AC627" i="32" s="1"/>
  <c r="AF639" i="32"/>
  <c r="AG639" i="32" s="1"/>
  <c r="AC639" i="32" s="1"/>
  <c r="AF695" i="32"/>
  <c r="AG695" i="32" s="1"/>
  <c r="AC695" i="32" s="1"/>
  <c r="AF644" i="32"/>
  <c r="AG644" i="32" s="1"/>
  <c r="AC644" i="32" s="1"/>
  <c r="AF699" i="32"/>
  <c r="AG699" i="32" s="1"/>
  <c r="AC699" i="32" s="1"/>
  <c r="AE513" i="32"/>
  <c r="AF513" i="32" s="1"/>
  <c r="AG513" i="32" s="1"/>
  <c r="AC513" i="32" s="1"/>
  <c r="AB523" i="32"/>
  <c r="AB524" i="32" s="1"/>
  <c r="AE560" i="32"/>
  <c r="AF560" i="32" s="1"/>
  <c r="AG560" i="32" s="1"/>
  <c r="AC560" i="32" s="1"/>
  <c r="AE596" i="32"/>
  <c r="AF596" i="32" s="1"/>
  <c r="AG596" i="32" s="1"/>
  <c r="AC596" i="32" s="1"/>
  <c r="AF592" i="32"/>
  <c r="AG592" i="32" s="1"/>
  <c r="AC592" i="32" s="1"/>
  <c r="AE520" i="32"/>
  <c r="AF520" i="32" s="1"/>
  <c r="AG520" i="32" s="1"/>
  <c r="AC520" i="32" s="1"/>
  <c r="AE499" i="32"/>
  <c r="AF499" i="32" s="1"/>
  <c r="AG499" i="32" s="1"/>
  <c r="AC499" i="32" s="1"/>
  <c r="AE527" i="32"/>
  <c r="AF527" i="32" s="1"/>
  <c r="AG527" i="32" s="1"/>
  <c r="AC527" i="32" s="1"/>
  <c r="AF523" i="32"/>
  <c r="AG523" i="32" s="1"/>
  <c r="AF587" i="32"/>
  <c r="AG587" i="32" s="1"/>
  <c r="AC587" i="32" s="1"/>
  <c r="AF602" i="32"/>
  <c r="AG602" i="32" s="1"/>
  <c r="AC602" i="32" s="1"/>
  <c r="AE557" i="32"/>
  <c r="AF557" i="32" s="1"/>
  <c r="AG557" i="32" s="1"/>
  <c r="AC557" i="32" s="1"/>
  <c r="AF540" i="32"/>
  <c r="AG540" i="32" s="1"/>
  <c r="AC540" i="32" s="1"/>
  <c r="AF488" i="32"/>
  <c r="AG488" i="32" s="1"/>
  <c r="AC488" i="32" s="1"/>
  <c r="AE506" i="32"/>
  <c r="AF506" i="32" s="1"/>
  <c r="AG506" i="32" s="1"/>
  <c r="AC506" i="32" s="1"/>
  <c r="AF568" i="32"/>
  <c r="AG568" i="32" s="1"/>
  <c r="AC568" i="32" s="1"/>
  <c r="AF570" i="32"/>
  <c r="AG570" i="32" s="1"/>
  <c r="AE589" i="32"/>
  <c r="AF589" i="32" s="1"/>
  <c r="AG589" i="32" s="1"/>
  <c r="AC589" i="32" s="1"/>
  <c r="AF559" i="32"/>
  <c r="AG559" i="32" s="1"/>
  <c r="AC559" i="32" s="1"/>
  <c r="AF486" i="32"/>
  <c r="AG486" i="32" s="1"/>
  <c r="AC486" i="32" s="1"/>
  <c r="AE529" i="32"/>
  <c r="AF529" i="32" s="1"/>
  <c r="AG529" i="32" s="1"/>
  <c r="AC529" i="32" s="1"/>
  <c r="AE572" i="32"/>
  <c r="AF572" i="32" s="1"/>
  <c r="AG572" i="32" s="1"/>
  <c r="AE437" i="32"/>
  <c r="AF437" i="32" s="1"/>
  <c r="AG437" i="32" s="1"/>
  <c r="AC437" i="32" s="1"/>
  <c r="AE366" i="32"/>
  <c r="AF366" i="32" s="1"/>
  <c r="AG366" i="32" s="1"/>
  <c r="AC366" i="32" s="1"/>
  <c r="AE370" i="32"/>
  <c r="AF370" i="32" s="1"/>
  <c r="AG370" i="32" s="1"/>
  <c r="AC370" i="32" s="1"/>
  <c r="AE408" i="32"/>
  <c r="AF408" i="32" s="1"/>
  <c r="AG408" i="32" s="1"/>
  <c r="AC408" i="32" s="1"/>
  <c r="AE444" i="32"/>
  <c r="AF444" i="32" s="1"/>
  <c r="AG444" i="32" s="1"/>
  <c r="AB413" i="32"/>
  <c r="AE383" i="32"/>
  <c r="AF383" i="32" s="1"/>
  <c r="AG383" i="32" s="1"/>
  <c r="AC383" i="32" s="1"/>
  <c r="AF363" i="32"/>
  <c r="AG363" i="32" s="1"/>
  <c r="AC363" i="32" s="1"/>
  <c r="AF417" i="32"/>
  <c r="AG417" i="32" s="1"/>
  <c r="AC417" i="32" s="1"/>
  <c r="AE385" i="32"/>
  <c r="AF385" i="32" s="1"/>
  <c r="AG385" i="32" s="1"/>
  <c r="AC385" i="32" s="1"/>
  <c r="AF480" i="32"/>
  <c r="AG480" i="32" s="1"/>
  <c r="AC480" i="32" s="1"/>
  <c r="AE460" i="32"/>
  <c r="AF460" i="32" s="1"/>
  <c r="AG460" i="32" s="1"/>
  <c r="AC460" i="32" s="1"/>
  <c r="AE392" i="32"/>
  <c r="AF392" i="32" s="1"/>
  <c r="AG392" i="32" s="1"/>
  <c r="AE467" i="32"/>
  <c r="AF467" i="32" s="1"/>
  <c r="AG467" i="32" s="1"/>
  <c r="AE317" i="32"/>
  <c r="AF317" i="32" s="1"/>
  <c r="AG317" i="32" s="1"/>
  <c r="AC317" i="32" s="1"/>
  <c r="AB293" i="32"/>
  <c r="AB294" i="32" s="1"/>
  <c r="AB295" i="32" s="1"/>
  <c r="AE350" i="32"/>
  <c r="AF350" i="32" s="1"/>
  <c r="AG350" i="32" s="1"/>
  <c r="AB283" i="32"/>
  <c r="AB284" i="32" s="1"/>
  <c r="AE269" i="32"/>
  <c r="AF269" i="32" s="1"/>
  <c r="AG269" i="32" s="1"/>
  <c r="AC269" i="32" s="1"/>
  <c r="AF336" i="32"/>
  <c r="AG336" i="32" s="1"/>
  <c r="AC336" i="32" s="1"/>
  <c r="AF308" i="32"/>
  <c r="AG308" i="32" s="1"/>
  <c r="AC308" i="32" s="1"/>
  <c r="AF294" i="32"/>
  <c r="AG294" i="32" s="1"/>
  <c r="AC294" i="32" s="1"/>
  <c r="AE303" i="32"/>
  <c r="AF303" i="32" s="1"/>
  <c r="AG303" i="32" s="1"/>
  <c r="AC303" i="32" s="1"/>
  <c r="AE299" i="32"/>
  <c r="AF299" i="32" s="1"/>
  <c r="AG299" i="32" s="1"/>
  <c r="AC299" i="32" s="1"/>
  <c r="AF283" i="32"/>
  <c r="AG283" i="32" s="1"/>
  <c r="AB323" i="32"/>
  <c r="AF263" i="32"/>
  <c r="AG263" i="32" s="1"/>
  <c r="AC263" i="32" s="1"/>
  <c r="AF359" i="32"/>
  <c r="AG359" i="32" s="1"/>
  <c r="AC359" i="32" s="1"/>
  <c r="AE334" i="32"/>
  <c r="AF334" i="32" s="1"/>
  <c r="AG334" i="32" s="1"/>
  <c r="AC334" i="32" s="1"/>
  <c r="AE330" i="32"/>
  <c r="AF330" i="32" s="1"/>
  <c r="AG330" i="32" s="1"/>
  <c r="AC330" i="32" s="1"/>
  <c r="AE293" i="32"/>
  <c r="AF293" i="32" s="1"/>
  <c r="AG293" i="32" s="1"/>
  <c r="AC293" i="32" s="1"/>
  <c r="AF341" i="32"/>
  <c r="AG341" i="32" s="1"/>
  <c r="AC341" i="32" s="1"/>
  <c r="AF276" i="32"/>
  <c r="AG276" i="32" s="1"/>
  <c r="AC276" i="32" s="1"/>
  <c r="AE247" i="32"/>
  <c r="AF247" i="32" s="1"/>
  <c r="AG247" i="32" s="1"/>
  <c r="AE266" i="32"/>
  <c r="AF266" i="32" s="1"/>
  <c r="AG266" i="32" s="1"/>
  <c r="AC266" i="32" s="1"/>
  <c r="AE349" i="32"/>
  <c r="AF349" i="32" s="1"/>
  <c r="AG349" i="32" s="1"/>
  <c r="AC349" i="32" s="1"/>
  <c r="AE235" i="32"/>
  <c r="AF235" i="32" s="1"/>
  <c r="AG235" i="32" s="1"/>
  <c r="AC235" i="32" s="1"/>
  <c r="AE184" i="32"/>
  <c r="AF184" i="32" s="1"/>
  <c r="AG184" i="32" s="1"/>
  <c r="AF173" i="32"/>
  <c r="AG173" i="32" s="1"/>
  <c r="AC173" i="32" s="1"/>
  <c r="AF139" i="32"/>
  <c r="AG139" i="32" s="1"/>
  <c r="AC139" i="32" s="1"/>
  <c r="AF163" i="32"/>
  <c r="AG163" i="32" s="1"/>
  <c r="AC163" i="32" s="1"/>
  <c r="AE181" i="32"/>
  <c r="AF181" i="32" s="1"/>
  <c r="AG181" i="32" s="1"/>
  <c r="AC181" i="32" s="1"/>
  <c r="AB153" i="32"/>
  <c r="AB154" i="32" s="1"/>
  <c r="AE149" i="32"/>
  <c r="AF149" i="32" s="1"/>
  <c r="AG149" i="32" s="1"/>
  <c r="AC149" i="32" s="1"/>
  <c r="AE191" i="32"/>
  <c r="AF191" i="32" s="1"/>
  <c r="AG191" i="32" s="1"/>
  <c r="AE208" i="32"/>
  <c r="AF208" i="32" s="1"/>
  <c r="AG208" i="32" s="1"/>
  <c r="AC208" i="32" s="1"/>
  <c r="AF148" i="32"/>
  <c r="AG148" i="32" s="1"/>
  <c r="AF164" i="32"/>
  <c r="AG164" i="32" s="1"/>
  <c r="AE115" i="32"/>
  <c r="AF115" i="32" s="1"/>
  <c r="AG115" i="32" s="1"/>
  <c r="AC115" i="32" s="1"/>
  <c r="W8" i="51"/>
  <c r="AE96" i="32"/>
  <c r="AF96" i="32" s="1"/>
  <c r="AG96" i="32" s="1"/>
  <c r="AC96" i="32" s="1"/>
  <c r="Z7" i="51"/>
  <c r="W24" i="51"/>
  <c r="AE33" i="32"/>
  <c r="AF33" i="32" s="1"/>
  <c r="AG33" i="32" s="1"/>
  <c r="AC33" i="32" s="1"/>
  <c r="AB33" i="32"/>
  <c r="AB34" i="32" s="1"/>
  <c r="AF35" i="32"/>
  <c r="AG35" i="32" s="1"/>
  <c r="AC35" i="32" s="1"/>
  <c r="AF40" i="32"/>
  <c r="AG40" i="32" s="1"/>
  <c r="AC40" i="32" s="1"/>
  <c r="AE39" i="32"/>
  <c r="AF39" i="32" s="1"/>
  <c r="AG39" i="32" s="1"/>
  <c r="AC39" i="32" s="1"/>
  <c r="AF37" i="32"/>
  <c r="AG37" i="32" s="1"/>
  <c r="AC37" i="32" s="1"/>
  <c r="Z11" i="51"/>
  <c r="W48" i="51"/>
  <c r="Z37" i="51"/>
  <c r="W20" i="51"/>
  <c r="Z39" i="51"/>
  <c r="Z43" i="51"/>
  <c r="Z29" i="51"/>
  <c r="AF985" i="32"/>
  <c r="AG985" i="32" s="1"/>
  <c r="AC985" i="32" s="1"/>
  <c r="AF964" i="32"/>
  <c r="AG964" i="32" s="1"/>
  <c r="AC964" i="32" s="1"/>
  <c r="AF1006" i="32"/>
  <c r="AG1006" i="32" s="1"/>
  <c r="AC1006" i="32" s="1"/>
  <c r="AE974" i="32"/>
  <c r="AF974" i="32" s="1"/>
  <c r="AG974" i="32" s="1"/>
  <c r="AC974" i="32" s="1"/>
  <c r="AF978" i="32"/>
  <c r="AG978" i="32" s="1"/>
  <c r="AC978" i="32" s="1"/>
  <c r="AF1023" i="32"/>
  <c r="AG1023" i="32" s="1"/>
  <c r="AC1023" i="32" s="1"/>
  <c r="AF894" i="32"/>
  <c r="AG894" i="32" s="1"/>
  <c r="AC894" i="32" s="1"/>
  <c r="AF929" i="32"/>
  <c r="AG929" i="32" s="1"/>
  <c r="AE853" i="32"/>
  <c r="AF853" i="32" s="1"/>
  <c r="AG853" i="32" s="1"/>
  <c r="AC853" i="32" s="1"/>
  <c r="AF955" i="32"/>
  <c r="AG955" i="32" s="1"/>
  <c r="AC955" i="32" s="1"/>
  <c r="AF937" i="32"/>
  <c r="AG937" i="32" s="1"/>
  <c r="AC937" i="32" s="1"/>
  <c r="AF907" i="32"/>
  <c r="AG907" i="32" s="1"/>
  <c r="AC907" i="32" s="1"/>
  <c r="AF846" i="32"/>
  <c r="AG846" i="32" s="1"/>
  <c r="AF857" i="32"/>
  <c r="AG857" i="32" s="1"/>
  <c r="AC857" i="32" s="1"/>
  <c r="AE859" i="32"/>
  <c r="AF859" i="32"/>
  <c r="AG859" i="32" s="1"/>
  <c r="AC859" i="32" s="1"/>
  <c r="AF892" i="32"/>
  <c r="AG892" i="32" s="1"/>
  <c r="AC892" i="32" s="1"/>
  <c r="AF932" i="32"/>
  <c r="AG932" i="32" s="1"/>
  <c r="AC932" i="32" s="1"/>
  <c r="AF868" i="32"/>
  <c r="AG868" i="32" s="1"/>
  <c r="AF891" i="32"/>
  <c r="AG891" i="32" s="1"/>
  <c r="AC891" i="32" s="1"/>
  <c r="AE809" i="32"/>
  <c r="AF809" i="32" s="1"/>
  <c r="AG809" i="32" s="1"/>
  <c r="AC809" i="32" s="1"/>
  <c r="AF782" i="32"/>
  <c r="AG782" i="32" s="1"/>
  <c r="AC782" i="32" s="1"/>
  <c r="AF780" i="32"/>
  <c r="AG780" i="32" s="1"/>
  <c r="AC780" i="32" s="1"/>
  <c r="AE768" i="32"/>
  <c r="AF768" i="32" s="1"/>
  <c r="AG768" i="32" s="1"/>
  <c r="AC768" i="32" s="1"/>
  <c r="AF784" i="32"/>
  <c r="AG784" i="32" s="1"/>
  <c r="AE774" i="32"/>
  <c r="AF774" i="32" s="1"/>
  <c r="AG774" i="32" s="1"/>
  <c r="AC774" i="32" s="1"/>
  <c r="AF789" i="32"/>
  <c r="AG789" i="32" s="1"/>
  <c r="AC789" i="32" s="1"/>
  <c r="AF840" i="32"/>
  <c r="AG840" i="32" s="1"/>
  <c r="AC840" i="32" s="1"/>
  <c r="AE753" i="32"/>
  <c r="AF753" i="32" s="1"/>
  <c r="AG753" i="32" s="1"/>
  <c r="AC753" i="32" s="1"/>
  <c r="AF813" i="32"/>
  <c r="AG813" i="32" s="1"/>
  <c r="AC813" i="32" s="1"/>
  <c r="AF764" i="32"/>
  <c r="AG764" i="32" s="1"/>
  <c r="AC764" i="32" s="1"/>
  <c r="AE730" i="32"/>
  <c r="AF730" i="32" s="1"/>
  <c r="AG730" i="32" s="1"/>
  <c r="AE723" i="32"/>
  <c r="AF723" i="32" s="1"/>
  <c r="AG723" i="32" s="1"/>
  <c r="AC723" i="32" s="1"/>
  <c r="AB105" i="32"/>
  <c r="AB106" i="32" s="1"/>
  <c r="AF799" i="32"/>
  <c r="AG799" i="32" s="1"/>
  <c r="AC799" i="32" s="1"/>
  <c r="AB693" i="32"/>
  <c r="AE633" i="32"/>
  <c r="AF633" i="32" s="1"/>
  <c r="AG633" i="32" s="1"/>
  <c r="AC633" i="32" s="1"/>
  <c r="AE613" i="32"/>
  <c r="AF613" i="32" s="1"/>
  <c r="AG613" i="32" s="1"/>
  <c r="AC613" i="32" s="1"/>
  <c r="AE703" i="32"/>
  <c r="AF703" i="32" s="1"/>
  <c r="AG703" i="32" s="1"/>
  <c r="AF676" i="32"/>
  <c r="AG676" i="32" s="1"/>
  <c r="AC676" i="32" s="1"/>
  <c r="AF722" i="32"/>
  <c r="AG722" i="32" s="1"/>
  <c r="AC722" i="32" s="1"/>
  <c r="AF660" i="32"/>
  <c r="AG660" i="32" s="1"/>
  <c r="AC660" i="32" s="1"/>
  <c r="AF674" i="32"/>
  <c r="AG674" i="32" s="1"/>
  <c r="AC674" i="32" s="1"/>
  <c r="AF632" i="32"/>
  <c r="AG632" i="32" s="1"/>
  <c r="AC632" i="32" s="1"/>
  <c r="AB643" i="32"/>
  <c r="AB544" i="32"/>
  <c r="AF547" i="32"/>
  <c r="AG547" i="32" s="1"/>
  <c r="AC547" i="32" s="1"/>
  <c r="AE590" i="32"/>
  <c r="AF590" i="32" s="1"/>
  <c r="AG590" i="32" s="1"/>
  <c r="AC590" i="32" s="1"/>
  <c r="AF550" i="32"/>
  <c r="AG550" i="32" s="1"/>
  <c r="AB563" i="32"/>
  <c r="AB564" i="32" s="1"/>
  <c r="AB565" i="32" s="1"/>
  <c r="AE544" i="32"/>
  <c r="AF544" i="32" s="1"/>
  <c r="AG544" i="32" s="1"/>
  <c r="AC544" i="32" s="1"/>
  <c r="AB593" i="32"/>
  <c r="AF522" i="32"/>
  <c r="AG522" i="32" s="1"/>
  <c r="AC522" i="32" s="1"/>
  <c r="AE521" i="32"/>
  <c r="AF521" i="32" s="1"/>
  <c r="AG521" i="32" s="1"/>
  <c r="AC521" i="32" s="1"/>
  <c r="AE554" i="32"/>
  <c r="AF554" i="32" s="1"/>
  <c r="AG554" i="32" s="1"/>
  <c r="AC554" i="32" s="1"/>
  <c r="AF593" i="32"/>
  <c r="AG593" i="32" s="1"/>
  <c r="AC593" i="32" s="1"/>
  <c r="AE541" i="32"/>
  <c r="AF541" i="32"/>
  <c r="AG541" i="32" s="1"/>
  <c r="AC541" i="32" s="1"/>
  <c r="AE524" i="32"/>
  <c r="AF524" i="32" s="1"/>
  <c r="AG524" i="32" s="1"/>
  <c r="AC524" i="32" s="1"/>
  <c r="AE526" i="32"/>
  <c r="AF526" i="32" s="1"/>
  <c r="AG526" i="32" s="1"/>
  <c r="AC526" i="32" s="1"/>
  <c r="AF565" i="32"/>
  <c r="AG565" i="32" s="1"/>
  <c r="AE567" i="32"/>
  <c r="AF567" i="32" s="1"/>
  <c r="AG567" i="32" s="1"/>
  <c r="AF569" i="32"/>
  <c r="AG569" i="32" s="1"/>
  <c r="AF563" i="32"/>
  <c r="AG563" i="32" s="1"/>
  <c r="AF495" i="32"/>
  <c r="AG495" i="32" s="1"/>
  <c r="AC495" i="32" s="1"/>
  <c r="AF539" i="32"/>
  <c r="AG539" i="32" s="1"/>
  <c r="AC539" i="32" s="1"/>
  <c r="AF545" i="32"/>
  <c r="AG545" i="32" s="1"/>
  <c r="AF487" i="32"/>
  <c r="AG487" i="32" s="1"/>
  <c r="AC487" i="32" s="1"/>
  <c r="AF543" i="32"/>
  <c r="AG543" i="32" s="1"/>
  <c r="AC543" i="32" s="1"/>
  <c r="AF533" i="32"/>
  <c r="AG533" i="32" s="1"/>
  <c r="AC533" i="32" s="1"/>
  <c r="AF382" i="32"/>
  <c r="AG382" i="32" s="1"/>
  <c r="AC382" i="32" s="1"/>
  <c r="AF438" i="32"/>
  <c r="AG438" i="32" s="1"/>
  <c r="AC438" i="32" s="1"/>
  <c r="AF424" i="32"/>
  <c r="AG424" i="32" s="1"/>
  <c r="AE443" i="32"/>
  <c r="AF443" i="32" s="1"/>
  <c r="AG443" i="32" s="1"/>
  <c r="AF394" i="32"/>
  <c r="AG394" i="32" s="1"/>
  <c r="AC394" i="32" s="1"/>
  <c r="AB403" i="32"/>
  <c r="AB404" i="32" s="1"/>
  <c r="AC108" i="32"/>
  <c r="AE456" i="32"/>
  <c r="AF456" i="32" s="1"/>
  <c r="AG456" i="32" s="1"/>
  <c r="AC456" i="32" s="1"/>
  <c r="AF464" i="32"/>
  <c r="AG464" i="32" s="1"/>
  <c r="AC464" i="32" s="1"/>
  <c r="AF400" i="32"/>
  <c r="AG400" i="32" s="1"/>
  <c r="AC400" i="32" s="1"/>
  <c r="AF399" i="32"/>
  <c r="AG399" i="32" s="1"/>
  <c r="AC399" i="32" s="1"/>
  <c r="AF278" i="32"/>
  <c r="AG278" i="32" s="1"/>
  <c r="AC278" i="32" s="1"/>
  <c r="AE343" i="32"/>
  <c r="AF343" i="32" s="1"/>
  <c r="AG343" i="32" s="1"/>
  <c r="AC343" i="32" s="1"/>
  <c r="AF322" i="32"/>
  <c r="AG322" i="32" s="1"/>
  <c r="AC322" i="32" s="1"/>
  <c r="AF262" i="32"/>
  <c r="AG262" i="32" s="1"/>
  <c r="AC262" i="32" s="1"/>
  <c r="AF304" i="32"/>
  <c r="AG304" i="32" s="1"/>
  <c r="AC304" i="32" s="1"/>
  <c r="AF347" i="32"/>
  <c r="AG347" i="32" s="1"/>
  <c r="AC347" i="32" s="1"/>
  <c r="AF300" i="32"/>
  <c r="AG300" i="32" s="1"/>
  <c r="AC300" i="32" s="1"/>
  <c r="AF301" i="32"/>
  <c r="AG301" i="32" s="1"/>
  <c r="AC301" i="32" s="1"/>
  <c r="AB313" i="32"/>
  <c r="AB314" i="32" s="1"/>
  <c r="AF316" i="32"/>
  <c r="AG316" i="32" s="1"/>
  <c r="AC316" i="32" s="1"/>
  <c r="AE169" i="32"/>
  <c r="AF169" i="32" s="1"/>
  <c r="AG169" i="32" s="1"/>
  <c r="AF125" i="32"/>
  <c r="AG125" i="32" s="1"/>
  <c r="AC125" i="32" s="1"/>
  <c r="AF202" i="32"/>
  <c r="AG202" i="32" s="1"/>
  <c r="AC202" i="32" s="1"/>
  <c r="AF210" i="32"/>
  <c r="AG210" i="32" s="1"/>
  <c r="AC210" i="32" s="1"/>
  <c r="AB233" i="32"/>
  <c r="AB265" i="32"/>
  <c r="AB266" i="32" s="1"/>
  <c r="Z31" i="51"/>
  <c r="Z51" i="51"/>
  <c r="W40" i="51"/>
  <c r="Z47" i="51"/>
  <c r="Z45" i="51"/>
  <c r="W54" i="51"/>
  <c r="W32" i="51"/>
  <c r="W42" i="51"/>
  <c r="W50" i="51"/>
  <c r="W34" i="51"/>
  <c r="W36" i="51"/>
  <c r="W56" i="51"/>
  <c r="Z13" i="51"/>
  <c r="W46" i="51"/>
  <c r="W38" i="51"/>
  <c r="W3" i="51"/>
  <c r="AE98" i="32"/>
  <c r="AF98" i="32" s="1"/>
  <c r="AG98" i="32" s="1"/>
  <c r="AC98" i="32" s="1"/>
  <c r="AF100" i="32"/>
  <c r="AG100" i="32" s="1"/>
  <c r="AC100" i="32" s="1"/>
  <c r="AB705" i="32"/>
  <c r="AB706" i="32" s="1"/>
  <c r="AB755" i="32"/>
  <c r="AB756" i="32" s="1"/>
  <c r="AB757" i="32" s="1"/>
  <c r="W10" i="51"/>
  <c r="Z25" i="51"/>
  <c r="Z21" i="51"/>
  <c r="Z15" i="51"/>
  <c r="Z55" i="51"/>
  <c r="W18" i="51"/>
  <c r="W12" i="51"/>
  <c r="Z35" i="51"/>
  <c r="W26" i="51"/>
  <c r="W52" i="51"/>
  <c r="Z17" i="51"/>
  <c r="Z27" i="51"/>
  <c r="Z49" i="51"/>
  <c r="AB73" i="32"/>
  <c r="AB74" i="32" s="1"/>
  <c r="AB75" i="32" s="1"/>
  <c r="AB76" i="32" s="1"/>
  <c r="Z19" i="51"/>
  <c r="W30" i="51"/>
  <c r="W28" i="51"/>
  <c r="Z23" i="51"/>
  <c r="Z53" i="51"/>
  <c r="Z9" i="51"/>
  <c r="Z41" i="51"/>
  <c r="Z33" i="51"/>
  <c r="W22" i="51"/>
  <c r="W14" i="51"/>
  <c r="W44" i="51"/>
  <c r="AB1064" i="32"/>
  <c r="AB1065" i="32" s="1"/>
  <c r="AB1066" i="32" s="1"/>
  <c r="AF60" i="32"/>
  <c r="AG60" i="32" s="1"/>
  <c r="AC60" i="32" s="1"/>
  <c r="AB1055" i="32"/>
  <c r="AE3" i="32"/>
  <c r="AF3" i="32" s="1"/>
  <c r="AB3" i="32"/>
  <c r="AB4" i="32" s="1"/>
  <c r="AE70" i="32"/>
  <c r="AF70" i="32" s="1"/>
  <c r="AG70" i="32" s="1"/>
  <c r="AC70" i="32" s="1"/>
  <c r="AB725" i="32"/>
  <c r="AB726" i="32" s="1"/>
  <c r="AE818" i="32"/>
  <c r="AF818" i="32" s="1"/>
  <c r="AG818" i="32" s="1"/>
  <c r="AC818" i="32" s="1"/>
  <c r="AE360" i="32"/>
  <c r="AF360" i="32" s="1"/>
  <c r="AG360" i="32" s="1"/>
  <c r="AC360" i="32" s="1"/>
  <c r="U8" i="51"/>
  <c r="V8" i="51" s="1"/>
  <c r="AE160" i="32"/>
  <c r="AF160" i="32" s="1"/>
  <c r="AG160" i="32" s="1"/>
  <c r="AC160" i="32" s="1"/>
  <c r="AE482" i="32"/>
  <c r="AF482" i="32" s="1"/>
  <c r="AG482" i="32" s="1"/>
  <c r="AC482" i="32" s="1"/>
  <c r="AE1054" i="32"/>
  <c r="AF1054" i="32" s="1"/>
  <c r="AG1054" i="32" s="1"/>
  <c r="AC1054" i="32" s="1"/>
  <c r="AE899" i="32"/>
  <c r="AF899" i="32" s="1"/>
  <c r="AG899" i="32" s="1"/>
  <c r="AC899" i="32" s="1"/>
  <c r="AE1013" i="32"/>
  <c r="AF1013" i="32"/>
  <c r="AG1013" i="32" s="1"/>
  <c r="AC1013" i="32" s="1"/>
  <c r="AB1013" i="32"/>
  <c r="AE681" i="32"/>
  <c r="AF681" i="32" s="1"/>
  <c r="AG681" i="32" s="1"/>
  <c r="AC681" i="32" s="1"/>
  <c r="AF194" i="32"/>
  <c r="AG194" i="32" s="1"/>
  <c r="AC194" i="32" s="1"/>
  <c r="AE421" i="32"/>
  <c r="AF421" i="32" s="1"/>
  <c r="AG421" i="32" s="1"/>
  <c r="AC421" i="32" s="1"/>
  <c r="AE11" i="32"/>
  <c r="AF11" i="32" s="1"/>
  <c r="AG11" i="32" s="1"/>
  <c r="AE130" i="32"/>
  <c r="AF130" i="32" s="1"/>
  <c r="AG130" i="32" s="1"/>
  <c r="AC130" i="32" s="1"/>
  <c r="AE144" i="32"/>
  <c r="AF144" i="32" s="1"/>
  <c r="AG144" i="32" s="1"/>
  <c r="AC144" i="32" s="1"/>
  <c r="AE228" i="32"/>
  <c r="AF228" i="32" s="1"/>
  <c r="AG228" i="32" s="1"/>
  <c r="AC228" i="32" s="1"/>
  <c r="E71" i="21"/>
  <c r="F71" i="21"/>
  <c r="AF958" i="32"/>
  <c r="AG958" i="32" s="1"/>
  <c r="AC958" i="32" s="1"/>
  <c r="AE56" i="32"/>
  <c r="AF56" i="32" s="1"/>
  <c r="AG56" i="32" s="1"/>
  <c r="AC56" i="32" s="1"/>
  <c r="AF1077" i="32"/>
  <c r="AG1077" i="32" s="1"/>
  <c r="AC1077" i="32" s="1"/>
  <c r="AE102" i="32"/>
  <c r="AF102" i="32" s="1"/>
  <c r="AG102" i="32" s="1"/>
  <c r="AC102" i="32" s="1"/>
  <c r="AE335" i="32"/>
  <c r="AF335" i="32" s="1"/>
  <c r="AG335" i="32" s="1"/>
  <c r="AC335" i="32" s="1"/>
  <c r="AE416" i="32"/>
  <c r="AF416" i="32" s="1"/>
  <c r="AG416" i="32" s="1"/>
  <c r="AC416" i="32" s="1"/>
  <c r="AE514" i="32"/>
  <c r="AF514" i="32" s="1"/>
  <c r="AG514" i="32" s="1"/>
  <c r="AC514" i="32" s="1"/>
  <c r="AE74" i="32"/>
  <c r="AF74" i="32" s="1"/>
  <c r="AG74" i="32" s="1"/>
  <c r="AC74" i="32" s="1"/>
  <c r="AE635" i="32"/>
  <c r="AF635" i="32" s="1"/>
  <c r="AG635" i="32" s="1"/>
  <c r="AC635" i="32" s="1"/>
  <c r="AB573" i="32"/>
  <c r="AB574" i="32" s="1"/>
  <c r="AE573" i="32"/>
  <c r="AF573" i="32" s="1"/>
  <c r="AG573" i="32" s="1"/>
  <c r="AC573" i="32" s="1"/>
  <c r="AF79" i="32"/>
  <c r="AG79" i="32" s="1"/>
  <c r="AC79" i="32" s="1"/>
  <c r="AE798" i="32"/>
  <c r="AF798" i="32" s="1"/>
  <c r="AG798" i="32" s="1"/>
  <c r="AC798" i="32" s="1"/>
  <c r="AE119" i="32"/>
  <c r="AF119" i="32" s="1"/>
  <c r="AG119" i="32" s="1"/>
  <c r="AC119" i="32" s="1"/>
  <c r="AE998" i="32"/>
  <c r="AF998" i="32" s="1"/>
  <c r="AG998" i="32" s="1"/>
  <c r="AC998" i="32" s="1"/>
  <c r="AF700" i="32"/>
  <c r="AG700" i="32" s="1"/>
  <c r="AC700" i="32" s="1"/>
  <c r="AF817" i="32"/>
  <c r="AG817" i="32" s="1"/>
  <c r="AC817" i="32" s="1"/>
  <c r="AF1036" i="32"/>
  <c r="AG1036" i="32" s="1"/>
  <c r="AC1036" i="32" s="1"/>
  <c r="AE418" i="32"/>
  <c r="AF418" i="32" s="1"/>
  <c r="AG418" i="32" s="1"/>
  <c r="AC418" i="32" s="1"/>
  <c r="AF1018" i="32"/>
  <c r="AG1018" i="32" s="1"/>
  <c r="AC1018" i="32" s="1"/>
  <c r="AE111" i="32"/>
  <c r="AF111" i="32" s="1"/>
  <c r="AG111" i="32" s="1"/>
  <c r="AC111" i="32" s="1"/>
  <c r="AE1053" i="32"/>
  <c r="AF1053" i="32" s="1"/>
  <c r="AG1053" i="32" s="1"/>
  <c r="AC1053" i="32" s="1"/>
  <c r="AF734" i="32"/>
  <c r="AG734" i="32" s="1"/>
  <c r="AC734" i="32" s="1"/>
  <c r="AE678" i="32"/>
  <c r="AF678" i="32" s="1"/>
  <c r="AG678" i="32" s="1"/>
  <c r="AC678" i="32" s="1"/>
  <c r="AF1017" i="32"/>
  <c r="AG1017" i="32" s="1"/>
  <c r="AC1017" i="32" s="1"/>
  <c r="AE80" i="32"/>
  <c r="AF80" i="32" s="1"/>
  <c r="AG80" i="32" s="1"/>
  <c r="AC80" i="32" s="1"/>
  <c r="AF378" i="32"/>
  <c r="AG378" i="32" s="1"/>
  <c r="AC378" i="32" s="1"/>
  <c r="AE934" i="32"/>
  <c r="AF934" i="32" s="1"/>
  <c r="AG934" i="32" s="1"/>
  <c r="AC934" i="32" s="1"/>
  <c r="AF479" i="32"/>
  <c r="AG479" i="32" s="1"/>
  <c r="AC479" i="32" s="1"/>
  <c r="AE698" i="32"/>
  <c r="AF698" i="32" s="1"/>
  <c r="AG698" i="32" s="1"/>
  <c r="AC698" i="32" s="1"/>
  <c r="AE217" i="32"/>
  <c r="AF217" i="32"/>
  <c r="AG217" i="32" s="1"/>
  <c r="AC217" i="32" s="1"/>
  <c r="AF138" i="32"/>
  <c r="AG138" i="32" s="1"/>
  <c r="AC138" i="32" s="1"/>
  <c r="AE980" i="32"/>
  <c r="AF980" i="32" s="1"/>
  <c r="AG980" i="32" s="1"/>
  <c r="AC980" i="32" s="1"/>
  <c r="F53" i="21"/>
  <c r="AE646" i="32"/>
  <c r="AF646" i="32" s="1"/>
  <c r="AG646" i="32" s="1"/>
  <c r="AF238" i="32"/>
  <c r="AG238" i="32" s="1"/>
  <c r="AC238" i="32" s="1"/>
  <c r="AF374" i="32"/>
  <c r="AG374" i="32" s="1"/>
  <c r="AC374" i="32" s="1"/>
  <c r="AE759" i="32"/>
  <c r="AF759" i="32" s="1"/>
  <c r="AG759" i="32" s="1"/>
  <c r="AC759" i="32" s="1"/>
  <c r="AE942" i="32"/>
  <c r="AF942" i="32" s="1"/>
  <c r="AG942" i="32" s="1"/>
  <c r="AC942" i="32" s="1"/>
  <c r="AE1055" i="32"/>
  <c r="AF1055" i="32" s="1"/>
  <c r="AG1055" i="32" s="1"/>
  <c r="AC1055" i="32" s="1"/>
  <c r="AF916" i="32"/>
  <c r="AG916" i="32" s="1"/>
  <c r="AC916" i="32" s="1"/>
  <c r="AE1039" i="32"/>
  <c r="AF1039" i="32" s="1"/>
  <c r="AG1039" i="32" s="1"/>
  <c r="AC1039" i="32" s="1"/>
  <c r="AE715" i="32"/>
  <c r="AF715" i="32" s="1"/>
  <c r="AG715" i="32" s="1"/>
  <c r="AC715" i="32" s="1"/>
  <c r="AE1019" i="32"/>
  <c r="AF1019" i="32" s="1"/>
  <c r="AG1019" i="32" s="1"/>
  <c r="AC1019" i="32" s="1"/>
  <c r="AE619" i="32"/>
  <c r="AF619" i="32" s="1"/>
  <c r="AG619" i="32" s="1"/>
  <c r="AC619" i="32" s="1"/>
  <c r="AE758" i="32"/>
  <c r="AF758" i="32" s="1"/>
  <c r="AG758" i="32" s="1"/>
  <c r="AC758" i="32" s="1"/>
  <c r="AF18" i="32"/>
  <c r="AG18" i="32" s="1"/>
  <c r="AC18" i="32" s="1"/>
  <c r="AF17" i="32"/>
  <c r="AG17" i="32" s="1"/>
  <c r="AC17" i="32" s="1"/>
  <c r="AF1074" i="32"/>
  <c r="AG1074" i="32" s="1"/>
  <c r="AC1074" i="32" s="1"/>
  <c r="AE393" i="32"/>
  <c r="AF393" i="32" s="1"/>
  <c r="AG393" i="32" s="1"/>
  <c r="AC393" i="32" s="1"/>
  <c r="AF236" i="32"/>
  <c r="AG236" i="32" s="1"/>
  <c r="AC236" i="32" s="1"/>
  <c r="AF556" i="32"/>
  <c r="AG556" i="32" s="1"/>
  <c r="AC556" i="32" s="1"/>
  <c r="AE921" i="32"/>
  <c r="AF921" i="32" s="1"/>
  <c r="AG921" i="32" s="1"/>
  <c r="AC921" i="32" s="1"/>
  <c r="AF41" i="32"/>
  <c r="AG41" i="32" s="1"/>
  <c r="AC41" i="32" s="1"/>
  <c r="AF154" i="32"/>
  <c r="AG154" i="32" s="1"/>
  <c r="AC154" i="32" s="1"/>
  <c r="AF97" i="32"/>
  <c r="AG97" i="32" s="1"/>
  <c r="AC97" i="32" s="1"/>
  <c r="AF420" i="32"/>
  <c r="AG420" i="32" s="1"/>
  <c r="AC420" i="32" s="1"/>
  <c r="AE716" i="32"/>
  <c r="AF716" i="32" s="1"/>
  <c r="AG716" i="32" s="1"/>
  <c r="AC716" i="32" s="1"/>
  <c r="AE618" i="32"/>
  <c r="AF618" i="32" s="1"/>
  <c r="AG618" i="32" s="1"/>
  <c r="AC618" i="32" s="1"/>
  <c r="C48" i="21"/>
  <c r="H48" i="21"/>
  <c r="A48" i="21"/>
  <c r="E48" i="21"/>
  <c r="K48" i="21"/>
  <c r="J48" i="21"/>
  <c r="I48" i="21"/>
  <c r="N19" i="1"/>
  <c r="K19" i="1" s="1"/>
  <c r="N42" i="1" s="1"/>
  <c r="AE32" i="39" s="1"/>
  <c r="N15" i="1"/>
  <c r="K15" i="1" s="1"/>
  <c r="N20" i="1"/>
  <c r="K20" i="1"/>
  <c r="N18" i="1"/>
  <c r="K18" i="1" s="1"/>
  <c r="N14" i="1"/>
  <c r="K14" i="1" s="1"/>
  <c r="N17" i="1"/>
  <c r="K17" i="1" s="1"/>
  <c r="AE112" i="32"/>
  <c r="AF112" i="32" s="1"/>
  <c r="AG112" i="32" s="1"/>
  <c r="AC112" i="32" s="1"/>
  <c r="AE226" i="32"/>
  <c r="AF226" i="32" s="1"/>
  <c r="AG226" i="32" s="1"/>
  <c r="AC226" i="32" s="1"/>
  <c r="AE684" i="32"/>
  <c r="AF684" i="32" s="1"/>
  <c r="AG684" i="32" s="1"/>
  <c r="AC684" i="32" s="1"/>
  <c r="AF1080" i="32"/>
  <c r="AG1080" i="32" s="1"/>
  <c r="AC1080" i="32" s="1"/>
  <c r="AF21" i="32"/>
  <c r="AG21" i="32" s="1"/>
  <c r="AC21" i="32" s="1"/>
  <c r="AE413" i="32"/>
  <c r="AF413" i="32" s="1"/>
  <c r="AG413" i="32" s="1"/>
  <c r="AC413" i="32" s="1"/>
  <c r="AF858" i="32"/>
  <c r="AG858" i="32" s="1"/>
  <c r="AC858" i="32" s="1"/>
  <c r="AE713" i="32"/>
  <c r="AF713" i="32" s="1"/>
  <c r="AG713" i="32" s="1"/>
  <c r="AC713" i="32" s="1"/>
  <c r="AB713" i="32"/>
  <c r="AF1016" i="32"/>
  <c r="AG1016" i="32" s="1"/>
  <c r="AC1016" i="32" s="1"/>
  <c r="AE620" i="32"/>
  <c r="AF620" i="32" s="1"/>
  <c r="AG620" i="32" s="1"/>
  <c r="AC620" i="32" s="1"/>
  <c r="AE61" i="32"/>
  <c r="AF61" i="32" s="1"/>
  <c r="AG61" i="32" s="1"/>
  <c r="AC61" i="32" s="1"/>
  <c r="AE756" i="32"/>
  <c r="AF756" i="32" s="1"/>
  <c r="AG756" i="32" s="1"/>
  <c r="AC756" i="32" s="1"/>
  <c r="AE680" i="32"/>
  <c r="AF680" i="32" s="1"/>
  <c r="AG680" i="32" s="1"/>
  <c r="AC680" i="32" s="1"/>
  <c r="AE962" i="32"/>
  <c r="AF962" i="32" s="1"/>
  <c r="AG962" i="32" s="1"/>
  <c r="AC962" i="32" s="1"/>
  <c r="AE275" i="32"/>
  <c r="AF275" i="32" s="1"/>
  <c r="AG275" i="32" s="1"/>
  <c r="AC275" i="32" s="1"/>
  <c r="C82" i="21"/>
  <c r="M82" i="21"/>
  <c r="B82" i="21"/>
  <c r="AE46" i="32"/>
  <c r="AF46" i="32" s="1"/>
  <c r="AG46" i="32" s="1"/>
  <c r="AC46" i="32" s="1"/>
  <c r="AC187" i="32"/>
  <c r="AE389" i="32"/>
  <c r="AF389" i="32" s="1"/>
  <c r="AG389" i="32" s="1"/>
  <c r="AC389" i="32" s="1"/>
  <c r="AE507" i="32"/>
  <c r="AF507" i="32" s="1"/>
  <c r="AG507" i="32" s="1"/>
  <c r="AC507" i="32" s="1"/>
  <c r="AH157" i="32"/>
  <c r="AI150" i="32"/>
  <c r="AC150" i="32"/>
  <c r="AH158" i="32"/>
  <c r="AI148" i="32"/>
  <c r="AI143" i="32"/>
  <c r="AH161" i="32"/>
  <c r="AE161" i="32" s="1"/>
  <c r="AF161" i="32" s="1"/>
  <c r="AG161" i="32" s="1"/>
  <c r="AH159" i="32"/>
  <c r="AI144" i="32"/>
  <c r="AH156" i="32"/>
  <c r="AI147" i="32"/>
  <c r="L78" i="21"/>
  <c r="C78" i="21"/>
  <c r="AE10" i="32"/>
  <c r="AF10" i="32" s="1"/>
  <c r="AG10" i="32" s="1"/>
  <c r="AC10" i="32" s="1"/>
  <c r="AE105" i="32"/>
  <c r="AF105" i="32" s="1"/>
  <c r="AG105" i="32" s="1"/>
  <c r="AC105" i="32" s="1"/>
  <c r="AE311" i="32"/>
  <c r="AF311" i="32" s="1"/>
  <c r="AG311" i="32" s="1"/>
  <c r="AC311" i="32" s="1"/>
  <c r="AE404" i="32"/>
  <c r="AF404" i="32" s="1"/>
  <c r="AG404" i="32" s="1"/>
  <c r="AC404" i="32" s="1"/>
  <c r="AE692" i="32"/>
  <c r="AF692" i="32" s="1"/>
  <c r="AG692" i="32" s="1"/>
  <c r="AC692" i="32" s="1"/>
  <c r="AF1037" i="32"/>
  <c r="AG1037" i="32" s="1"/>
  <c r="AC1037" i="32" s="1"/>
  <c r="AE822" i="32"/>
  <c r="AF822" i="32" s="1"/>
  <c r="AG822" i="32" s="1"/>
  <c r="AC822" i="32" s="1"/>
  <c r="AF659" i="32"/>
  <c r="AG659" i="32" s="1"/>
  <c r="AC659" i="32" s="1"/>
  <c r="AE898" i="32"/>
  <c r="AF898" i="32" s="1"/>
  <c r="AG898" i="32" s="1"/>
  <c r="AC898" i="32" s="1"/>
  <c r="AE57" i="32"/>
  <c r="AF57" i="32" s="1"/>
  <c r="AG57" i="32" s="1"/>
  <c r="AC57" i="32" s="1"/>
  <c r="AE218" i="32"/>
  <c r="AF218" i="32" s="1"/>
  <c r="AG218" i="32" s="1"/>
  <c r="AC218" i="32" s="1"/>
  <c r="AE662" i="32"/>
  <c r="AF662" i="32" s="1"/>
  <c r="AG662" i="32" s="1"/>
  <c r="AC662" i="32" s="1"/>
  <c r="AF42" i="32"/>
  <c r="AG42" i="32" s="1"/>
  <c r="AC42" i="32" s="1"/>
  <c r="AE28" i="32"/>
  <c r="AF28" i="32" s="1"/>
  <c r="AG28" i="32" s="1"/>
  <c r="AC28" i="32" s="1"/>
  <c r="AE132" i="32"/>
  <c r="AF132" i="32" s="1"/>
  <c r="AG132" i="32" s="1"/>
  <c r="AC132" i="32" s="1"/>
  <c r="AC186" i="32"/>
  <c r="AE352" i="32"/>
  <c r="AF352" i="32"/>
  <c r="AG352" i="32" s="1"/>
  <c r="AC352" i="32" s="1"/>
  <c r="AF367" i="32"/>
  <c r="AG367" i="32" s="1"/>
  <c r="AC367" i="32" s="1"/>
  <c r="AF571" i="32"/>
  <c r="AG571" i="32" s="1"/>
  <c r="AE606" i="32"/>
  <c r="AF606" i="32" s="1"/>
  <c r="AG606" i="32" s="1"/>
  <c r="AC606" i="32" s="1"/>
  <c r="AE626" i="32"/>
  <c r="AF626" i="32" s="1"/>
  <c r="AG626" i="32" s="1"/>
  <c r="AC626" i="32" s="1"/>
  <c r="AE803" i="32"/>
  <c r="AF803" i="32" s="1"/>
  <c r="AG803" i="32" s="1"/>
  <c r="AE1045" i="32"/>
  <c r="AF1045" i="32" s="1"/>
  <c r="AG1045" i="32" s="1"/>
  <c r="AC1045" i="32" s="1"/>
  <c r="I76" i="21"/>
  <c r="AE7" i="32"/>
  <c r="AF7" i="32" s="1"/>
  <c r="AG7" i="32" s="1"/>
  <c r="AC7" i="32" s="1"/>
  <c r="AE27" i="32"/>
  <c r="AF27" i="32"/>
  <c r="AG27" i="32" s="1"/>
  <c r="AC27" i="32" s="1"/>
  <c r="AE31" i="32"/>
  <c r="AF31" i="32"/>
  <c r="AG31" i="32" s="1"/>
  <c r="AC31" i="32" s="1"/>
  <c r="AE63" i="32"/>
  <c r="AF63" i="32" s="1"/>
  <c r="AG63" i="32" s="1"/>
  <c r="AC63" i="32" s="1"/>
  <c r="AF66" i="32"/>
  <c r="AG66" i="32" s="1"/>
  <c r="AC66" i="32" s="1"/>
  <c r="AE91" i="32"/>
  <c r="AF91" i="32" s="1"/>
  <c r="AG91" i="32" s="1"/>
  <c r="AC91" i="32" s="1"/>
  <c r="AF229" i="32"/>
  <c r="AG229" i="32" s="1"/>
  <c r="AC229" i="32" s="1"/>
  <c r="AF452" i="32"/>
  <c r="AG452" i="32" s="1"/>
  <c r="AC452" i="32" s="1"/>
  <c r="AE608" i="32"/>
  <c r="AF608" i="32" s="1"/>
  <c r="AG608" i="32" s="1"/>
  <c r="AC608" i="32" s="1"/>
  <c r="AE666" i="32"/>
  <c r="AF666" i="32" s="1"/>
  <c r="AG666" i="32" s="1"/>
  <c r="AC666" i="32" s="1"/>
  <c r="AF708" i="32"/>
  <c r="AG708" i="32" s="1"/>
  <c r="AC708" i="32" s="1"/>
  <c r="AE771" i="32"/>
  <c r="AF771" i="32" s="1"/>
  <c r="AG771" i="32" s="1"/>
  <c r="AC771" i="32" s="1"/>
  <c r="AE1066" i="32"/>
  <c r="AF1066" i="32" s="1"/>
  <c r="AG1066" i="32" s="1"/>
  <c r="AC1066" i="32" s="1"/>
  <c r="AF679" i="32"/>
  <c r="AG679" i="32" s="1"/>
  <c r="AC679" i="32" s="1"/>
  <c r="AF975" i="32"/>
  <c r="AG975" i="32" s="1"/>
  <c r="AC975" i="32" s="1"/>
  <c r="K68" i="21"/>
  <c r="C68" i="21"/>
  <c r="AE92" i="32"/>
  <c r="AF92" i="32" s="1"/>
  <c r="AG92" i="32" s="1"/>
  <c r="AC92" i="32" s="1"/>
  <c r="AF131" i="32"/>
  <c r="AG131" i="32" s="1"/>
  <c r="AC131" i="32" s="1"/>
  <c r="AE168" i="32"/>
  <c r="AF168" i="32" s="1"/>
  <c r="AG168" i="32" s="1"/>
  <c r="AC168" i="32" s="1"/>
  <c r="AF192" i="32"/>
  <c r="AG192" i="32" s="1"/>
  <c r="AC192" i="32" s="1"/>
  <c r="AE249" i="32"/>
  <c r="AF249" i="32" s="1"/>
  <c r="AG249" i="32" s="1"/>
  <c r="AE267" i="32"/>
  <c r="AF267" i="32" s="1"/>
  <c r="AG267" i="32" s="1"/>
  <c r="AC267" i="32" s="1"/>
  <c r="AE450" i="32"/>
  <c r="AF450" i="32" s="1"/>
  <c r="AG450" i="32" s="1"/>
  <c r="AC450" i="32" s="1"/>
  <c r="AF472" i="32"/>
  <c r="AG472" i="32" s="1"/>
  <c r="AC472" i="32" s="1"/>
  <c r="AE549" i="32"/>
  <c r="AF549" i="32" s="1"/>
  <c r="AG549" i="32" s="1"/>
  <c r="AC549" i="32" s="1"/>
  <c r="AE604" i="32"/>
  <c r="AF604" i="32"/>
  <c r="AG604" i="32" s="1"/>
  <c r="AC604" i="32" s="1"/>
  <c r="AF989" i="32"/>
  <c r="AG989" i="32" s="1"/>
  <c r="AC989" i="32" s="1"/>
  <c r="AE26" i="32"/>
  <c r="AF26" i="32" s="1"/>
  <c r="AG26" i="32" s="1"/>
  <c r="AF65" i="32"/>
  <c r="AG65" i="32" s="1"/>
  <c r="AF152" i="32"/>
  <c r="AG152" i="32" s="1"/>
  <c r="AC152" i="32" s="1"/>
  <c r="AF407" i="32"/>
  <c r="AG407" i="32" s="1"/>
  <c r="AC407" i="32" s="1"/>
  <c r="AF468" i="32"/>
  <c r="AG468" i="32" s="1"/>
  <c r="AF512" i="32"/>
  <c r="AG512" i="32" s="1"/>
  <c r="AC512" i="32" s="1"/>
  <c r="AF585" i="32"/>
  <c r="AG585" i="32" s="1"/>
  <c r="AC585" i="32" s="1"/>
  <c r="AE603" i="32"/>
  <c r="AF603" i="32" s="1"/>
  <c r="AG603" i="32" s="1"/>
  <c r="AC603" i="32" s="1"/>
  <c r="AE688" i="32"/>
  <c r="AF688" i="32" s="1"/>
  <c r="AG688" i="32" s="1"/>
  <c r="AC688" i="32" s="1"/>
  <c r="AF711" i="32"/>
  <c r="AG711" i="32" s="1"/>
  <c r="AC711" i="32" s="1"/>
  <c r="AE912" i="32"/>
  <c r="AF912" i="32" s="1"/>
  <c r="AG912" i="32" s="1"/>
  <c r="AC912" i="32" s="1"/>
  <c r="AE945" i="32"/>
  <c r="AF945" i="32" s="1"/>
  <c r="AG945" i="32" s="1"/>
  <c r="AC945" i="32" s="1"/>
  <c r="AE1030" i="32"/>
  <c r="AF1030" i="32" s="1"/>
  <c r="AG1030" i="32" s="1"/>
  <c r="AB1043" i="32"/>
  <c r="AB1044" i="32" s="1"/>
  <c r="AF189" i="32"/>
  <c r="AG189" i="32" s="1"/>
  <c r="AC189" i="32" s="1"/>
  <c r="AF287" i="32"/>
  <c r="AG287" i="32" s="1"/>
  <c r="AF348" i="32"/>
  <c r="AG348" i="32"/>
  <c r="AC348" i="32" s="1"/>
  <c r="AF651" i="32"/>
  <c r="AG651" i="32" s="1"/>
  <c r="AC651" i="32" s="1"/>
  <c r="AE747" i="32"/>
  <c r="AF747" i="32" s="1"/>
  <c r="AG747" i="32" s="1"/>
  <c r="AC747" i="32" s="1"/>
  <c r="AE772" i="32"/>
  <c r="AF772" i="32" s="1"/>
  <c r="AG772" i="32" s="1"/>
  <c r="AE788" i="32"/>
  <c r="AF788" i="32" s="1"/>
  <c r="AG788" i="32" s="1"/>
  <c r="AC788" i="32" s="1"/>
  <c r="AE970" i="32"/>
  <c r="AF970" i="32" s="1"/>
  <c r="AG970" i="32" s="1"/>
  <c r="AF1020" i="32"/>
  <c r="AG1020" i="32" s="1"/>
  <c r="AC1020" i="32" s="1"/>
  <c r="AF611" i="32"/>
  <c r="AG611" i="32" s="1"/>
  <c r="AC611" i="32" s="1"/>
  <c r="AF630" i="32"/>
  <c r="AG630" i="32" s="1"/>
  <c r="AC630" i="32" s="1"/>
  <c r="AE672" i="32"/>
  <c r="AF672" i="32" s="1"/>
  <c r="AG672" i="32" s="1"/>
  <c r="AC672" i="32" s="1"/>
  <c r="AE927" i="32"/>
  <c r="AF927" i="32" s="1"/>
  <c r="AG927" i="32" s="1"/>
  <c r="AE968" i="32"/>
  <c r="AF968" i="32" s="1"/>
  <c r="AG968" i="32" s="1"/>
  <c r="AC968" i="32" s="1"/>
  <c r="AE991" i="32"/>
  <c r="AF991" i="32" s="1"/>
  <c r="AG991" i="32" s="1"/>
  <c r="AC991" i="32" s="1"/>
  <c r="AF704" i="32"/>
  <c r="AG704" i="32" s="1"/>
  <c r="AC704" i="32" s="1"/>
  <c r="AF766" i="32"/>
  <c r="AG766" i="32" s="1"/>
  <c r="AC766" i="32" s="1"/>
  <c r="AF830" i="32"/>
  <c r="AG830" i="32"/>
  <c r="AC830" i="32" s="1"/>
  <c r="AE1048" i="32"/>
  <c r="AF1048" i="32" s="1"/>
  <c r="AG1048" i="32" s="1"/>
  <c r="AC1048" i="32" s="1"/>
  <c r="AF1065" i="32"/>
  <c r="AG1065" i="32" s="1"/>
  <c r="AC1065" i="32" s="1"/>
  <c r="AE994" i="32"/>
  <c r="AF994" i="32" s="1"/>
  <c r="AG994" i="32" s="1"/>
  <c r="AC994" i="32" s="1"/>
  <c r="AF987" i="32"/>
  <c r="AG987" i="32" s="1"/>
  <c r="AC987" i="32" s="1"/>
  <c r="AG3" i="32"/>
  <c r="AC3" i="32" s="1"/>
  <c r="AE156" i="32"/>
  <c r="AF156" i="32" s="1"/>
  <c r="AG156" i="32" s="1"/>
  <c r="AC156" i="32" s="1"/>
  <c r="AE157" i="32"/>
  <c r="AF157" i="32" s="1"/>
  <c r="AG157" i="32" s="1"/>
  <c r="AC157" i="32" s="1"/>
  <c r="AE159" i="32"/>
  <c r="AF159" i="32" s="1"/>
  <c r="AG159" i="32" s="1"/>
  <c r="AC159" i="32" s="1"/>
  <c r="D50" i="32" l="1"/>
  <c r="D53" i="32"/>
  <c r="D74" i="32"/>
  <c r="D57" i="32"/>
  <c r="D63" i="32"/>
  <c r="D73" i="32"/>
  <c r="D60" i="32"/>
  <c r="D75" i="32"/>
  <c r="D85" i="32"/>
  <c r="D54" i="32"/>
  <c r="D80" i="32"/>
  <c r="D58" i="32"/>
  <c r="D83" i="32"/>
  <c r="D88" i="32"/>
  <c r="D86" i="32"/>
  <c r="D79" i="32"/>
  <c r="D61" i="32"/>
  <c r="D59" i="32"/>
  <c r="D70" i="32"/>
  <c r="D77" i="32"/>
  <c r="D66" i="32"/>
  <c r="D68" i="32"/>
  <c r="D81" i="32"/>
  <c r="D78" i="32"/>
  <c r="D76" i="32"/>
  <c r="J22" i="39"/>
  <c r="J24" i="39"/>
  <c r="P7" i="21"/>
  <c r="J18" i="39"/>
  <c r="J19" i="39"/>
  <c r="J20" i="39"/>
  <c r="D2" i="52"/>
  <c r="B2" i="52" s="1"/>
  <c r="P44" i="21"/>
  <c r="AB966" i="32"/>
  <c r="AB967" i="32" s="1"/>
  <c r="AB968" i="32" s="1"/>
  <c r="AB505" i="32"/>
  <c r="AB506" i="32" s="1"/>
  <c r="M44" i="21"/>
  <c r="L44" i="21"/>
  <c r="S44" i="21"/>
  <c r="V44" i="21"/>
  <c r="AB815" i="32"/>
  <c r="AB816" i="32" s="1"/>
  <c r="AB95" i="32"/>
  <c r="AB96" i="32" s="1"/>
  <c r="E44" i="21"/>
  <c r="F76" i="21"/>
  <c r="G44" i="21"/>
  <c r="T84" i="32"/>
  <c r="T142" i="32"/>
  <c r="T522" i="32"/>
  <c r="T511" i="32"/>
  <c r="T329" i="32"/>
  <c r="T327" i="32"/>
  <c r="T225" i="32"/>
  <c r="T295" i="32"/>
  <c r="T366" i="32"/>
  <c r="T355" i="32"/>
  <c r="T284" i="32"/>
  <c r="T411" i="32"/>
  <c r="T352" i="32"/>
  <c r="T209" i="32"/>
  <c r="T457" i="32"/>
  <c r="T416" i="32"/>
  <c r="T267" i="32"/>
  <c r="T76" i="32"/>
  <c r="T102" i="32"/>
  <c r="T404" i="32"/>
  <c r="T421" i="32"/>
  <c r="T91" i="32"/>
  <c r="T92" i="32"/>
  <c r="T306" i="32"/>
  <c r="T108" i="32"/>
  <c r="T280" i="32"/>
  <c r="T272" i="32"/>
  <c r="T67" i="32"/>
  <c r="T303" i="32"/>
  <c r="T282" i="32"/>
  <c r="T517" i="32"/>
  <c r="T256" i="32"/>
  <c r="T232" i="32"/>
  <c r="T397" i="32"/>
  <c r="T277" i="32"/>
  <c r="T464" i="32"/>
  <c r="T263" i="32"/>
  <c r="T469" i="32"/>
  <c r="T193" i="32"/>
  <c r="T273" i="32"/>
  <c r="T109" i="32"/>
  <c r="T309" i="32"/>
  <c r="T390" i="32"/>
  <c r="T482" i="32"/>
  <c r="T243" i="32"/>
  <c r="T459" i="32"/>
  <c r="T126" i="32"/>
  <c r="T453" i="32"/>
  <c r="T419" i="32"/>
  <c r="T478" i="32"/>
  <c r="T192" i="32"/>
  <c r="T334" i="32"/>
  <c r="T294" i="32"/>
  <c r="T321" i="32"/>
  <c r="T413" i="32"/>
  <c r="T101" i="32"/>
  <c r="T326" i="32"/>
  <c r="T405" i="32"/>
  <c r="T299" i="32"/>
  <c r="T356" i="32"/>
  <c r="T524" i="32"/>
  <c r="T460" i="32"/>
  <c r="T234" i="32"/>
  <c r="T376" i="32"/>
  <c r="T238" i="32"/>
  <c r="T257" i="32"/>
  <c r="T245" i="32"/>
  <c r="T200" i="32"/>
  <c r="T308" i="32"/>
  <c r="T383" i="32"/>
  <c r="T228" i="32"/>
  <c r="T224" i="32"/>
  <c r="T138" i="32"/>
  <c r="T143" i="32"/>
  <c r="T519" i="32"/>
  <c r="T154" i="32"/>
  <c r="T241" i="32"/>
  <c r="T495" i="32"/>
  <c r="T112" i="32"/>
  <c r="T437" i="32"/>
  <c r="T298" i="32"/>
  <c r="T218" i="32"/>
  <c r="T521" i="32"/>
  <c r="T130" i="32"/>
  <c r="T86" i="32"/>
  <c r="T367" i="32"/>
  <c r="T226" i="32"/>
  <c r="T85" i="32"/>
  <c r="T135" i="32"/>
  <c r="T206" i="32"/>
  <c r="T144" i="32"/>
  <c r="T169" i="32"/>
  <c r="T456" i="32"/>
  <c r="T170" i="32"/>
  <c r="T87" i="32"/>
  <c r="T438" i="32"/>
  <c r="T451" i="32"/>
  <c r="T281" i="32"/>
  <c r="T187" i="32"/>
  <c r="T304" i="32"/>
  <c r="T118" i="32"/>
  <c r="T78" i="32"/>
  <c r="T215" i="32"/>
  <c r="T131" i="32"/>
  <c r="T116" i="32"/>
  <c r="T400" i="32"/>
  <c r="T338" i="32"/>
  <c r="T480" i="32"/>
  <c r="T247" i="32"/>
  <c r="T161" i="32"/>
  <c r="T455" i="32"/>
  <c r="T146" i="32"/>
  <c r="T219" i="32"/>
  <c r="T205" i="32"/>
  <c r="T323" i="32"/>
  <c r="T368" i="32"/>
  <c r="T164" i="32"/>
  <c r="T465" i="32"/>
  <c r="T264" i="32"/>
  <c r="T229" i="32"/>
  <c r="T434" i="32"/>
  <c r="T107" i="32"/>
  <c r="T283" i="32"/>
  <c r="T307" i="32"/>
  <c r="T123" i="32"/>
  <c r="T171" i="32"/>
  <c r="T204" i="32"/>
  <c r="T425" i="32"/>
  <c r="T251" i="32"/>
  <c r="T429" i="32"/>
  <c r="T181" i="32"/>
  <c r="T471" i="32"/>
  <c r="T214" i="32"/>
  <c r="T441" i="32"/>
  <c r="T133" i="32"/>
  <c r="T96" i="32"/>
  <c r="T526" i="32"/>
  <c r="T156" i="32"/>
  <c r="T516" i="32"/>
  <c r="T68" i="32"/>
  <c r="T99" i="32"/>
  <c r="T120" i="32"/>
  <c r="T435" i="32"/>
  <c r="T349" i="32"/>
  <c r="T186" i="32"/>
  <c r="T412" i="32"/>
  <c r="T484" i="32"/>
  <c r="T318" i="32"/>
  <c r="T153" i="32"/>
  <c r="T233" i="32"/>
  <c r="T231" i="32"/>
  <c r="T265" i="32"/>
  <c r="T347" i="32"/>
  <c r="T406" i="32"/>
  <c r="T191" i="32"/>
  <c r="T427" i="32"/>
  <c r="T147" i="32"/>
  <c r="T269" i="32"/>
  <c r="T98" i="32"/>
  <c r="T333" i="32"/>
  <c r="T372" i="32"/>
  <c r="T345" i="32"/>
  <c r="T491" i="32"/>
  <c r="T150" i="32"/>
  <c r="T446" i="32"/>
  <c r="T423" i="32"/>
  <c r="T129" i="32"/>
  <c r="T260" i="32"/>
  <c r="T359" i="32"/>
  <c r="T510" i="32"/>
  <c r="T163" i="32"/>
  <c r="T148" i="32"/>
  <c r="T278" i="32"/>
  <c r="T331" i="32"/>
  <c r="T503" i="32"/>
  <c r="T89" i="32"/>
  <c r="T268" i="32"/>
  <c r="T399" i="32"/>
  <c r="T261" i="32"/>
  <c r="T313" i="32"/>
  <c r="T111" i="32"/>
  <c r="T504" i="32"/>
  <c r="T66" i="32"/>
  <c r="T362" i="32"/>
  <c r="T382" i="32"/>
  <c r="T508" i="32"/>
  <c r="T128" i="32"/>
  <c r="T77" i="32"/>
  <c r="T72" i="32"/>
  <c r="T237" i="32"/>
  <c r="T444" i="32"/>
  <c r="T328" i="32"/>
  <c r="T388" i="32"/>
  <c r="T253" i="32"/>
  <c r="T335" i="32"/>
  <c r="T255" i="32"/>
  <c r="T498" i="32"/>
  <c r="T489" i="32"/>
  <c r="T302" i="32"/>
  <c r="T110" i="32"/>
  <c r="T414" i="32"/>
  <c r="T100" i="32"/>
  <c r="T317" i="32"/>
  <c r="T443" i="32"/>
  <c r="T165" i="32"/>
  <c r="T292" i="32"/>
  <c r="T433" i="32"/>
  <c r="T152" i="32"/>
  <c r="T201" i="32"/>
  <c r="T350" i="32"/>
  <c r="T462" i="32"/>
  <c r="T445" i="32"/>
  <c r="T300" i="32"/>
  <c r="T311" i="32"/>
  <c r="T487" i="32"/>
  <c r="T458" i="32"/>
  <c r="T322" i="32"/>
  <c r="T97" i="32"/>
  <c r="T286" i="32"/>
  <c r="T452" i="32"/>
  <c r="T69" i="32"/>
  <c r="T104" i="32"/>
  <c r="T432" i="32"/>
  <c r="T305" i="32"/>
  <c r="T513" i="32"/>
  <c r="T315" i="32"/>
  <c r="T158" i="32"/>
  <c r="T177" i="32"/>
  <c r="T428" i="32"/>
  <c r="T393" i="32"/>
  <c r="T197" i="32"/>
  <c r="T183" i="32"/>
  <c r="T140" i="32"/>
  <c r="T417" i="32"/>
  <c r="T285" i="32"/>
  <c r="T167" i="32"/>
  <c r="T312" i="32"/>
  <c r="T369" i="32"/>
  <c r="T122" i="32"/>
  <c r="T236" i="32"/>
  <c r="T332" i="32"/>
  <c r="T386" i="32"/>
  <c r="T442" i="32"/>
  <c r="T466" i="32"/>
  <c r="T222" i="32"/>
  <c r="T509" i="32"/>
  <c r="T202" i="32"/>
  <c r="T339" i="32"/>
  <c r="T127" i="32"/>
  <c r="T499" i="32"/>
  <c r="T395" i="32"/>
  <c r="T351" i="32"/>
  <c r="T353" i="32"/>
  <c r="T149" i="32"/>
  <c r="T518" i="32"/>
  <c r="T262" i="32"/>
  <c r="T221" i="32"/>
  <c r="T389" i="32"/>
  <c r="T496" i="32"/>
  <c r="T293" i="32"/>
  <c r="T401" i="32"/>
  <c r="T450" i="32"/>
  <c r="T415" i="32"/>
  <c r="T288" i="32"/>
  <c r="T409" i="32"/>
  <c r="T394" i="32"/>
  <c r="T481" i="32"/>
  <c r="T475" i="32"/>
  <c r="T180" i="32"/>
  <c r="T132" i="32"/>
  <c r="T271" i="32"/>
  <c r="T175" i="32"/>
  <c r="T203" i="32"/>
  <c r="T391" i="32"/>
  <c r="T75" i="32"/>
  <c r="T507" i="32"/>
  <c r="T477" i="32"/>
  <c r="T361" i="32"/>
  <c r="T134" i="32"/>
  <c r="T139" i="32"/>
  <c r="T189" i="32"/>
  <c r="T81" i="32"/>
  <c r="T188" i="32"/>
  <c r="T424" i="32"/>
  <c r="T440" i="32"/>
  <c r="T420" i="32"/>
  <c r="T178" i="32"/>
  <c r="T250" i="32"/>
  <c r="T227" i="32"/>
  <c r="T296" i="32"/>
  <c r="T385" i="32"/>
  <c r="T474" i="32"/>
  <c r="T83" i="32"/>
  <c r="T310" i="32"/>
  <c r="T479" i="32"/>
  <c r="T239" i="32"/>
  <c r="T485" i="32"/>
  <c r="T151" i="32"/>
  <c r="T172" i="32"/>
  <c r="T207" i="32"/>
  <c r="T73" i="32"/>
  <c r="T115" i="32"/>
  <c r="T244" i="32"/>
  <c r="T155" i="32"/>
  <c r="T472" i="32"/>
  <c r="T340" i="32"/>
  <c r="T240" i="32"/>
  <c r="T119" i="32"/>
  <c r="T436" i="32"/>
  <c r="T407" i="32"/>
  <c r="T159" i="32"/>
  <c r="T337" i="32"/>
  <c r="T387" i="32"/>
  <c r="T117" i="32"/>
  <c r="T426" i="32"/>
  <c r="T363" i="32"/>
  <c r="T514" i="32"/>
  <c r="T179" i="32"/>
  <c r="T287" i="32"/>
  <c r="T502" i="32"/>
  <c r="T145" i="32"/>
  <c r="T488" i="32"/>
  <c r="T314" i="32"/>
  <c r="T230" i="32"/>
  <c r="T270" i="32"/>
  <c r="T325" i="32"/>
  <c r="T418" i="32"/>
  <c r="T402" i="32"/>
  <c r="T246" i="32"/>
  <c r="T276" i="32"/>
  <c r="T190" i="32"/>
  <c r="T70" i="32"/>
  <c r="T94" i="32"/>
  <c r="T162" i="32"/>
  <c r="T449" i="32"/>
  <c r="T512" i="32"/>
  <c r="T80" i="32"/>
  <c r="T173" i="32"/>
  <c r="T217" i="32"/>
  <c r="T461" i="32"/>
  <c r="T254" i="32"/>
  <c r="T291" i="32"/>
  <c r="T483" i="32"/>
  <c r="T439" i="32"/>
  <c r="T370" i="32"/>
  <c r="T410" i="32"/>
  <c r="T113" i="32"/>
  <c r="T523" i="32"/>
  <c r="T157" i="32"/>
  <c r="T357" i="32"/>
  <c r="T364" i="32"/>
  <c r="T448" i="32"/>
  <c r="X9" i="51"/>
  <c r="Y9" i="51" s="1"/>
  <c r="Q8" i="51"/>
  <c r="C53" i="21"/>
  <c r="B53" i="21"/>
  <c r="A53" i="21"/>
  <c r="AE281" i="32"/>
  <c r="AF281" i="32" s="1"/>
  <c r="AG281" i="32" s="1"/>
  <c r="AC281" i="32" s="1"/>
  <c r="AC667" i="32"/>
  <c r="AC885" i="32"/>
  <c r="AE279" i="32"/>
  <c r="AF279" i="32" s="1"/>
  <c r="AG279" i="32" s="1"/>
  <c r="AC279" i="32" s="1"/>
  <c r="AC970" i="32"/>
  <c r="AC287" i="32"/>
  <c r="AC65" i="32"/>
  <c r="AC563" i="32"/>
  <c r="AF534" i="32"/>
  <c r="AG534" i="32" s="1"/>
  <c r="AC534" i="32" s="1"/>
  <c r="AC184" i="32"/>
  <c r="AC392" i="32"/>
  <c r="AC910" i="32"/>
  <c r="AC903" i="32"/>
  <c r="AC491" i="32"/>
  <c r="AC863" i="32"/>
  <c r="AC609" i="32"/>
  <c r="AE297" i="32"/>
  <c r="AF297" i="32" s="1"/>
  <c r="AG297" i="32" s="1"/>
  <c r="AC297" i="32" s="1"/>
  <c r="AE564" i="32"/>
  <c r="AF564" i="32" s="1"/>
  <c r="AG564" i="32" s="1"/>
  <c r="AC564" i="32" s="1"/>
  <c r="AI248" i="32"/>
  <c r="AI246" i="32"/>
  <c r="AC246" i="32" s="1"/>
  <c r="AH259" i="32"/>
  <c r="AI251" i="32"/>
  <c r="AH255" i="32"/>
  <c r="AE255" i="32" s="1"/>
  <c r="AF255" i="32" s="1"/>
  <c r="AG255" i="32" s="1"/>
  <c r="AC255" i="32" s="1"/>
  <c r="AI250" i="32"/>
  <c r="AI243" i="32"/>
  <c r="AC243" i="32" s="1"/>
  <c r="AI249" i="32"/>
  <c r="AI244" i="32"/>
  <c r="AH260" i="32"/>
  <c r="AH261" i="32"/>
  <c r="AI252" i="32"/>
  <c r="AC252" i="32" s="1"/>
  <c r="AH258" i="32"/>
  <c r="AI866" i="32"/>
  <c r="AI871" i="32"/>
  <c r="AI869" i="32"/>
  <c r="AI868" i="32"/>
  <c r="AH874" i="32"/>
  <c r="AE874" i="32" s="1"/>
  <c r="AF874" i="32" s="1"/>
  <c r="AG874" i="32" s="1"/>
  <c r="AC874" i="32" s="1"/>
  <c r="AI864" i="32"/>
  <c r="AH882" i="32"/>
  <c r="AE882" i="32" s="1"/>
  <c r="AF882" i="32" s="1"/>
  <c r="AG882" i="32" s="1"/>
  <c r="AC882" i="32" s="1"/>
  <c r="AH881" i="32"/>
  <c r="AE881" i="32" s="1"/>
  <c r="AF881" i="32" s="1"/>
  <c r="AG881" i="32" s="1"/>
  <c r="AC881" i="32" s="1"/>
  <c r="AH875" i="32"/>
  <c r="AE875" i="32" s="1"/>
  <c r="AF875" i="32" s="1"/>
  <c r="AG875" i="32" s="1"/>
  <c r="AC875" i="32" s="1"/>
  <c r="AI863" i="32"/>
  <c r="AH873" i="32"/>
  <c r="AC26" i="32"/>
  <c r="AC169" i="32"/>
  <c r="AC444" i="32"/>
  <c r="AE320" i="32"/>
  <c r="AF320" i="32" s="1"/>
  <c r="AG320" i="32" s="1"/>
  <c r="AC320" i="32" s="1"/>
  <c r="AE162" i="32"/>
  <c r="AF162" i="32" s="1"/>
  <c r="AG162" i="32" s="1"/>
  <c r="AC162" i="32" s="1"/>
  <c r="AE221" i="32"/>
  <c r="AF221" i="32" s="1"/>
  <c r="AG221" i="32" s="1"/>
  <c r="AC221" i="32" s="1"/>
  <c r="AF954" i="32"/>
  <c r="AG954" i="32" s="1"/>
  <c r="AC954" i="32" s="1"/>
  <c r="AC769" i="32"/>
  <c r="AE890" i="32"/>
  <c r="AF890" i="32" s="1"/>
  <c r="AG890" i="32" s="1"/>
  <c r="AC890" i="32" s="1"/>
  <c r="AH574" i="32"/>
  <c r="AI567" i="32"/>
  <c r="AH581" i="32"/>
  <c r="AE581" i="32" s="1"/>
  <c r="AF581" i="32" s="1"/>
  <c r="AG581" i="32" s="1"/>
  <c r="AC581" i="32" s="1"/>
  <c r="AH580" i="32"/>
  <c r="AH582" i="32"/>
  <c r="AE582" i="32" s="1"/>
  <c r="AI571" i="32"/>
  <c r="AI565" i="32"/>
  <c r="AC565" i="32" s="1"/>
  <c r="AH577" i="32"/>
  <c r="AE577" i="32" s="1"/>
  <c r="AF577" i="32" s="1"/>
  <c r="AG577" i="32" s="1"/>
  <c r="AC577" i="32" s="1"/>
  <c r="AI570" i="32"/>
  <c r="AI732" i="32"/>
  <c r="AI730" i="32"/>
  <c r="AH741" i="32"/>
  <c r="AH733" i="32"/>
  <c r="AH742" i="32"/>
  <c r="AI726" i="32"/>
  <c r="AI727" i="32"/>
  <c r="AH736" i="32"/>
  <c r="AH737" i="32"/>
  <c r="AE737" i="32" s="1"/>
  <c r="AF737" i="32" s="1"/>
  <c r="AG737" i="32" s="1"/>
  <c r="AC737" i="32" s="1"/>
  <c r="AI728" i="32"/>
  <c r="AE940" i="32"/>
  <c r="AF940" i="32"/>
  <c r="AG940" i="32" s="1"/>
  <c r="AC940" i="32" s="1"/>
  <c r="AC803" i="32"/>
  <c r="I50" i="21"/>
  <c r="AF617" i="32"/>
  <c r="AG617" i="32" s="1"/>
  <c r="AC617" i="32" s="1"/>
  <c r="F67" i="21"/>
  <c r="AF375" i="32"/>
  <c r="AG375" i="32" s="1"/>
  <c r="AC375" i="32" s="1"/>
  <c r="AC550" i="32"/>
  <c r="AC191" i="32"/>
  <c r="AC1027" i="32"/>
  <c r="AC250" i="32"/>
  <c r="AC927" i="32"/>
  <c r="AC772" i="32"/>
  <c r="AC249" i="32"/>
  <c r="A67" i="21"/>
  <c r="Q7" i="51"/>
  <c r="AE253" i="32"/>
  <c r="AF253" i="32" s="1"/>
  <c r="AG253" i="32" s="1"/>
  <c r="AC253" i="32" s="1"/>
  <c r="AC569" i="32"/>
  <c r="AC203" i="32"/>
  <c r="AC329" i="32"/>
  <c r="AC427" i="32"/>
  <c r="AF518" i="32"/>
  <c r="AG518" i="32" s="1"/>
  <c r="AC518" i="32" s="1"/>
  <c r="AF22" i="32"/>
  <c r="AG22" i="32" s="1"/>
  <c r="AC22" i="32" s="1"/>
  <c r="AH256" i="32"/>
  <c r="AE675" i="32"/>
  <c r="AF675" i="32" s="1"/>
  <c r="AG675" i="32" s="1"/>
  <c r="AC675" i="32" s="1"/>
  <c r="AH878" i="32"/>
  <c r="AE878" i="32" s="1"/>
  <c r="AF878" i="32" s="1"/>
  <c r="AG878" i="32" s="1"/>
  <c r="AC878" i="32" s="1"/>
  <c r="AF214" i="32"/>
  <c r="AG214" i="32" s="1"/>
  <c r="AC214" i="32" s="1"/>
  <c r="AE579" i="32"/>
  <c r="AF579" i="32"/>
  <c r="AG579" i="32" s="1"/>
  <c r="AC579" i="32" s="1"/>
  <c r="D67" i="32"/>
  <c r="D82" i="32"/>
  <c r="D69" i="32"/>
  <c r="D72" i="32"/>
  <c r="D87" i="32"/>
  <c r="D52" i="32"/>
  <c r="D65" i="32"/>
  <c r="D64" i="32"/>
  <c r="D56" i="32"/>
  <c r="AV7" i="21" s="1"/>
  <c r="D89" i="32"/>
  <c r="BB7" i="21"/>
  <c r="AC567" i="32"/>
  <c r="AC245" i="32"/>
  <c r="A85" i="21"/>
  <c r="F85" i="21"/>
  <c r="AC1030" i="32"/>
  <c r="AC571" i="32"/>
  <c r="AC703" i="32"/>
  <c r="AF876" i="32"/>
  <c r="AG876" i="32" s="1"/>
  <c r="AC876" i="32" s="1"/>
  <c r="AC570" i="32"/>
  <c r="AC725" i="32"/>
  <c r="AF174" i="32"/>
  <c r="AG174" i="32" s="1"/>
  <c r="AC174" i="32" s="1"/>
  <c r="AC748" i="32"/>
  <c r="F73" i="21"/>
  <c r="AC292" i="32"/>
  <c r="AC1009" i="32"/>
  <c r="AC12" i="32"/>
  <c r="AE493" i="32"/>
  <c r="AF493" i="32" s="1"/>
  <c r="AG493" i="32" s="1"/>
  <c r="AC493" i="32" s="1"/>
  <c r="AB493" i="32"/>
  <c r="AE357" i="32"/>
  <c r="AF357" i="32" s="1"/>
  <c r="AG357" i="32" s="1"/>
  <c r="AC357" i="32" s="1"/>
  <c r="AI247" i="32"/>
  <c r="AC247" i="32" s="1"/>
  <c r="AE433" i="32"/>
  <c r="AF433" i="32" s="1"/>
  <c r="AG433" i="32" s="1"/>
  <c r="AC433" i="32" s="1"/>
  <c r="AB433" i="32"/>
  <c r="AB434" i="32" s="1"/>
  <c r="AH877" i="32"/>
  <c r="AC823" i="32"/>
  <c r="E73" i="21"/>
  <c r="AC468" i="32"/>
  <c r="AF1000" i="32"/>
  <c r="AG1000" i="32" s="1"/>
  <c r="AC1000" i="32" s="1"/>
  <c r="AC646" i="32"/>
  <c r="AF133" i="32"/>
  <c r="AG133" i="32" s="1"/>
  <c r="AC133" i="32" s="1"/>
  <c r="AC164" i="32"/>
  <c r="AC143" i="32"/>
  <c r="AC623" i="32"/>
  <c r="AC728" i="32"/>
  <c r="AC645" i="32"/>
  <c r="A74" i="21"/>
  <c r="AC509" i="32"/>
  <c r="AC1071" i="32"/>
  <c r="AE435" i="32"/>
  <c r="AF435" i="32" s="1"/>
  <c r="AG435" i="32" s="1"/>
  <c r="AC435" i="32" s="1"/>
  <c r="AC443" i="32"/>
  <c r="AC545" i="32"/>
  <c r="AC730" i="32"/>
  <c r="AC784" i="32"/>
  <c r="AC868" i="32"/>
  <c r="AC846" i="32"/>
  <c r="AF935" i="32"/>
  <c r="AG935" i="32" s="1"/>
  <c r="AC935" i="32" s="1"/>
  <c r="AC283" i="32"/>
  <c r="AC467" i="32"/>
  <c r="AC572" i="32"/>
  <c r="AC523" i="32"/>
  <c r="AC869" i="32"/>
  <c r="AF197" i="32"/>
  <c r="AG197" i="32" s="1"/>
  <c r="AC197" i="32" s="1"/>
  <c r="AC607" i="32"/>
  <c r="AC908" i="32"/>
  <c r="AC1032" i="32"/>
  <c r="AC826" i="32"/>
  <c r="AC806" i="32"/>
  <c r="AC107" i="32"/>
  <c r="AC166" i="32"/>
  <c r="AC851" i="32"/>
  <c r="AC963" i="32"/>
  <c r="AC289" i="32"/>
  <c r="F48" i="21"/>
  <c r="AC146" i="32"/>
  <c r="AC391" i="32"/>
  <c r="AC685" i="32"/>
  <c r="AC732" i="32"/>
  <c r="AI430" i="32"/>
  <c r="AH442" i="32"/>
  <c r="AE442" i="32" s="1"/>
  <c r="AF442" i="32" s="1"/>
  <c r="AG442" i="32" s="1"/>
  <c r="AC442" i="32" s="1"/>
  <c r="AI424" i="32"/>
  <c r="AC424" i="32" s="1"/>
  <c r="AI429" i="32"/>
  <c r="AC429" i="32" s="1"/>
  <c r="AH434" i="32"/>
  <c r="AE434" i="32" s="1"/>
  <c r="AF434" i="32" s="1"/>
  <c r="AG434" i="32" s="1"/>
  <c r="AC434" i="32" s="1"/>
  <c r="AI428" i="32"/>
  <c r="AH440" i="32"/>
  <c r="AE440" i="32" s="1"/>
  <c r="AF440" i="32" s="1"/>
  <c r="AG440" i="32" s="1"/>
  <c r="AC440" i="32" s="1"/>
  <c r="AI431" i="32"/>
  <c r="AH1062" i="32"/>
  <c r="AE1062" i="32" s="1"/>
  <c r="AF1062" i="32" s="1"/>
  <c r="AG1062" i="32" s="1"/>
  <c r="AC1062" i="32" s="1"/>
  <c r="AI1051" i="32"/>
  <c r="AI1046" i="32"/>
  <c r="AH1059" i="32"/>
  <c r="AE1059" i="32" s="1"/>
  <c r="AI1044" i="32"/>
  <c r="AC1044" i="32" s="1"/>
  <c r="AF43" i="32"/>
  <c r="AG43" i="32" s="1"/>
  <c r="AC43" i="32" s="1"/>
  <c r="AC64" i="32"/>
  <c r="AC110" i="32"/>
  <c r="AC147" i="32"/>
  <c r="AC364" i="32"/>
  <c r="AE511" i="32"/>
  <c r="AF511" i="32"/>
  <c r="AG511" i="32" s="1"/>
  <c r="AC511" i="32" s="1"/>
  <c r="AC532" i="32"/>
  <c r="AC670" i="32"/>
  <c r="AC925" i="32"/>
  <c r="AI929" i="32"/>
  <c r="AC929" i="32" s="1"/>
  <c r="AI928" i="32"/>
  <c r="AC928" i="32" s="1"/>
  <c r="AH939" i="32"/>
  <c r="AI925" i="32"/>
  <c r="AI6" i="32"/>
  <c r="AI8" i="32"/>
  <c r="AC8" i="32" s="1"/>
  <c r="AI11" i="32"/>
  <c r="AC11" i="32" s="1"/>
  <c r="AH16" i="32"/>
  <c r="AC44" i="32"/>
  <c r="AC790" i="32"/>
  <c r="AC870" i="32"/>
  <c r="AI170" i="32"/>
  <c r="AH179" i="32"/>
  <c r="AE179" i="32" s="1"/>
  <c r="AF179" i="32" s="1"/>
  <c r="AG179" i="32" s="1"/>
  <c r="AC179" i="32" s="1"/>
  <c r="AH175" i="32"/>
  <c r="AE175" i="32" s="1"/>
  <c r="AF175" i="32" s="1"/>
  <c r="AG175" i="32" s="1"/>
  <c r="AC175" i="32" s="1"/>
  <c r="AI167" i="32"/>
  <c r="AC167" i="32" s="1"/>
  <c r="AH800" i="32"/>
  <c r="AE800" i="32" s="1"/>
  <c r="AI786" i="32"/>
  <c r="AC786" i="32" s="1"/>
  <c r="AI792" i="32"/>
  <c r="AC792" i="32" s="1"/>
  <c r="AC525" i="32"/>
  <c r="AC944" i="32"/>
  <c r="AC426" i="32"/>
  <c r="AC624" i="32"/>
  <c r="AC1012" i="32"/>
  <c r="AF215" i="32"/>
  <c r="AG215" i="32" s="1"/>
  <c r="AC215" i="32" s="1"/>
  <c r="AF615" i="32"/>
  <c r="AG615" i="32" s="1"/>
  <c r="AC615" i="32" s="1"/>
  <c r="AC791" i="32"/>
  <c r="AI492" i="32"/>
  <c r="AI489" i="32"/>
  <c r="AC489" i="32" s="1"/>
  <c r="AI490" i="32"/>
  <c r="AI650" i="32"/>
  <c r="AC650" i="32" s="1"/>
  <c r="AI649" i="32"/>
  <c r="AC649" i="32" s="1"/>
  <c r="AI647" i="32"/>
  <c r="AC647" i="32" s="1"/>
  <c r="AH661" i="32"/>
  <c r="AI648" i="32"/>
  <c r="AH657" i="32"/>
  <c r="AE657" i="32" s="1"/>
  <c r="AF657" i="32" s="1"/>
  <c r="AG657" i="32" s="1"/>
  <c r="AC657" i="32" s="1"/>
  <c r="AF757" i="32"/>
  <c r="AG757" i="32" s="1"/>
  <c r="AC757" i="32" s="1"/>
  <c r="AC690" i="32"/>
  <c r="AC251" i="32"/>
  <c r="AC864" i="32"/>
  <c r="AC888" i="32"/>
  <c r="AI344" i="32"/>
  <c r="AH362" i="32"/>
  <c r="AH358" i="32"/>
  <c r="AE358" i="32" s="1"/>
  <c r="AF358" i="32" s="1"/>
  <c r="AG358" i="32" s="1"/>
  <c r="AC358" i="32" s="1"/>
  <c r="AI350" i="32"/>
  <c r="AC350" i="32" s="1"/>
  <c r="AC25" i="32"/>
  <c r="AC84" i="32"/>
  <c r="AC244" i="32"/>
  <c r="AC344" i="32"/>
  <c r="AI351" i="32"/>
  <c r="AC368" i="32"/>
  <c r="AE406" i="32"/>
  <c r="AF406" i="32"/>
  <c r="AG406" i="32" s="1"/>
  <c r="AC406" i="32" s="1"/>
  <c r="AC729" i="32"/>
  <c r="AC1050" i="32"/>
  <c r="AH118" i="32"/>
  <c r="M86" i="21"/>
  <c r="AB43" i="32"/>
  <c r="AC270" i="32"/>
  <c r="AC290" i="32"/>
  <c r="AF949" i="32"/>
  <c r="AG949" i="32" s="1"/>
  <c r="AC949" i="32" s="1"/>
  <c r="AF952" i="32"/>
  <c r="AG952" i="32" s="1"/>
  <c r="AC952" i="32" s="1"/>
  <c r="AF1070" i="32"/>
  <c r="AG1070" i="32" s="1"/>
  <c r="AC1070" i="32" s="1"/>
  <c r="AI90" i="32"/>
  <c r="AC204" i="32"/>
  <c r="AC683" i="32"/>
  <c r="AC727" i="32"/>
  <c r="AI849" i="32"/>
  <c r="AC849" i="32" s="1"/>
  <c r="D7" i="1"/>
  <c r="AF264" i="32"/>
  <c r="AG264" i="32" s="1"/>
  <c r="AC264" i="32" s="1"/>
  <c r="AF428" i="32"/>
  <c r="AG428" i="32" s="1"/>
  <c r="AF484" i="32"/>
  <c r="AG484" i="32" s="1"/>
  <c r="AC484" i="32" s="1"/>
  <c r="AC45" i="32"/>
  <c r="AC185" i="32"/>
  <c r="AC232" i="32"/>
  <c r="AI284" i="32"/>
  <c r="AI288" i="32"/>
  <c r="AC323" i="32"/>
  <c r="AC327" i="32"/>
  <c r="AF331" i="32"/>
  <c r="AG331" i="32" s="1"/>
  <c r="AC331" i="32" s="1"/>
  <c r="AC346" i="32"/>
  <c r="AF371" i="32"/>
  <c r="AG371" i="32" s="1"/>
  <c r="AC371" i="32" s="1"/>
  <c r="AC409" i="32"/>
  <c r="AC552" i="32"/>
  <c r="AC605" i="32"/>
  <c r="AC643" i="32"/>
  <c r="AC751" i="32"/>
  <c r="AF845" i="32"/>
  <c r="AG845" i="32" s="1"/>
  <c r="AC845" i="32" s="1"/>
  <c r="AF946" i="32"/>
  <c r="AG946" i="32" s="1"/>
  <c r="AC946" i="32" s="1"/>
  <c r="AC1004" i="32"/>
  <c r="AC1028" i="32"/>
  <c r="AC1067" i="32"/>
  <c r="J72" i="21"/>
  <c r="AC288" i="32"/>
  <c r="AC451" i="32"/>
  <c r="AC471" i="32"/>
  <c r="AC1008" i="32"/>
  <c r="AC19" i="39"/>
  <c r="I46" i="51" s="1"/>
  <c r="AC248" i="32"/>
  <c r="AC431" i="32"/>
  <c r="AC831" i="32"/>
  <c r="AC966" i="32"/>
  <c r="AC990" i="32"/>
  <c r="AF1026" i="32"/>
  <c r="AG1026" i="32" s="1"/>
  <c r="AC1026" i="32" s="1"/>
  <c r="AF1014" i="32"/>
  <c r="AG1014" i="32" s="1"/>
  <c r="AC1014" i="32" s="1"/>
  <c r="AF740" i="32"/>
  <c r="AG740" i="32" s="1"/>
  <c r="AC740" i="32" s="1"/>
  <c r="AB145" i="32"/>
  <c r="AB146" i="32" s="1"/>
  <c r="AB147" i="32" s="1"/>
  <c r="AB148" i="32" s="1"/>
  <c r="AF231" i="32"/>
  <c r="AG231" i="32" s="1"/>
  <c r="AC231" i="32" s="1"/>
  <c r="AF386" i="32"/>
  <c r="AG386" i="32" s="1"/>
  <c r="AC386" i="32" s="1"/>
  <c r="AF466" i="32"/>
  <c r="AG466" i="32" s="1"/>
  <c r="AC466" i="32" s="1"/>
  <c r="AF510" i="32"/>
  <c r="AG510" i="32" s="1"/>
  <c r="AC510" i="32" s="1"/>
  <c r="AF810" i="32"/>
  <c r="AG810" i="32" s="1"/>
  <c r="AC810" i="32" s="1"/>
  <c r="AF906" i="32"/>
  <c r="AG906" i="32" s="1"/>
  <c r="AC906" i="32" s="1"/>
  <c r="AF227" i="32"/>
  <c r="AG227" i="32" s="1"/>
  <c r="AC227" i="32" s="1"/>
  <c r="AF492" i="32"/>
  <c r="AG492" i="32" s="1"/>
  <c r="AC492" i="32" s="1"/>
  <c r="AF763" i="32"/>
  <c r="AG763" i="32" s="1"/>
  <c r="AC763" i="32" s="1"/>
  <c r="AF887" i="32"/>
  <c r="AG887" i="32" s="1"/>
  <c r="AC887" i="32" s="1"/>
  <c r="AB254" i="32"/>
  <c r="AB255" i="32" s="1"/>
  <c r="AF345" i="32"/>
  <c r="AG345" i="32" s="1"/>
  <c r="AC345" i="32" s="1"/>
  <c r="AF1064" i="32"/>
  <c r="AG1064" i="32" s="1"/>
  <c r="AC1064" i="32" s="1"/>
  <c r="AB769" i="32"/>
  <c r="AB770" i="32" s="1"/>
  <c r="AB771" i="32" s="1"/>
  <c r="AB772" i="32" s="1"/>
  <c r="AF1007" i="32"/>
  <c r="AG1007" i="32" s="1"/>
  <c r="AC1007" i="32" s="1"/>
  <c r="AB375" i="32"/>
  <c r="AB376" i="32" s="1"/>
  <c r="AB377" i="32" s="1"/>
  <c r="Q114" i="32"/>
  <c r="AF48" i="32"/>
  <c r="AG48" i="32" s="1"/>
  <c r="AC48" i="32" s="1"/>
  <c r="AF67" i="32"/>
  <c r="AG67" i="32" s="1"/>
  <c r="AB585" i="32"/>
  <c r="AB586" i="32" s="1"/>
  <c r="O114" i="32"/>
  <c r="AF90" i="32"/>
  <c r="AG90" i="32" s="1"/>
  <c r="AC90" i="32" s="1"/>
  <c r="F79" i="21"/>
  <c r="AB345" i="32"/>
  <c r="AB346" i="32" s="1"/>
  <c r="AB945" i="32"/>
  <c r="AB946" i="32" s="1"/>
  <c r="AB85" i="32"/>
  <c r="AB5" i="32"/>
  <c r="AB6" i="32" s="1"/>
  <c r="AB456" i="32"/>
  <c r="AB457" i="32" s="1"/>
  <c r="AB458" i="32" s="1"/>
  <c r="AB525" i="32"/>
  <c r="AB845" i="32"/>
  <c r="AB846" i="32" s="1"/>
  <c r="AB847" i="32" s="1"/>
  <c r="AB996" i="32"/>
  <c r="AB997" i="32" s="1"/>
  <c r="AB998" i="32" s="1"/>
  <c r="AB575" i="32"/>
  <c r="AB576" i="32" s="1"/>
  <c r="AB825" i="32"/>
  <c r="AB826" i="32" s="1"/>
  <c r="AC148" i="32"/>
  <c r="E70" i="21"/>
  <c r="AB955" i="32"/>
  <c r="AB956" i="32" s="1"/>
  <c r="E82" i="21"/>
  <c r="F72" i="21"/>
  <c r="E86" i="21"/>
  <c r="T8" i="51"/>
  <c r="AB605" i="32"/>
  <c r="AB606" i="32" s="1"/>
  <c r="AB185" i="32"/>
  <c r="AB186" i="32" s="1"/>
  <c r="E80" i="21"/>
  <c r="F81" i="21"/>
  <c r="AB355" i="32"/>
  <c r="AB356" i="32" s="1"/>
  <c r="AB357" i="32" s="1"/>
  <c r="AB358" i="32" s="1"/>
  <c r="C7" i="21"/>
  <c r="F86" i="21"/>
  <c r="A7" i="21"/>
  <c r="E79" i="21"/>
  <c r="AB1045" i="32"/>
  <c r="AB1046" i="32" s="1"/>
  <c r="AB1047" i="32" s="1"/>
  <c r="AB507" i="32"/>
  <c r="AB508" i="32" s="1"/>
  <c r="AB509" i="32" s="1"/>
  <c r="AB510" i="32" s="1"/>
  <c r="AB655" i="32"/>
  <c r="AB656" i="32" s="1"/>
  <c r="AB175" i="32"/>
  <c r="AB176" i="32" s="1"/>
  <c r="E84" i="21"/>
  <c r="F83" i="21"/>
  <c r="AB625" i="32"/>
  <c r="AB626" i="32" s="1"/>
  <c r="AB215" i="32"/>
  <c r="AB216" i="32" s="1"/>
  <c r="AB225" i="32"/>
  <c r="T6" i="51"/>
  <c r="AB425" i="32"/>
  <c r="AB426" i="32" s="1"/>
  <c r="AB427" i="32" s="1"/>
  <c r="AB744" i="32"/>
  <c r="AB745" i="32" s="1"/>
  <c r="F80" i="21"/>
  <c r="F84" i="21"/>
  <c r="A72" i="21"/>
  <c r="E83" i="21"/>
  <c r="AB97" i="32"/>
  <c r="AB98" i="32" s="1"/>
  <c r="AB55" i="32"/>
  <c r="AB56" i="32" s="1"/>
  <c r="AB335" i="32"/>
  <c r="AB336" i="32" s="1"/>
  <c r="AB806" i="32"/>
  <c r="AB807" i="32" s="1"/>
  <c r="E87" i="21"/>
  <c r="T46" i="51"/>
  <c r="AB1056" i="32"/>
  <c r="AB1057" i="32" s="1"/>
  <c r="E74" i="21"/>
  <c r="AB665" i="32"/>
  <c r="AB835" i="32"/>
  <c r="AB836" i="32" s="1"/>
  <c r="AB15" i="32"/>
  <c r="AB16" i="32" s="1"/>
  <c r="AB969" i="32"/>
  <c r="T35" i="51"/>
  <c r="T11" i="51"/>
  <c r="T49" i="51"/>
  <c r="T20" i="51"/>
  <c r="F82" i="21"/>
  <c r="F75" i="21"/>
  <c r="K44" i="21"/>
  <c r="F77" i="21"/>
  <c r="W44" i="21"/>
  <c r="T40" i="51"/>
  <c r="T48" i="51"/>
  <c r="T36" i="51"/>
  <c r="T13" i="51"/>
  <c r="T31" i="51"/>
  <c r="AB114" i="32"/>
  <c r="AB115" i="32" s="1"/>
  <c r="AB707" i="32"/>
  <c r="AB708" i="32" s="1"/>
  <c r="AB709" i="32" s="1"/>
  <c r="T29" i="51"/>
  <c r="T52" i="51"/>
  <c r="T50" i="51"/>
  <c r="T34" i="51"/>
  <c r="AB975" i="32"/>
  <c r="AB976" i="32" s="1"/>
  <c r="AB977" i="32" s="1"/>
  <c r="F69" i="21"/>
  <c r="E68" i="21"/>
  <c r="Y44" i="21"/>
  <c r="AB296" i="32"/>
  <c r="AB297" i="32" s="1"/>
  <c r="AB298" i="32" s="1"/>
  <c r="T10" i="51"/>
  <c r="T33" i="51"/>
  <c r="E76" i="21"/>
  <c r="F68" i="21"/>
  <c r="A81" i="21"/>
  <c r="T22" i="51"/>
  <c r="T14" i="51"/>
  <c r="T32" i="51"/>
  <c r="T24" i="51"/>
  <c r="AB855" i="32"/>
  <c r="AB856" i="32" s="1"/>
  <c r="AB857" i="32" s="1"/>
  <c r="AB858" i="32" s="1"/>
  <c r="T41" i="51"/>
  <c r="N44" i="21"/>
  <c r="A69" i="21"/>
  <c r="AB155" i="32"/>
  <c r="T45" i="51"/>
  <c r="T39" i="51"/>
  <c r="T30" i="51"/>
  <c r="T7" i="51"/>
  <c r="T27" i="51"/>
  <c r="AB267" i="32"/>
  <c r="AB268" i="32" s="1"/>
  <c r="A77" i="21"/>
  <c r="AB136" i="32"/>
  <c r="AB137" i="32" s="1"/>
  <c r="AB138" i="32" s="1"/>
  <c r="T56" i="51"/>
  <c r="T19" i="51"/>
  <c r="AB615" i="32"/>
  <c r="AB616" i="32" s="1"/>
  <c r="AC237" i="32"/>
  <c r="A2" i="52"/>
  <c r="C2" i="52"/>
  <c r="AB916" i="32"/>
  <c r="AB917" i="32" s="1"/>
  <c r="AB494" i="32"/>
  <c r="AB495" i="32" s="1"/>
  <c r="E127" i="32"/>
  <c r="AB1014" i="32"/>
  <c r="C42" i="1"/>
  <c r="E129" i="32" s="1"/>
  <c r="J42" i="1"/>
  <c r="Y32" i="39" s="1"/>
  <c r="L42" i="1"/>
  <c r="AB32" i="39" s="1"/>
  <c r="I42" i="1"/>
  <c r="V32" i="39" s="1"/>
  <c r="G42" i="1"/>
  <c r="D42" i="1"/>
  <c r="F42" i="1"/>
  <c r="P32" i="39" s="1"/>
  <c r="E42" i="1"/>
  <c r="M32" i="39" s="1"/>
  <c r="AB886" i="32"/>
  <c r="AE158" i="32"/>
  <c r="AF158" i="32" s="1"/>
  <c r="AG158" i="32" s="1"/>
  <c r="AC158" i="32" s="1"/>
  <c r="AH1" i="32"/>
  <c r="AB635" i="32"/>
  <c r="AB636" i="32" s="1"/>
  <c r="AB465" i="32"/>
  <c r="AB714" i="32"/>
  <c r="AB715" i="32" s="1"/>
  <c r="AB716" i="32" s="1"/>
  <c r="AB694" i="32"/>
  <c r="AC161" i="32"/>
  <c r="AB307" i="32"/>
  <c r="AB308" i="32" s="1"/>
  <c r="AB446" i="32"/>
  <c r="AB447" i="32" s="1"/>
  <c r="Q3" i="51"/>
  <c r="F78" i="21"/>
  <c r="A78" i="21"/>
  <c r="I49" i="21"/>
  <c r="AB926" i="32"/>
  <c r="AB927" i="32" s="1"/>
  <c r="AB928" i="32" s="1"/>
  <c r="AB285" i="32"/>
  <c r="T54" i="51"/>
  <c r="T28" i="51"/>
  <c r="T12" i="51"/>
  <c r="T47" i="51"/>
  <c r="T23" i="51"/>
  <c r="T37" i="51"/>
  <c r="T9" i="51"/>
  <c r="T21" i="51"/>
  <c r="T43" i="51"/>
  <c r="T16" i="51"/>
  <c r="T42" i="51"/>
  <c r="T17" i="51"/>
  <c r="T55" i="51"/>
  <c r="E78" i="21"/>
  <c r="T25" i="51"/>
  <c r="T15" i="51"/>
  <c r="T44" i="51"/>
  <c r="T53" i="51"/>
  <c r="T18" i="51"/>
  <c r="T38" i="51"/>
  <c r="T26" i="51"/>
  <c r="T51" i="51"/>
  <c r="AB545" i="32"/>
  <c r="AB546" i="32" s="1"/>
  <c r="AB25" i="32"/>
  <c r="AB26" i="32" s="1"/>
  <c r="B52" i="21"/>
  <c r="E85" i="21"/>
  <c r="E75" i="21"/>
  <c r="AE241" i="32"/>
  <c r="AF241" i="32" s="1"/>
  <c r="AG241" i="32" s="1"/>
  <c r="AC241" i="32" s="1"/>
  <c r="AE778" i="32"/>
  <c r="AF778" i="32" s="1"/>
  <c r="AG778" i="32" s="1"/>
  <c r="AC778" i="32" s="1"/>
  <c r="AF342" i="32"/>
  <c r="AG342" i="32" s="1"/>
  <c r="AC342" i="32" s="1"/>
  <c r="AE242" i="32"/>
  <c r="AF242" i="32" s="1"/>
  <c r="AG242" i="32" s="1"/>
  <c r="AC242" i="32" s="1"/>
  <c r="AF474" i="32"/>
  <c r="AG474" i="32" s="1"/>
  <c r="AC474" i="32" s="1"/>
  <c r="AE95" i="32"/>
  <c r="AF95" i="32" s="1"/>
  <c r="AG95" i="32" s="1"/>
  <c r="AC95" i="32" s="1"/>
  <c r="AE356" i="32"/>
  <c r="AF356" i="32"/>
  <c r="AG356" i="32" s="1"/>
  <c r="AC356" i="32" s="1"/>
  <c r="AF15" i="32"/>
  <c r="AG15" i="32" s="1"/>
  <c r="AC15" i="32" s="1"/>
  <c r="AF582" i="32"/>
  <c r="AG582" i="32" s="1"/>
  <c r="AC582" i="32" s="1"/>
  <c r="AE957" i="32"/>
  <c r="AF957" i="32" s="1"/>
  <c r="AG957" i="32" s="1"/>
  <c r="AC957" i="32" s="1"/>
  <c r="AF75" i="32"/>
  <c r="AG75" i="32" s="1"/>
  <c r="AC75" i="32" s="1"/>
  <c r="AF535" i="32"/>
  <c r="AG535" i="32" s="1"/>
  <c r="AC535" i="32" s="1"/>
  <c r="AF697" i="32"/>
  <c r="AG697" i="32" s="1"/>
  <c r="AC697" i="32" s="1"/>
  <c r="AE258" i="32"/>
  <c r="AF258" i="32" s="1"/>
  <c r="AG258" i="32" s="1"/>
  <c r="AC258" i="32" s="1"/>
  <c r="AE295" i="32"/>
  <c r="AF295" i="32" s="1"/>
  <c r="AG295" i="32" s="1"/>
  <c r="AC295" i="32" s="1"/>
  <c r="AE180" i="32"/>
  <c r="AF180" i="32" s="1"/>
  <c r="AG180" i="32" s="1"/>
  <c r="AC180" i="32" s="1"/>
  <c r="AE1076" i="32"/>
  <c r="AF1076" i="32" s="1"/>
  <c r="AG1076" i="32" s="1"/>
  <c r="AC1076" i="32" s="1"/>
  <c r="AF562" i="32"/>
  <c r="AG562" i="32" s="1"/>
  <c r="AC562" i="32" s="1"/>
  <c r="AE814" i="32"/>
  <c r="AF814" i="32" s="1"/>
  <c r="AG814" i="32" s="1"/>
  <c r="AC814" i="32" s="1"/>
  <c r="AF795" i="32"/>
  <c r="AG795" i="32" s="1"/>
  <c r="AC795" i="32" s="1"/>
  <c r="AE117" i="32"/>
  <c r="AF117" i="32" s="1"/>
  <c r="AG117" i="32" s="1"/>
  <c r="AC117" i="32" s="1"/>
  <c r="AF82" i="32"/>
  <c r="AG82" i="32" s="1"/>
  <c r="AC82" i="32" s="1"/>
  <c r="AF517" i="32"/>
  <c r="AG517" i="32" s="1"/>
  <c r="AC517" i="32" s="1"/>
  <c r="AE216" i="32"/>
  <c r="AF216" i="32" s="1"/>
  <c r="AG216" i="32" s="1"/>
  <c r="AC216" i="32" s="1"/>
  <c r="AB674" i="32"/>
  <c r="AE419" i="32"/>
  <c r="AF419" i="32" s="1"/>
  <c r="AG419" i="32" s="1"/>
  <c r="AC419" i="32" s="1"/>
  <c r="AB395" i="32"/>
  <c r="AE313" i="32"/>
  <c r="AF313" i="32" s="1"/>
  <c r="AG313" i="32" s="1"/>
  <c r="AC313" i="32" s="1"/>
  <c r="AF834" i="32"/>
  <c r="AG834" i="32" s="1"/>
  <c r="AC834" i="32" s="1"/>
  <c r="AE553" i="32"/>
  <c r="AF553" i="32" s="1"/>
  <c r="AG553" i="32" s="1"/>
  <c r="AC553" i="32" s="1"/>
  <c r="AE719" i="32"/>
  <c r="AF719" i="32" s="1"/>
  <c r="AG719" i="32" s="1"/>
  <c r="AC719" i="32" s="1"/>
  <c r="AF576" i="32"/>
  <c r="AG576" i="32" s="1"/>
  <c r="AC576" i="32" s="1"/>
  <c r="AF1057" i="32"/>
  <c r="AG1057" i="32" s="1"/>
  <c r="AC1057" i="32" s="1"/>
  <c r="AE380" i="32"/>
  <c r="AF380" i="32" s="1"/>
  <c r="AG380" i="32" s="1"/>
  <c r="AC380" i="32" s="1"/>
  <c r="AF233" i="32"/>
  <c r="AG233" i="32" s="1"/>
  <c r="AC233" i="32" s="1"/>
  <c r="AB473" i="32"/>
  <c r="AB474" i="32" s="1"/>
  <c r="AE473" i="32"/>
  <c r="AF473" i="32" s="1"/>
  <c r="AG473" i="32" s="1"/>
  <c r="AC473" i="32" s="1"/>
  <c r="AF114" i="32"/>
  <c r="AG114" i="32" s="1"/>
  <c r="AC114" i="32" s="1"/>
  <c r="AE538" i="32"/>
  <c r="AF538" i="32" s="1"/>
  <c r="AG538" i="32" s="1"/>
  <c r="AC538" i="32" s="1"/>
  <c r="AE1034" i="32"/>
  <c r="AF1034" i="32" s="1"/>
  <c r="AG1034" i="32" s="1"/>
  <c r="AC1034" i="32" s="1"/>
  <c r="AE594" i="32"/>
  <c r="AF594" i="32" s="1"/>
  <c r="AG594" i="32" s="1"/>
  <c r="AC594" i="32" s="1"/>
  <c r="AF213" i="32"/>
  <c r="AG213" i="32" s="1"/>
  <c r="AC213" i="32" s="1"/>
  <c r="AF902" i="32"/>
  <c r="AG902" i="32" s="1"/>
  <c r="AC902" i="32" s="1"/>
  <c r="AE1035" i="32"/>
  <c r="AF1035" i="32" s="1"/>
  <c r="AG1035" i="32" s="1"/>
  <c r="AC1035" i="32" s="1"/>
  <c r="AE361" i="32"/>
  <c r="AF361" i="32" s="1"/>
  <c r="AG361" i="32" s="1"/>
  <c r="AC361" i="32" s="1"/>
  <c r="AE575" i="32"/>
  <c r="AF575" i="32" s="1"/>
  <c r="AG575" i="32" s="1"/>
  <c r="AC575" i="32" s="1"/>
  <c r="AF634" i="32"/>
  <c r="AG634" i="32" s="1"/>
  <c r="AC634" i="32" s="1"/>
  <c r="AC302" i="32"/>
  <c r="AE14" i="32"/>
  <c r="AF14" i="32" s="1"/>
  <c r="AE693" i="32"/>
  <c r="AF693" i="32" s="1"/>
  <c r="AG693" i="32" s="1"/>
  <c r="AC693" i="32" s="1"/>
  <c r="AC597" i="32"/>
  <c r="AF861" i="32"/>
  <c r="AG861" i="32" s="1"/>
  <c r="AC861" i="32" s="1"/>
  <c r="AF721" i="32"/>
  <c r="AG721" i="32" s="1"/>
  <c r="AC721" i="32" s="1"/>
  <c r="AE362" i="32"/>
  <c r="AF362" i="32" s="1"/>
  <c r="AG362" i="32" s="1"/>
  <c r="AC362" i="32" s="1"/>
  <c r="AB534" i="32"/>
  <c r="AB535" i="32" s="1"/>
  <c r="AE461" i="32"/>
  <c r="AF461" i="32" s="1"/>
  <c r="AG461" i="32" s="1"/>
  <c r="AC461" i="32" s="1"/>
  <c r="AE355" i="32"/>
  <c r="AF355" i="32" s="1"/>
  <c r="AG355" i="32" s="1"/>
  <c r="AC355" i="32" s="1"/>
  <c r="AC497" i="32"/>
  <c r="AF1081" i="32"/>
  <c r="AG1081" i="32" s="1"/>
  <c r="AC1081" i="32" s="1"/>
  <c r="AF979" i="32"/>
  <c r="AG979" i="32" s="1"/>
  <c r="AC979" i="32" s="1"/>
  <c r="AF1078" i="32"/>
  <c r="AG1078" i="32" s="1"/>
  <c r="AC1078" i="32" s="1"/>
  <c r="AE337" i="32"/>
  <c r="AF337" i="32"/>
  <c r="AG337" i="32" s="1"/>
  <c r="AC337" i="32" s="1"/>
  <c r="AF340" i="32"/>
  <c r="AG340" i="32" s="1"/>
  <c r="AC340" i="32" s="1"/>
  <c r="AF718" i="32"/>
  <c r="AG718" i="32" s="1"/>
  <c r="AC718" i="32" s="1"/>
  <c r="AF656" i="32"/>
  <c r="AG656" i="32" s="1"/>
  <c r="AC656" i="32" s="1"/>
  <c r="AC760" i="32"/>
  <c r="AF1079" i="32"/>
  <c r="AG1079" i="32" s="1"/>
  <c r="AC1079" i="32" s="1"/>
  <c r="AF296" i="32"/>
  <c r="AG296" i="32" s="1"/>
  <c r="AC296" i="32" s="1"/>
  <c r="AE640" i="32"/>
  <c r="AF640" i="32" s="1"/>
  <c r="AG640" i="32" s="1"/>
  <c r="AC640" i="32" s="1"/>
  <c r="AE595" i="32"/>
  <c r="AF595" i="32" s="1"/>
  <c r="AG595" i="32" s="1"/>
  <c r="AC595" i="32" s="1"/>
  <c r="AE220" i="32"/>
  <c r="AF220" i="32" s="1"/>
  <c r="AG220" i="32" s="1"/>
  <c r="AC220" i="32" s="1"/>
  <c r="AE682" i="32"/>
  <c r="AF682" i="32" s="1"/>
  <c r="AG682" i="32" s="1"/>
  <c r="AC682" i="32" s="1"/>
  <c r="AE580" i="32"/>
  <c r="AF580" i="32" s="1"/>
  <c r="AG580" i="32" s="1"/>
  <c r="AC580" i="32" s="1"/>
  <c r="AE801" i="32"/>
  <c r="AF801" i="32" s="1"/>
  <c r="AG801" i="32" s="1"/>
  <c r="AC801" i="32" s="1"/>
  <c r="G48" i="21"/>
  <c r="AF653" i="32"/>
  <c r="AG653" i="32" s="1"/>
  <c r="AC653" i="32" s="1"/>
  <c r="AF222" i="32"/>
  <c r="AG222" i="32" s="1"/>
  <c r="AC222" i="32" s="1"/>
  <c r="AB204" i="32"/>
  <c r="AB205" i="32" s="1"/>
  <c r="AB206" i="32" s="1"/>
  <c r="AE536" i="32"/>
  <c r="AF536" i="32" s="1"/>
  <c r="AG536" i="32" s="1"/>
  <c r="AC536" i="32" s="1"/>
  <c r="AF219" i="32"/>
  <c r="AG219" i="32" s="1"/>
  <c r="AC219" i="32" s="1"/>
  <c r="AE1075" i="32"/>
  <c r="AF1075" i="32" s="1"/>
  <c r="AG1075" i="32" s="1"/>
  <c r="AC1075" i="32" s="1"/>
  <c r="AF738" i="32"/>
  <c r="AG738" i="32" s="1"/>
  <c r="AC738" i="32" s="1"/>
  <c r="AE498" i="32"/>
  <c r="AF498" i="32" s="1"/>
  <c r="AG498" i="32" s="1"/>
  <c r="AC498" i="32" s="1"/>
  <c r="AB195" i="32"/>
  <c r="AE195" i="32"/>
  <c r="AF195" i="32" s="1"/>
  <c r="AG195" i="32" s="1"/>
  <c r="AC195" i="32" s="1"/>
  <c r="AF800" i="32"/>
  <c r="AG800" i="32" s="1"/>
  <c r="AC800" i="32" s="1"/>
  <c r="AB164" i="32"/>
  <c r="AB165" i="32" s="1"/>
  <c r="AF458" i="32"/>
  <c r="AG458" i="32" s="1"/>
  <c r="AC458" i="32" s="1"/>
  <c r="AC47" i="32"/>
  <c r="AI52" i="32"/>
  <c r="AC52" i="32" s="1"/>
  <c r="AC171" i="32"/>
  <c r="AE205" i="32"/>
  <c r="AF205" i="32" s="1"/>
  <c r="AG205" i="32" s="1"/>
  <c r="AC205" i="32" s="1"/>
  <c r="AE225" i="32"/>
  <c r="AF225" i="32" s="1"/>
  <c r="AG225" i="32" s="1"/>
  <c r="AC225" i="32" s="1"/>
  <c r="AE284" i="32"/>
  <c r="AF284" i="32" s="1"/>
  <c r="AG284" i="32" s="1"/>
  <c r="AC284" i="32" s="1"/>
  <c r="AF312" i="32"/>
  <c r="AG312" i="32" s="1"/>
  <c r="AC312" i="32" s="1"/>
  <c r="AE405" i="32"/>
  <c r="AF405" i="32" s="1"/>
  <c r="AG405" i="32" s="1"/>
  <c r="AC405" i="32" s="1"/>
  <c r="AF469" i="32"/>
  <c r="AG469" i="32" s="1"/>
  <c r="AC469" i="32" s="1"/>
  <c r="AF505" i="32"/>
  <c r="AG505" i="32" s="1"/>
  <c r="AC505" i="32" s="1"/>
  <c r="AF583" i="32"/>
  <c r="AG583" i="32" s="1"/>
  <c r="AC583" i="32" s="1"/>
  <c r="AF628" i="32"/>
  <c r="AG628" i="32" s="1"/>
  <c r="AC628" i="32" s="1"/>
  <c r="AF705" i="32"/>
  <c r="AG705" i="32" s="1"/>
  <c r="AC705" i="32" s="1"/>
  <c r="AF811" i="32"/>
  <c r="AG811" i="32" s="1"/>
  <c r="AC811" i="32" s="1"/>
  <c r="AF871" i="32"/>
  <c r="AG871" i="32" s="1"/>
  <c r="AC871" i="32" s="1"/>
  <c r="I74" i="21"/>
  <c r="AI69" i="32"/>
  <c r="AC69" i="32" s="1"/>
  <c r="AF71" i="32"/>
  <c r="AG71" i="32" s="1"/>
  <c r="AC71" i="32" s="1"/>
  <c r="AF106" i="32"/>
  <c r="AG106" i="32" s="1"/>
  <c r="AC106" i="32" s="1"/>
  <c r="AF190" i="32"/>
  <c r="AG190" i="32" s="1"/>
  <c r="AC190" i="32" s="1"/>
  <c r="AF212" i="32"/>
  <c r="AG212" i="32" s="1"/>
  <c r="AC212" i="32" s="1"/>
  <c r="AF224" i="32"/>
  <c r="AG224" i="32" s="1"/>
  <c r="AC224" i="32" s="1"/>
  <c r="AF384" i="32"/>
  <c r="AG384" i="32" s="1"/>
  <c r="AC384" i="32" s="1"/>
  <c r="AF430" i="32"/>
  <c r="AG430" i="32" s="1"/>
  <c r="AC430" i="32" s="1"/>
  <c r="AE712" i="32"/>
  <c r="AF712" i="32" s="1"/>
  <c r="AG712" i="32" s="1"/>
  <c r="AC712" i="32" s="1"/>
  <c r="AF847" i="32"/>
  <c r="AG847" i="32" s="1"/>
  <c r="AC847" i="32" s="1"/>
  <c r="AF305" i="32"/>
  <c r="AG305" i="32" s="1"/>
  <c r="AC305" i="32" s="1"/>
  <c r="AF351" i="32"/>
  <c r="AG351" i="32" s="1"/>
  <c r="AC351" i="32" s="1"/>
  <c r="AE530" i="32"/>
  <c r="AF530" i="32" s="1"/>
  <c r="AG530" i="32" s="1"/>
  <c r="AC530" i="32" s="1"/>
  <c r="AF671" i="32"/>
  <c r="AG671" i="32" s="1"/>
  <c r="AC671" i="32" s="1"/>
  <c r="AF951" i="32"/>
  <c r="AG951" i="32" s="1"/>
  <c r="AC951" i="32" s="1"/>
  <c r="AE1011" i="32"/>
  <c r="AF1011" i="32" s="1"/>
  <c r="AG1011" i="32" s="1"/>
  <c r="AC1011" i="32" s="1"/>
  <c r="AI68" i="32"/>
  <c r="AE369" i="32"/>
  <c r="AF369" i="32" s="1"/>
  <c r="AG369" i="32" s="1"/>
  <c r="AC369" i="32" s="1"/>
  <c r="AF706" i="32"/>
  <c r="AG706" i="32" s="1"/>
  <c r="AC706" i="32" s="1"/>
  <c r="AF909" i="32"/>
  <c r="AG909" i="32" s="1"/>
  <c r="AC909" i="32" s="1"/>
  <c r="AC7" i="21"/>
  <c r="AI49" i="32"/>
  <c r="AC49" i="32" s="1"/>
  <c r="AF285" i="32"/>
  <c r="AG285" i="32" s="1"/>
  <c r="AC285" i="32" s="1"/>
  <c r="AF328" i="32"/>
  <c r="AG328" i="32" s="1"/>
  <c r="AC328" i="32" s="1"/>
  <c r="AF388" i="32"/>
  <c r="AG388" i="32" s="1"/>
  <c r="AC388" i="32" s="1"/>
  <c r="AF446" i="32"/>
  <c r="AG446" i="32" s="1"/>
  <c r="AC446" i="32" s="1"/>
  <c r="AB485" i="32"/>
  <c r="AB486" i="32" s="1"/>
  <c r="AF490" i="32"/>
  <c r="AG490" i="32" s="1"/>
  <c r="AC490" i="32" s="1"/>
  <c r="AF584" i="32"/>
  <c r="AG584" i="32" s="1"/>
  <c r="AC584" i="32" s="1"/>
  <c r="AF588" i="32"/>
  <c r="AG588" i="32" s="1"/>
  <c r="AC588" i="32" s="1"/>
  <c r="AF664" i="32"/>
  <c r="AG664" i="32" s="1"/>
  <c r="AC664" i="32" s="1"/>
  <c r="AB683" i="32"/>
  <c r="AB684" i="32" s="1"/>
  <c r="AE710" i="32"/>
  <c r="AF710" i="32" s="1"/>
  <c r="AG710" i="32" s="1"/>
  <c r="AC710" i="32" s="1"/>
  <c r="AF752" i="32"/>
  <c r="AG752" i="32" s="1"/>
  <c r="AC752" i="32" s="1"/>
  <c r="AF787" i="32"/>
  <c r="AG787" i="32" s="1"/>
  <c r="AC787" i="32" s="1"/>
  <c r="AF848" i="32"/>
  <c r="AG848" i="32" s="1"/>
  <c r="AC848" i="32" s="1"/>
  <c r="AF1005" i="32"/>
  <c r="AG1005" i="32" s="1"/>
  <c r="AC1005" i="32" s="1"/>
  <c r="AF1031" i="32"/>
  <c r="AG1031" i="32" s="1"/>
  <c r="AC1031" i="32" s="1"/>
  <c r="Q6" i="51"/>
  <c r="AF6" i="32"/>
  <c r="AF68" i="32"/>
  <c r="AG68" i="32" s="1"/>
  <c r="AC68" i="32" s="1"/>
  <c r="AF72" i="32"/>
  <c r="AG72" i="32" s="1"/>
  <c r="AC72" i="32" s="1"/>
  <c r="AF126" i="32"/>
  <c r="AG126" i="32" s="1"/>
  <c r="AC126" i="32" s="1"/>
  <c r="AF170" i="32"/>
  <c r="AG170" i="32" s="1"/>
  <c r="AC170" i="32" s="1"/>
  <c r="AF206" i="32"/>
  <c r="AG206" i="32" s="1"/>
  <c r="AC206" i="32" s="1"/>
  <c r="AF209" i="32"/>
  <c r="AG209" i="32" s="1"/>
  <c r="AC209" i="32" s="1"/>
  <c r="AF211" i="32"/>
  <c r="AG211" i="32" s="1"/>
  <c r="AC211" i="32" s="1"/>
  <c r="AF223" i="32"/>
  <c r="AG223" i="32" s="1"/>
  <c r="AC223" i="32" s="1"/>
  <c r="AE610" i="32"/>
  <c r="AF610" i="32" s="1"/>
  <c r="AG610" i="32" s="1"/>
  <c r="AC610" i="32" s="1"/>
  <c r="AF629" i="32"/>
  <c r="AG629" i="32" s="1"/>
  <c r="AC629" i="32" s="1"/>
  <c r="AF866" i="32"/>
  <c r="AG866" i="32" s="1"/>
  <c r="AC866" i="32" s="1"/>
  <c r="AE1046" i="32"/>
  <c r="AF1046" i="32" s="1"/>
  <c r="AG1046" i="32" s="1"/>
  <c r="AC1046" i="32" s="1"/>
  <c r="AE1051" i="32"/>
  <c r="AF1051" i="32" s="1"/>
  <c r="AG1051" i="32" s="1"/>
  <c r="AC1051" i="32" s="1"/>
  <c r="F102" i="32"/>
  <c r="AI67" i="32"/>
  <c r="AF332" i="32"/>
  <c r="AG332" i="32" s="1"/>
  <c r="AC332" i="32" s="1"/>
  <c r="AC428" i="32"/>
  <c r="AF648" i="32"/>
  <c r="AG648" i="32" s="1"/>
  <c r="AC648" i="32" s="1"/>
  <c r="AF689" i="32"/>
  <c r="AG689" i="32" s="1"/>
  <c r="AC689" i="32" s="1"/>
  <c r="AF726" i="32"/>
  <c r="AG726" i="32" s="1"/>
  <c r="AC726" i="32" s="1"/>
  <c r="AF286" i="32"/>
  <c r="AG286" i="32" s="1"/>
  <c r="AC286" i="32" s="1"/>
  <c r="AF988" i="32"/>
  <c r="AG988" i="32" s="1"/>
  <c r="AC988" i="32" s="1"/>
  <c r="I38" i="51"/>
  <c r="C114" i="32"/>
  <c r="B44" i="21"/>
  <c r="B7" i="21"/>
  <c r="AB864" i="32"/>
  <c r="AB865" i="32" s="1"/>
  <c r="AB934" i="32"/>
  <c r="AB935" i="32" s="1"/>
  <c r="AB555" i="32"/>
  <c r="AB907" i="32"/>
  <c r="AB149" i="32"/>
  <c r="AB150" i="32" s="1"/>
  <c r="AB727" i="32"/>
  <c r="AB728" i="32" s="1"/>
  <c r="AB817" i="32"/>
  <c r="AB818" i="32" s="1"/>
  <c r="AB405" i="32"/>
  <c r="AB406" i="32" s="1"/>
  <c r="AB1067" i="32"/>
  <c r="AB35" i="32"/>
  <c r="AB594" i="32"/>
  <c r="AB595" i="32" s="1"/>
  <c r="AB596" i="32" s="1"/>
  <c r="AB566" i="32"/>
  <c r="AB1004" i="32"/>
  <c r="AB1005" i="32" s="1"/>
  <c r="AB65" i="32"/>
  <c r="AB66" i="32" s="1"/>
  <c r="AB67" i="32" s="1"/>
  <c r="AB324" i="32"/>
  <c r="AB277" i="32"/>
  <c r="AB758" i="32"/>
  <c r="AB759" i="32" s="1"/>
  <c r="AB245" i="32"/>
  <c r="AB315" i="32"/>
  <c r="AB316" i="32" s="1"/>
  <c r="AB644" i="32"/>
  <c r="AB645" i="32" s="1"/>
  <c r="AB646" i="32" s="1"/>
  <c r="AB77" i="32"/>
  <c r="AB234" i="32"/>
  <c r="AB124" i="32"/>
  <c r="AB125" i="32" s="1"/>
  <c r="AB126" i="32" s="1"/>
  <c r="AB794" i="32"/>
  <c r="AB894" i="32"/>
  <c r="AB86" i="32"/>
  <c r="AB526" i="32"/>
  <c r="AB784" i="32"/>
  <c r="AB364" i="32"/>
  <c r="AB414" i="32"/>
  <c r="AB1024" i="32"/>
  <c r="AB107" i="32"/>
  <c r="AB1035" i="32"/>
  <c r="AB515" i="32"/>
  <c r="AB1074" i="32"/>
  <c r="AB1075" i="32" s="1"/>
  <c r="AB384" i="32"/>
  <c r="AB385" i="32" s="1"/>
  <c r="AB776" i="32"/>
  <c r="AB984" i="32"/>
  <c r="AZ7" i="21" l="1"/>
  <c r="BA7" i="21"/>
  <c r="AY7" i="21"/>
  <c r="AX7" i="21"/>
  <c r="AW7" i="21"/>
  <c r="I45" i="51"/>
  <c r="I28" i="51"/>
  <c r="I50" i="51"/>
  <c r="I48" i="51"/>
  <c r="I30" i="51"/>
  <c r="I36" i="51"/>
  <c r="I40" i="51"/>
  <c r="I37" i="51"/>
  <c r="I34" i="51"/>
  <c r="I47" i="51"/>
  <c r="I29" i="51"/>
  <c r="I49" i="51"/>
  <c r="I39" i="51"/>
  <c r="I42" i="51"/>
  <c r="I41" i="51"/>
  <c r="I31" i="51"/>
  <c r="I32" i="51"/>
  <c r="I33" i="51"/>
  <c r="AC67" i="32"/>
  <c r="AB269" i="32"/>
  <c r="AB270" i="32" s="1"/>
  <c r="AB435" i="32"/>
  <c r="AB436" i="32" s="1"/>
  <c r="AB437" i="32" s="1"/>
  <c r="AB438" i="32" s="1"/>
  <c r="AB439" i="32" s="1"/>
  <c r="AB440" i="32" s="1"/>
  <c r="A116" i="32"/>
  <c r="AE742" i="32"/>
  <c r="AF742" i="32" s="1"/>
  <c r="AG742" i="32" s="1"/>
  <c r="AC742" i="32" s="1"/>
  <c r="AE261" i="32"/>
  <c r="AF261" i="32" s="1"/>
  <c r="AG261" i="32" s="1"/>
  <c r="AC261" i="32" s="1"/>
  <c r="AE259" i="32"/>
  <c r="AF259" i="32" s="1"/>
  <c r="AG259" i="32" s="1"/>
  <c r="AC259" i="32" s="1"/>
  <c r="AB733" i="32"/>
  <c r="AB734" i="32" s="1"/>
  <c r="AB735" i="32" s="1"/>
  <c r="AF733" i="32"/>
  <c r="AG733" i="32" s="1"/>
  <c r="AC733" i="32" s="1"/>
  <c r="AE733" i="32"/>
  <c r="AE260" i="32"/>
  <c r="AF260" i="32"/>
  <c r="AG260" i="32" s="1"/>
  <c r="AC260" i="32" s="1"/>
  <c r="AF1059" i="32"/>
  <c r="AG1059" i="32" s="1"/>
  <c r="AC1059" i="32" s="1"/>
  <c r="I44" i="51"/>
  <c r="I43" i="51"/>
  <c r="I35" i="51"/>
  <c r="Q7" i="21"/>
  <c r="I27" i="51"/>
  <c r="AD39" i="39"/>
  <c r="AO7" i="21" s="1"/>
  <c r="AE877" i="32"/>
  <c r="AF877" i="32" s="1"/>
  <c r="AG877" i="32" s="1"/>
  <c r="AC877" i="32" s="1"/>
  <c r="AE741" i="32"/>
  <c r="AF741" i="32" s="1"/>
  <c r="AG741" i="32" s="1"/>
  <c r="AC741" i="32" s="1"/>
  <c r="E115" i="32"/>
  <c r="AE939" i="32"/>
  <c r="AF939" i="32" s="1"/>
  <c r="AG939" i="32" s="1"/>
  <c r="AC939" i="32" s="1"/>
  <c r="AB873" i="32"/>
  <c r="AE873" i="32"/>
  <c r="AF873" i="32" s="1"/>
  <c r="AG873" i="32" s="1"/>
  <c r="AC873" i="32" s="1"/>
  <c r="C115" i="32"/>
  <c r="D114" i="32"/>
  <c r="AB44" i="32"/>
  <c r="AB45" i="32"/>
  <c r="AE661" i="32"/>
  <c r="AF661" i="32" s="1"/>
  <c r="AG661" i="32" s="1"/>
  <c r="AC661" i="32" s="1"/>
  <c r="AE736" i="32"/>
  <c r="AF736" i="32"/>
  <c r="AG736" i="32" s="1"/>
  <c r="AC736" i="32" s="1"/>
  <c r="AE574" i="32"/>
  <c r="AF574" i="32"/>
  <c r="AG574" i="32" s="1"/>
  <c r="AC574" i="32" s="1"/>
  <c r="AE118" i="32"/>
  <c r="AF118" i="32"/>
  <c r="AG118" i="32" s="1"/>
  <c r="AC118" i="32" s="1"/>
  <c r="AE16" i="32"/>
  <c r="AF16" i="32" s="1"/>
  <c r="AE256" i="32"/>
  <c r="AF256" i="32"/>
  <c r="AG256" i="32" s="1"/>
  <c r="AC256" i="32" s="1"/>
  <c r="Q9" i="51"/>
  <c r="U10" i="51"/>
  <c r="AB378" i="32"/>
  <c r="AB379" i="32" s="1"/>
  <c r="AB380" i="32" s="1"/>
  <c r="AB347" i="32"/>
  <c r="AB348" i="32" s="1"/>
  <c r="AB256" i="32"/>
  <c r="AB257" i="32" s="1"/>
  <c r="AB258" i="32" s="1"/>
  <c r="AB7" i="32"/>
  <c r="AB8" i="32" s="1"/>
  <c r="AB9" i="32" s="1"/>
  <c r="AB10" i="32" s="1"/>
  <c r="AB547" i="32"/>
  <c r="N114" i="32"/>
  <c r="P114" i="32"/>
  <c r="AB577" i="32"/>
  <c r="AB578" i="32" s="1"/>
  <c r="AB337" i="32"/>
  <c r="AB338" i="32" s="1"/>
  <c r="AB359" i="32"/>
  <c r="AB487" i="32"/>
  <c r="AB99" i="32"/>
  <c r="AB607" i="32"/>
  <c r="AB627" i="32"/>
  <c r="AB628" i="32" s="1"/>
  <c r="AB827" i="32"/>
  <c r="AB828" i="32" s="1"/>
  <c r="AB957" i="32"/>
  <c r="AB958" i="32" s="1"/>
  <c r="AB959" i="32" s="1"/>
  <c r="AB217" i="32"/>
  <c r="AB218" i="32" s="1"/>
  <c r="AB219" i="32" s="1"/>
  <c r="AB177" i="32"/>
  <c r="AB178" i="32" s="1"/>
  <c r="AB837" i="32"/>
  <c r="AB838" i="32" s="1"/>
  <c r="AB187" i="32"/>
  <c r="AB188" i="32" s="1"/>
  <c r="AB189" i="32" s="1"/>
  <c r="AB746" i="32"/>
  <c r="AB57" i="32"/>
  <c r="AB58" i="32" s="1"/>
  <c r="AB685" i="32"/>
  <c r="AB686" i="32" s="1"/>
  <c r="AB617" i="32"/>
  <c r="AB618" i="32" s="1"/>
  <c r="AB226" i="32"/>
  <c r="AB227" i="32" s="1"/>
  <c r="AB228" i="32" s="1"/>
  <c r="AB229" i="32" s="1"/>
  <c r="AB230" i="32" s="1"/>
  <c r="AB231" i="32" s="1"/>
  <c r="AB232" i="32" s="1"/>
  <c r="AB808" i="32"/>
  <c r="AB116" i="32"/>
  <c r="AB117" i="32" s="1"/>
  <c r="AB339" i="32"/>
  <c r="AB340" i="32" s="1"/>
  <c r="AB637" i="32"/>
  <c r="AB638" i="32" s="1"/>
  <c r="AB710" i="32"/>
  <c r="AB711" i="32" s="1"/>
  <c r="AB1048" i="32"/>
  <c r="AB1049" i="32" s="1"/>
  <c r="AB1050" i="32" s="1"/>
  <c r="AB299" i="32"/>
  <c r="AB300" i="32" s="1"/>
  <c r="AB301" i="32" s="1"/>
  <c r="AB302" i="32" s="1"/>
  <c r="AB970" i="32"/>
  <c r="AB971" i="32" s="1"/>
  <c r="AB17" i="32"/>
  <c r="AB18" i="32" s="1"/>
  <c r="AB666" i="32"/>
  <c r="AB999" i="32"/>
  <c r="AB1000" i="32" s="1"/>
  <c r="AB156" i="32"/>
  <c r="AB157" i="32" s="1"/>
  <c r="AB929" i="32"/>
  <c r="AB930" i="32" s="1"/>
  <c r="AB931" i="32" s="1"/>
  <c r="AB932" i="32" s="1"/>
  <c r="AB428" i="32"/>
  <c r="AB429" i="32" s="1"/>
  <c r="AB448" i="32"/>
  <c r="AB449" i="32" s="1"/>
  <c r="AB139" i="32"/>
  <c r="AB140" i="32" s="1"/>
  <c r="AB496" i="32"/>
  <c r="AB497" i="32" s="1"/>
  <c r="AG14" i="32"/>
  <c r="AC14" i="32" s="1"/>
  <c r="AB475" i="32"/>
  <c r="AB476" i="32" s="1"/>
  <c r="AB477" i="32" s="1"/>
  <c r="AB918" i="32"/>
  <c r="AB919" i="32" s="1"/>
  <c r="AB459" i="32"/>
  <c r="E114" i="32"/>
  <c r="B114" i="32"/>
  <c r="A115" i="32"/>
  <c r="B109" i="32"/>
  <c r="B115" i="32"/>
  <c r="C129" i="32"/>
  <c r="C127" i="32"/>
  <c r="C130" i="32"/>
  <c r="C128" i="32"/>
  <c r="D129" i="32"/>
  <c r="D127" i="32"/>
  <c r="D130" i="32"/>
  <c r="D128" i="32"/>
  <c r="AB908" i="32"/>
  <c r="AB909" i="32" s="1"/>
  <c r="A108" i="32"/>
  <c r="AB286" i="32"/>
  <c r="AB287" i="32" s="1"/>
  <c r="AB309" i="32"/>
  <c r="AB310" i="32" s="1"/>
  <c r="AB311" i="32" s="1"/>
  <c r="AB466" i="32"/>
  <c r="AB467" i="32" s="1"/>
  <c r="AB468" i="32" s="1"/>
  <c r="AB469" i="32" s="1"/>
  <c r="AB887" i="32"/>
  <c r="AB888" i="32" s="1"/>
  <c r="D116" i="32"/>
  <c r="B110" i="32"/>
  <c r="B108" i="32"/>
  <c r="A123" i="32"/>
  <c r="A121" i="32"/>
  <c r="A122" i="32"/>
  <c r="A120" i="32"/>
  <c r="AF32" i="39"/>
  <c r="AB7" i="21"/>
  <c r="AF33" i="39"/>
  <c r="AA7" i="21"/>
  <c r="Z7" i="21"/>
  <c r="C116" i="32"/>
  <c r="C123" i="32"/>
  <c r="C121" i="32"/>
  <c r="C122" i="32"/>
  <c r="C120" i="32"/>
  <c r="AB1015" i="32"/>
  <c r="C109" i="32"/>
  <c r="D110" i="32"/>
  <c r="AB675" i="32"/>
  <c r="AB676" i="32" s="1"/>
  <c r="AB695" i="32"/>
  <c r="AB696" i="32" s="1"/>
  <c r="D122" i="32"/>
  <c r="D120" i="32"/>
  <c r="D123" i="32"/>
  <c r="D121" i="32"/>
  <c r="AB516" i="32"/>
  <c r="AB517" i="32" s="1"/>
  <c r="AB647" i="32"/>
  <c r="D115" i="32"/>
  <c r="D108" i="32"/>
  <c r="D109" i="32"/>
  <c r="E116" i="32"/>
  <c r="AB196" i="32"/>
  <c r="AB197" i="32" s="1"/>
  <c r="AB207" i="32"/>
  <c r="AB208" i="32" s="1"/>
  <c r="AB209" i="32" s="1"/>
  <c r="AB536" i="32"/>
  <c r="AB537" i="32" s="1"/>
  <c r="B123" i="32"/>
  <c r="B121" i="32"/>
  <c r="B122" i="32"/>
  <c r="B120" i="32"/>
  <c r="C108" i="32"/>
  <c r="B116" i="32"/>
  <c r="A114" i="32"/>
  <c r="C110" i="32"/>
  <c r="A110" i="32"/>
  <c r="AB166" i="32"/>
  <c r="AB167" i="32" s="1"/>
  <c r="A128" i="32"/>
  <c r="A129" i="32"/>
  <c r="A127" i="32"/>
  <c r="A130" i="32"/>
  <c r="E128" i="32"/>
  <c r="A109" i="32"/>
  <c r="AG6" i="32"/>
  <c r="AC6" i="32" s="1"/>
  <c r="AB396" i="32"/>
  <c r="AB511" i="32"/>
  <c r="AB512" i="32" s="1"/>
  <c r="AB848" i="32"/>
  <c r="AB849" i="32" s="1"/>
  <c r="B128" i="32"/>
  <c r="B129" i="32"/>
  <c r="B127" i="32"/>
  <c r="B130" i="32"/>
  <c r="E130" i="32"/>
  <c r="AB785" i="32"/>
  <c r="AB985" i="32"/>
  <c r="AB986" i="32" s="1"/>
  <c r="AB127" i="32"/>
  <c r="AB128" i="32" s="1"/>
  <c r="AB859" i="32"/>
  <c r="AB860" i="32" s="1"/>
  <c r="AB861" i="32" s="1"/>
  <c r="AB862" i="32" s="1"/>
  <c r="AB760" i="32"/>
  <c r="AB441" i="32"/>
  <c r="AB442" i="32" s="1"/>
  <c r="AB151" i="32"/>
  <c r="AB152" i="32" s="1"/>
  <c r="AB567" i="32"/>
  <c r="AB568" i="32" s="1"/>
  <c r="AB1068" i="32"/>
  <c r="AB1069" i="32" s="1"/>
  <c r="AB717" i="32"/>
  <c r="AB718" i="32" s="1"/>
  <c r="AB719" i="32" s="1"/>
  <c r="AB27" i="32"/>
  <c r="AB28" i="32" s="1"/>
  <c r="AB866" i="32"/>
  <c r="AB68" i="32"/>
  <c r="AB69" i="32" s="1"/>
  <c r="AB78" i="32"/>
  <c r="AB648" i="32"/>
  <c r="AB649" i="32" s="1"/>
  <c r="AB381" i="32"/>
  <c r="AB382" i="32" s="1"/>
  <c r="AB235" i="32"/>
  <c r="AB236" i="32" s="1"/>
  <c r="AB895" i="32"/>
  <c r="AB108" i="32"/>
  <c r="AB109" i="32" s="1"/>
  <c r="AB278" i="32"/>
  <c r="AB279" i="32" s="1"/>
  <c r="AB280" i="32" s="1"/>
  <c r="AB36" i="32"/>
  <c r="AB386" i="32"/>
  <c r="AB1025" i="32"/>
  <c r="AB365" i="32"/>
  <c r="AB317" i="32"/>
  <c r="AB318" i="32" s="1"/>
  <c r="AB657" i="32"/>
  <c r="AB658" i="32" s="1"/>
  <c r="AB819" i="32"/>
  <c r="AB947" i="32"/>
  <c r="AB556" i="32"/>
  <c r="AB557" i="32" s="1"/>
  <c r="AB488" i="32"/>
  <c r="AB246" i="32"/>
  <c r="AB247" i="32" s="1"/>
  <c r="AB587" i="32"/>
  <c r="AB527" i="32"/>
  <c r="AB528" i="32" s="1"/>
  <c r="AB529" i="32" s="1"/>
  <c r="AB530" i="32" s="1"/>
  <c r="AB795" i="32"/>
  <c r="AB597" i="32"/>
  <c r="AB407" i="32"/>
  <c r="AB408" i="32" s="1"/>
  <c r="AB936" i="32"/>
  <c r="AB608" i="32"/>
  <c r="AB609" i="32" s="1"/>
  <c r="AB11" i="32"/>
  <c r="AB1076" i="32"/>
  <c r="AB978" i="32"/>
  <c r="AB979" i="32" s="1"/>
  <c r="AB980" i="32" s="1"/>
  <c r="AB271" i="32"/>
  <c r="AB272" i="32" s="1"/>
  <c r="AB325" i="32"/>
  <c r="AB360" i="32"/>
  <c r="AB361" i="32" s="1"/>
  <c r="AB809" i="32"/>
  <c r="AB810" i="32" s="1"/>
  <c r="AB729" i="32"/>
  <c r="AB1036" i="32"/>
  <c r="AB415" i="32"/>
  <c r="AB548" i="32"/>
  <c r="AB777" i="32"/>
  <c r="AB778" i="32" s="1"/>
  <c r="AB87" i="32"/>
  <c r="AB100" i="32"/>
  <c r="AB101" i="32" s="1"/>
  <c r="AB1006" i="32"/>
  <c r="AB1007" i="32" s="1"/>
  <c r="AB1058" i="32"/>
  <c r="AB736" i="32" l="1"/>
  <c r="L114" i="32"/>
  <c r="AG16" i="32"/>
  <c r="AC16" i="32" s="1"/>
  <c r="Q28" i="32"/>
  <c r="S28" i="32" s="1"/>
  <c r="T28" i="32" s="1"/>
  <c r="Q33" i="32"/>
  <c r="S33" i="32" s="1"/>
  <c r="T33" i="32" s="1"/>
  <c r="Q7" i="32"/>
  <c r="S7" i="32" s="1"/>
  <c r="T7" i="32" s="1"/>
  <c r="Q46" i="32"/>
  <c r="S46" i="32" s="1"/>
  <c r="T46" i="32" s="1"/>
  <c r="Q19" i="32"/>
  <c r="S19" i="32" s="1"/>
  <c r="T19" i="32" s="1"/>
  <c r="Q35" i="32"/>
  <c r="S35" i="32" s="1"/>
  <c r="T35" i="32" s="1"/>
  <c r="Q14" i="32"/>
  <c r="S14" i="32" s="1"/>
  <c r="T14" i="32" s="1"/>
  <c r="Q18" i="32"/>
  <c r="S18" i="32" s="1"/>
  <c r="T18" i="32" s="1"/>
  <c r="Q5" i="32"/>
  <c r="S5" i="32" s="1"/>
  <c r="T5" i="32" s="1"/>
  <c r="Q55" i="32"/>
  <c r="S55" i="32" s="1"/>
  <c r="T55" i="32" s="1"/>
  <c r="Q37" i="32"/>
  <c r="S37" i="32" s="1"/>
  <c r="T37" i="32" s="1"/>
  <c r="Q49" i="32"/>
  <c r="S49" i="32" s="1"/>
  <c r="T49" i="32" s="1"/>
  <c r="Q22" i="32"/>
  <c r="S22" i="32" s="1"/>
  <c r="T22" i="32" s="1"/>
  <c r="Q51" i="32"/>
  <c r="S51" i="32" s="1"/>
  <c r="T51" i="32" s="1"/>
  <c r="Q31" i="32"/>
  <c r="S31" i="32" s="1"/>
  <c r="T31" i="32" s="1"/>
  <c r="Q3" i="32"/>
  <c r="S3" i="32" s="1"/>
  <c r="T3" i="32" s="1"/>
  <c r="Q15" i="32"/>
  <c r="S15" i="32" s="1"/>
  <c r="T15" i="32" s="1"/>
  <c r="Q12" i="32"/>
  <c r="S12" i="32" s="1"/>
  <c r="T12" i="32" s="1"/>
  <c r="Q2" i="32"/>
  <c r="S2" i="32" s="1"/>
  <c r="T2" i="32" s="1"/>
  <c r="Q16" i="32"/>
  <c r="S16" i="32" s="1"/>
  <c r="T16" i="32" s="1"/>
  <c r="Q9" i="32"/>
  <c r="S9" i="32" s="1"/>
  <c r="T9" i="32" s="1"/>
  <c r="Q59" i="32"/>
  <c r="S59" i="32" s="1"/>
  <c r="T59" i="32" s="1"/>
  <c r="Q50" i="32"/>
  <c r="S50" i="32" s="1"/>
  <c r="T50" i="32" s="1"/>
  <c r="Q60" i="32"/>
  <c r="S60" i="32" s="1"/>
  <c r="T60" i="32" s="1"/>
  <c r="Q20" i="32"/>
  <c r="S20" i="32" s="1"/>
  <c r="T20" i="32" s="1"/>
  <c r="Q10" i="32"/>
  <c r="S10" i="32" s="1"/>
  <c r="T10" i="32" s="1"/>
  <c r="Q25" i="32"/>
  <c r="S25" i="32" s="1"/>
  <c r="T25" i="32" s="1"/>
  <c r="Q8" i="32"/>
  <c r="S8" i="32" s="1"/>
  <c r="T8" i="32" s="1"/>
  <c r="Q56" i="32"/>
  <c r="S56" i="32" s="1"/>
  <c r="T56" i="32" s="1"/>
  <c r="Q29" i="32"/>
  <c r="S29" i="32" s="1"/>
  <c r="T29" i="32" s="1"/>
  <c r="Q52" i="32"/>
  <c r="S52" i="32" s="1"/>
  <c r="T52" i="32" s="1"/>
  <c r="Q17" i="32"/>
  <c r="S17" i="32" s="1"/>
  <c r="T17" i="32" s="1"/>
  <c r="Q45" i="32"/>
  <c r="S45" i="32" s="1"/>
  <c r="T45" i="32" s="1"/>
  <c r="Q38" i="32"/>
  <c r="S38" i="32" s="1"/>
  <c r="T38" i="32" s="1"/>
  <c r="Q47" i="32"/>
  <c r="S47" i="32" s="1"/>
  <c r="T47" i="32" s="1"/>
  <c r="Q32" i="32"/>
  <c r="S32" i="32" s="1"/>
  <c r="T32" i="32" s="1"/>
  <c r="Q13" i="32"/>
  <c r="S13" i="32" s="1"/>
  <c r="T13" i="32" s="1"/>
  <c r="Q11" i="32"/>
  <c r="S11" i="32" s="1"/>
  <c r="T11" i="32" s="1"/>
  <c r="Q54" i="32"/>
  <c r="S54" i="32" s="1"/>
  <c r="T54" i="32" s="1"/>
  <c r="Q26" i="32"/>
  <c r="S26" i="32" s="1"/>
  <c r="T26" i="32" s="1"/>
  <c r="Q30" i="32"/>
  <c r="S30" i="32" s="1"/>
  <c r="T30" i="32" s="1"/>
  <c r="Q44" i="32"/>
  <c r="S44" i="32" s="1"/>
  <c r="T44" i="32" s="1"/>
  <c r="Q43" i="32"/>
  <c r="S43" i="32" s="1"/>
  <c r="T43" i="32" s="1"/>
  <c r="Q48" i="32"/>
  <c r="S48" i="32" s="1"/>
  <c r="T48" i="32" s="1"/>
  <c r="Q34" i="32"/>
  <c r="S34" i="32" s="1"/>
  <c r="T34" i="32" s="1"/>
  <c r="Q40" i="32"/>
  <c r="S40" i="32" s="1"/>
  <c r="T40" i="32" s="1"/>
  <c r="Q4" i="32"/>
  <c r="S4" i="32" s="1"/>
  <c r="T4" i="32" s="1"/>
  <c r="Q53" i="32"/>
  <c r="S53" i="32" s="1"/>
  <c r="T53" i="32" s="1"/>
  <c r="Q6" i="32"/>
  <c r="S6" i="32" s="1"/>
  <c r="T6" i="32" s="1"/>
  <c r="Q57" i="32"/>
  <c r="S57" i="32" s="1"/>
  <c r="T57" i="32" s="1"/>
  <c r="Q39" i="32"/>
  <c r="S39" i="32" s="1"/>
  <c r="T39" i="32" s="1"/>
  <c r="Q23" i="32"/>
  <c r="S23" i="32" s="1"/>
  <c r="T23" i="32" s="1"/>
  <c r="Q21" i="32"/>
  <c r="S21" i="32" s="1"/>
  <c r="T21" i="32" s="1"/>
  <c r="Q42" i="32"/>
  <c r="S42" i="32" s="1"/>
  <c r="T42" i="32" s="1"/>
  <c r="Q58" i="32"/>
  <c r="S58" i="32" s="1"/>
  <c r="T58" i="32" s="1"/>
  <c r="Q36" i="32"/>
  <c r="S36" i="32" s="1"/>
  <c r="T36" i="32" s="1"/>
  <c r="Q27" i="32"/>
  <c r="S27" i="32" s="1"/>
  <c r="T27" i="32" s="1"/>
  <c r="Q41" i="32"/>
  <c r="S41" i="32" s="1"/>
  <c r="T41" i="32" s="1"/>
  <c r="AB46" i="32"/>
  <c r="V10" i="51"/>
  <c r="X11" i="51" s="1"/>
  <c r="AB874" i="32"/>
  <c r="AB875" i="32" s="1"/>
  <c r="AB876" i="32" s="1"/>
  <c r="AB629" i="32"/>
  <c r="AB349" i="32"/>
  <c r="AB350" i="32" s="1"/>
  <c r="AB351" i="32" s="1"/>
  <c r="AB352" i="32" s="1"/>
  <c r="AB312" i="32"/>
  <c r="AB579" i="32"/>
  <c r="AB580" i="32" s="1"/>
  <c r="AB581" i="32" s="1"/>
  <c r="AB582" i="32" s="1"/>
  <c r="AB712" i="32"/>
  <c r="AB430" i="32"/>
  <c r="AB431" i="32" s="1"/>
  <c r="AB432" i="32" s="1"/>
  <c r="AB829" i="32"/>
  <c r="AB687" i="32"/>
  <c r="AB688" i="32" s="1"/>
  <c r="AB960" i="32"/>
  <c r="AB961" i="32" s="1"/>
  <c r="AB962" i="32" s="1"/>
  <c r="AB220" i="32"/>
  <c r="AB221" i="32" s="1"/>
  <c r="AB222" i="32" s="1"/>
  <c r="AB518" i="32"/>
  <c r="AB519" i="32" s="1"/>
  <c r="AB520" i="32" s="1"/>
  <c r="AB521" i="32" s="1"/>
  <c r="AB522" i="32" s="1"/>
  <c r="AB179" i="32"/>
  <c r="AB180" i="32" s="1"/>
  <c r="AB181" i="32" s="1"/>
  <c r="AB182" i="32" s="1"/>
  <c r="AB747" i="32"/>
  <c r="AB748" i="32" s="1"/>
  <c r="AB910" i="32"/>
  <c r="AB911" i="32" s="1"/>
  <c r="AB912" i="32" s="1"/>
  <c r="AB619" i="32"/>
  <c r="AB620" i="32" s="1"/>
  <c r="AB839" i="32"/>
  <c r="AB102" i="32"/>
  <c r="AB639" i="32"/>
  <c r="AB640" i="32" s="1"/>
  <c r="AB641" i="32" s="1"/>
  <c r="AB642" i="32" s="1"/>
  <c r="AB59" i="32"/>
  <c r="AB60" i="32" s="1"/>
  <c r="AB972" i="32"/>
  <c r="AB341" i="32"/>
  <c r="AB342" i="32" s="1"/>
  <c r="AB118" i="32"/>
  <c r="AB119" i="32" s="1"/>
  <c r="AB120" i="32" s="1"/>
  <c r="AB121" i="32" s="1"/>
  <c r="AB122" i="32" s="1"/>
  <c r="AB158" i="32"/>
  <c r="AB159" i="32" s="1"/>
  <c r="AB160" i="32" s="1"/>
  <c r="AB161" i="32" s="1"/>
  <c r="AB162" i="32" s="1"/>
  <c r="AB538" i="32"/>
  <c r="AB539" i="32" s="1"/>
  <c r="AB667" i="32"/>
  <c r="AB190" i="32"/>
  <c r="AB191" i="32" s="1"/>
  <c r="AB237" i="32"/>
  <c r="AB238" i="32" s="1"/>
  <c r="AB19" i="32"/>
  <c r="AB20" i="32" s="1"/>
  <c r="AB889" i="32"/>
  <c r="AB890" i="32" s="1"/>
  <c r="AB920" i="32"/>
  <c r="AB921" i="32" s="1"/>
  <c r="AB922" i="32" s="1"/>
  <c r="AB397" i="32"/>
  <c r="AB398" i="32" s="1"/>
  <c r="AB730" i="32"/>
  <c r="AB731" i="32" s="1"/>
  <c r="AB598" i="32"/>
  <c r="AB599" i="32" s="1"/>
  <c r="AB588" i="32"/>
  <c r="AB589" i="32" s="1"/>
  <c r="AB659" i="32"/>
  <c r="AB660" i="32" s="1"/>
  <c r="AB661" i="32" s="1"/>
  <c r="AB662" i="32" s="1"/>
  <c r="AB531" i="32"/>
  <c r="AB532" i="32" s="1"/>
  <c r="AB478" i="32"/>
  <c r="AB479" i="32" s="1"/>
  <c r="AB480" i="32" s="1"/>
  <c r="AB481" i="32" s="1"/>
  <c r="AB786" i="32"/>
  <c r="AB787" i="32" s="1"/>
  <c r="AB110" i="32"/>
  <c r="AB111" i="32" s="1"/>
  <c r="AB850" i="32"/>
  <c r="AB1070" i="32"/>
  <c r="AB1071" i="32" s="1"/>
  <c r="AB498" i="32"/>
  <c r="D840" i="50"/>
  <c r="D517" i="50"/>
  <c r="D604" i="50"/>
  <c r="D173" i="50"/>
  <c r="D1088" i="50"/>
  <c r="D816" i="50"/>
  <c r="D808" i="50"/>
  <c r="D158" i="50"/>
  <c r="D361" i="50"/>
  <c r="D763" i="50"/>
  <c r="D957" i="50"/>
  <c r="D932" i="50"/>
  <c r="D48" i="50"/>
  <c r="D1082" i="50"/>
  <c r="D250" i="50"/>
  <c r="D721" i="50"/>
  <c r="D972" i="50"/>
  <c r="D648" i="50"/>
  <c r="D1038" i="50"/>
  <c r="D409" i="50"/>
  <c r="D571" i="50"/>
  <c r="D300" i="50"/>
  <c r="D938" i="50"/>
  <c r="D345" i="50"/>
  <c r="D824" i="50"/>
  <c r="D783" i="50"/>
  <c r="D874" i="50"/>
  <c r="D290" i="50"/>
  <c r="D1017" i="50"/>
  <c r="D495" i="50"/>
  <c r="D973" i="50"/>
  <c r="D432" i="50"/>
  <c r="D30" i="50"/>
  <c r="D570" i="50"/>
  <c r="D1037" i="50"/>
  <c r="D998" i="50"/>
  <c r="D577" i="50"/>
  <c r="D411" i="50"/>
  <c r="D358" i="50"/>
  <c r="D275" i="50"/>
  <c r="D126" i="50"/>
  <c r="D392" i="50"/>
  <c r="D401" i="50"/>
  <c r="D91" i="50"/>
  <c r="D457" i="50"/>
  <c r="D288" i="50"/>
  <c r="D234" i="50"/>
  <c r="D805" i="50"/>
  <c r="D351" i="50"/>
  <c r="D229" i="50"/>
  <c r="D522" i="50"/>
  <c r="D479" i="50"/>
  <c r="D1003" i="50"/>
  <c r="D532" i="50"/>
  <c r="D677" i="50"/>
  <c r="D616" i="50"/>
  <c r="D328" i="50"/>
  <c r="D444" i="50"/>
  <c r="D318" i="50"/>
  <c r="D1069" i="50"/>
  <c r="D456" i="50"/>
  <c r="D980" i="50"/>
  <c r="D441" i="50"/>
  <c r="D220" i="50"/>
  <c r="D536" i="50"/>
  <c r="D589" i="50"/>
  <c r="D930" i="50"/>
  <c r="D718" i="50"/>
  <c r="D675" i="50"/>
  <c r="D279" i="50"/>
  <c r="D983" i="50"/>
  <c r="D861" i="50"/>
  <c r="D305" i="50"/>
  <c r="D337" i="50"/>
  <c r="D303" i="50"/>
  <c r="D309" i="50"/>
  <c r="D516" i="50"/>
  <c r="D149" i="50"/>
  <c r="D84" i="50"/>
  <c r="D44" i="50"/>
  <c r="D1021" i="50"/>
  <c r="D654" i="50"/>
  <c r="D80" i="50"/>
  <c r="D916" i="50"/>
  <c r="D132" i="50"/>
  <c r="D756" i="50"/>
  <c r="D850" i="50"/>
  <c r="D239" i="50"/>
  <c r="D950" i="50"/>
  <c r="D4" i="50"/>
  <c r="D47" i="50"/>
  <c r="D757" i="50"/>
  <c r="D172" i="50"/>
  <c r="D902" i="50"/>
  <c r="D244" i="50"/>
  <c r="D858" i="50"/>
  <c r="D716" i="50"/>
  <c r="D125" i="50"/>
  <c r="D806" i="50"/>
  <c r="D855" i="50"/>
  <c r="D542" i="50"/>
  <c r="D544" i="50"/>
  <c r="D418" i="50"/>
  <c r="D639" i="50"/>
  <c r="D97" i="50"/>
  <c r="D579" i="50"/>
  <c r="D344" i="50"/>
  <c r="D2" i="50"/>
  <c r="D79" i="50"/>
  <c r="D841" i="50"/>
  <c r="D976" i="50"/>
  <c r="D1058" i="50"/>
  <c r="D697" i="50"/>
  <c r="D651" i="50"/>
  <c r="D301" i="50"/>
  <c r="D147" i="50"/>
  <c r="D266" i="50"/>
  <c r="D506" i="50"/>
  <c r="D1039" i="50"/>
  <c r="D490" i="50"/>
  <c r="D619" i="50"/>
  <c r="D578" i="50"/>
  <c r="D217" i="50"/>
  <c r="D340" i="50"/>
  <c r="D281" i="50"/>
  <c r="D9" i="50"/>
  <c r="D1060" i="50"/>
  <c r="D537" i="50"/>
  <c r="D336" i="50"/>
  <c r="D768" i="50"/>
  <c r="D615" i="50"/>
  <c r="D1023" i="50"/>
  <c r="D359" i="50"/>
  <c r="D835" i="50"/>
  <c r="D612" i="50"/>
  <c r="D178" i="50"/>
  <c r="D856" i="50"/>
  <c r="D785" i="50"/>
  <c r="D809" i="50"/>
  <c r="D593" i="50"/>
  <c r="D86" i="50"/>
  <c r="D670" i="50"/>
  <c r="D715" i="50"/>
  <c r="D637" i="50"/>
  <c r="D771" i="50"/>
  <c r="D971" i="50"/>
  <c r="D214" i="50"/>
  <c r="D21" i="50"/>
  <c r="D343" i="50"/>
  <c r="D316" i="50"/>
  <c r="D144" i="50"/>
  <c r="D78" i="50"/>
  <c r="D443" i="50"/>
  <c r="D963" i="50"/>
  <c r="D557" i="50"/>
  <c r="D895" i="50"/>
  <c r="D196" i="50"/>
  <c r="D145" i="50"/>
  <c r="D728" i="50"/>
  <c r="D283" i="50"/>
  <c r="D726" i="50"/>
  <c r="D188" i="50"/>
  <c r="D833" i="50"/>
  <c r="D854" i="50"/>
  <c r="D846" i="50"/>
  <c r="D8" i="50"/>
  <c r="D652" i="50"/>
  <c r="D696" i="50"/>
  <c r="D1009" i="50"/>
  <c r="D558" i="50"/>
  <c r="D778" i="50"/>
  <c r="D585" i="50"/>
  <c r="D1041" i="50"/>
  <c r="D311" i="50"/>
  <c r="D952" i="50"/>
  <c r="D230" i="50"/>
  <c r="D471" i="50"/>
  <c r="D732" i="50"/>
  <c r="D1074" i="50"/>
  <c r="D488" i="50"/>
  <c r="D408" i="50"/>
  <c r="D11" i="50"/>
  <c r="D200" i="50"/>
  <c r="D314" i="50"/>
  <c r="D561" i="50"/>
  <c r="D265" i="50"/>
  <c r="D112" i="50"/>
  <c r="D672" i="50"/>
  <c r="D1071" i="50"/>
  <c r="D98" i="50"/>
  <c r="D424" i="50"/>
  <c r="D468" i="50"/>
  <c r="D469" i="50"/>
  <c r="D852" i="50"/>
  <c r="D128" i="50"/>
  <c r="D52" i="50"/>
  <c r="D352" i="50"/>
  <c r="D466" i="50"/>
  <c r="D944" i="50"/>
  <c r="D984" i="50"/>
  <c r="D1062" i="50"/>
  <c r="D665" i="50"/>
  <c r="D475" i="50"/>
  <c r="D864" i="50"/>
  <c r="D354" i="50"/>
  <c r="D576" i="50"/>
  <c r="D123" i="50"/>
  <c r="D890" i="50"/>
  <c r="D549" i="50"/>
  <c r="D657" i="50"/>
  <c r="D572" i="50"/>
  <c r="D62" i="50"/>
  <c r="D478" i="50"/>
  <c r="D59" i="50"/>
  <c r="D75" i="50"/>
  <c r="D876" i="50"/>
  <c r="D602" i="50"/>
  <c r="D601" i="50"/>
  <c r="D598" i="50"/>
  <c r="D817" i="50"/>
  <c r="D521" i="50"/>
  <c r="D1063" i="50"/>
  <c r="D406" i="50"/>
  <c r="D50" i="50"/>
  <c r="D182" i="50"/>
  <c r="D268" i="50"/>
  <c r="D102" i="50"/>
  <c r="D310" i="50"/>
  <c r="D399" i="50"/>
  <c r="D17" i="50"/>
  <c r="D451" i="50"/>
  <c r="D197" i="50"/>
  <c r="D779" i="50"/>
  <c r="D101" i="50"/>
  <c r="D1007" i="50"/>
  <c r="D533" i="50"/>
  <c r="D933" i="50"/>
  <c r="D508" i="50"/>
  <c r="D662" i="50"/>
  <c r="D823" i="50"/>
  <c r="D252" i="50"/>
  <c r="D439" i="50"/>
  <c r="D208" i="50"/>
  <c r="D1036" i="50"/>
  <c r="D922" i="50"/>
  <c r="D264" i="50"/>
  <c r="D748" i="50"/>
  <c r="D292" i="50"/>
  <c r="D889" i="50"/>
  <c r="D383" i="50"/>
  <c r="D832" i="50"/>
  <c r="D667" i="50"/>
  <c r="D504" i="50"/>
  <c r="D72" i="50"/>
  <c r="D296" i="50"/>
  <c r="D959" i="50"/>
  <c r="D324" i="50"/>
  <c r="D195" i="50"/>
  <c r="D831" i="50"/>
  <c r="D693" i="50"/>
  <c r="D389" i="50"/>
  <c r="D749" i="50"/>
  <c r="D484" i="50"/>
  <c r="D103" i="50"/>
  <c r="D410" i="50"/>
  <c r="D307" i="50"/>
  <c r="D656" i="50"/>
  <c r="D473" i="50"/>
  <c r="D828" i="50"/>
  <c r="D96" i="50"/>
  <c r="D417" i="50"/>
  <c r="D333" i="50"/>
  <c r="D750" i="50"/>
  <c r="D1001" i="50"/>
  <c r="D23" i="50"/>
  <c r="D699" i="50"/>
  <c r="D713" i="50"/>
  <c r="D43" i="50"/>
  <c r="D404" i="50"/>
  <c r="D714" i="50"/>
  <c r="D792" i="50"/>
  <c r="D669" i="50"/>
  <c r="D829" i="50"/>
  <c r="D867" i="50"/>
  <c r="D679" i="50"/>
  <c r="D687" i="50"/>
  <c r="D213" i="50"/>
  <c r="D88" i="50"/>
  <c r="D1000" i="50"/>
  <c r="D614" i="50"/>
  <c r="D206" i="50"/>
  <c r="D515" i="50"/>
  <c r="D442" i="50"/>
  <c r="D993" i="50"/>
  <c r="D107" i="50"/>
  <c r="D723" i="50"/>
  <c r="D703" i="50"/>
  <c r="D272" i="50"/>
  <c r="D121" i="50"/>
  <c r="D1005" i="50"/>
  <c r="D355" i="50"/>
  <c r="D961" i="50"/>
  <c r="D813" i="50"/>
  <c r="D996" i="50"/>
  <c r="D54" i="50"/>
  <c r="D259" i="50"/>
  <c r="D363" i="50"/>
  <c r="D215" i="50"/>
  <c r="D740" i="50"/>
  <c r="D905" i="50"/>
  <c r="D57" i="50"/>
  <c r="D452" i="50"/>
  <c r="D1068" i="50"/>
  <c r="D82" i="50"/>
  <c r="D658" i="50"/>
  <c r="D786" i="50"/>
  <c r="D940" i="50"/>
  <c r="D362" i="50"/>
  <c r="D543" i="50"/>
  <c r="D896" i="50"/>
  <c r="D93" i="50"/>
  <c r="D725" i="50"/>
  <c r="D659" i="50"/>
  <c r="D873" i="50"/>
  <c r="D70" i="50"/>
  <c r="D1008" i="50"/>
  <c r="D641" i="50"/>
  <c r="D720" i="50"/>
  <c r="D459" i="50"/>
  <c r="D376" i="50"/>
  <c r="D788" i="50"/>
  <c r="D798" i="50"/>
  <c r="D964" i="50"/>
  <c r="D1030" i="50"/>
  <c r="D530" i="50"/>
  <c r="D724" i="50"/>
  <c r="D487" i="50"/>
  <c r="D403" i="50"/>
  <c r="D1070" i="50"/>
  <c r="D827" i="50"/>
  <c r="D64" i="50"/>
  <c r="D397" i="50"/>
  <c r="D245" i="50"/>
  <c r="D33" i="50"/>
  <c r="D387" i="50"/>
  <c r="D942" i="50"/>
  <c r="D541" i="50"/>
  <c r="D326" i="50"/>
  <c r="D29" i="50"/>
  <c r="D254" i="50"/>
  <c r="D388" i="50"/>
  <c r="D921" i="50"/>
  <c r="D981" i="50"/>
  <c r="D666" i="50"/>
  <c r="D412" i="50"/>
  <c r="D446" i="50"/>
  <c r="D600" i="50"/>
  <c r="D271" i="50"/>
  <c r="D751" i="50"/>
  <c r="D910" i="50"/>
  <c r="D650" i="50"/>
  <c r="D185" i="50"/>
  <c r="D898" i="50"/>
  <c r="D315" i="50"/>
  <c r="D273" i="50"/>
  <c r="D849" i="50"/>
  <c r="D463" i="50"/>
  <c r="D255" i="50"/>
  <c r="D464" i="50"/>
  <c r="D415" i="50"/>
  <c r="D76" i="50"/>
  <c r="D934" i="50"/>
  <c r="D346" i="50"/>
  <c r="D470" i="50"/>
  <c r="D787" i="50"/>
  <c r="D862" i="50"/>
  <c r="D1013" i="50"/>
  <c r="D256" i="50"/>
  <c r="D590" i="50"/>
  <c r="D378" i="50"/>
  <c r="D802" i="50"/>
  <c r="D191" i="50"/>
  <c r="D797" i="50"/>
  <c r="D1034" i="50"/>
  <c r="D371" i="50"/>
  <c r="D560" i="50"/>
  <c r="D545" i="50"/>
  <c r="D474" i="50"/>
  <c r="D448" i="50"/>
  <c r="D236" i="50"/>
  <c r="D953" i="50"/>
  <c r="D222" i="50"/>
  <c r="D159" i="50"/>
  <c r="D1076" i="50"/>
  <c r="D745" i="50"/>
  <c r="D295" i="50"/>
  <c r="D201" i="50"/>
  <c r="D629" i="50"/>
  <c r="D586" i="50"/>
  <c r="D936" i="50"/>
  <c r="D945" i="50"/>
  <c r="D1067" i="50"/>
  <c r="D767" i="50"/>
  <c r="D622" i="50"/>
  <c r="D518" i="50"/>
  <c r="D329" i="50"/>
  <c r="D872" i="50"/>
  <c r="D705" i="50"/>
  <c r="D175" i="50"/>
  <c r="D986" i="50"/>
  <c r="D179" i="50"/>
  <c r="D1010" i="50"/>
  <c r="D649" i="50"/>
  <c r="D423" i="50"/>
  <c r="D32" i="50"/>
  <c r="D135" i="50"/>
  <c r="D74" i="50"/>
  <c r="D384" i="50"/>
  <c r="D853" i="50"/>
  <c r="D759" i="50"/>
  <c r="D241" i="50"/>
  <c r="D143" i="50"/>
  <c r="D108" i="50"/>
  <c r="D89" i="50"/>
  <c r="D863" i="50"/>
  <c r="D736" i="50"/>
  <c r="D700" i="50"/>
  <c r="D69" i="50"/>
  <c r="D673" i="50"/>
  <c r="D510" i="50"/>
  <c r="D610" i="50"/>
  <c r="D156" i="50"/>
  <c r="D546" i="50"/>
  <c r="D958" i="50"/>
  <c r="D461" i="50"/>
  <c r="D617" i="50"/>
  <c r="D375" i="50"/>
  <c r="D949" i="50"/>
  <c r="D512" i="50"/>
  <c r="D284" i="50"/>
  <c r="D820" i="50"/>
  <c r="D830" i="50"/>
  <c r="D231" i="50"/>
  <c r="D339" i="50"/>
  <c r="D644" i="50"/>
  <c r="D171" i="50"/>
  <c r="D967" i="50"/>
  <c r="D607" i="50"/>
  <c r="D81" i="50"/>
  <c r="D218" i="50"/>
  <c r="D587" i="50"/>
  <c r="D269" i="50"/>
  <c r="D819" i="50"/>
  <c r="D434" i="50"/>
  <c r="D152" i="50"/>
  <c r="D897" i="50"/>
  <c r="D664" i="50"/>
  <c r="D199" i="50"/>
  <c r="D974" i="50"/>
  <c r="D430" i="50"/>
  <c r="D1045" i="50"/>
  <c r="D883" i="50"/>
  <c r="D818" i="50"/>
  <c r="D717" i="50"/>
  <c r="D450" i="50"/>
  <c r="D472" i="50"/>
  <c r="D364" i="50"/>
  <c r="D781" i="50"/>
  <c r="D773" i="50"/>
  <c r="D498" i="50"/>
  <c r="D99" i="50"/>
  <c r="D845" i="50"/>
  <c r="D154" i="50"/>
  <c r="D353" i="50"/>
  <c r="D671" i="50"/>
  <c r="D1043" i="50"/>
  <c r="D219" i="50"/>
  <c r="D661" i="50"/>
  <c r="D529" i="50"/>
  <c r="D425" i="50"/>
  <c r="D6" i="50"/>
  <c r="D881" i="50"/>
  <c r="D857" i="50"/>
  <c r="D1019" i="50"/>
  <c r="D155" i="50"/>
  <c r="D203" i="50"/>
  <c r="D323" i="50"/>
  <c r="D141" i="50"/>
  <c r="D851" i="50"/>
  <c r="D698" i="50"/>
  <c r="D556" i="50"/>
  <c r="D507" i="50"/>
  <c r="D987" i="50"/>
  <c r="D815" i="50"/>
  <c r="D312" i="50"/>
  <c r="D436" i="50"/>
  <c r="D435" i="50"/>
  <c r="D438" i="50"/>
  <c r="D924" i="50"/>
  <c r="D733" i="50"/>
  <c r="D67" i="50"/>
  <c r="D106" i="50"/>
  <c r="D609" i="50"/>
  <c r="D177" i="50"/>
  <c r="D567" i="50"/>
  <c r="D694" i="50"/>
  <c r="D1027" i="50"/>
  <c r="D122" i="50"/>
  <c r="D140" i="50"/>
  <c r="D502" i="50"/>
  <c r="D68" i="50"/>
  <c r="D611" i="50"/>
  <c r="D183" i="50"/>
  <c r="D365" i="50"/>
  <c r="D960" i="50"/>
  <c r="D970" i="50"/>
  <c r="D25" i="50"/>
  <c r="D997" i="50"/>
  <c r="D868" i="50"/>
  <c r="D151" i="50"/>
  <c r="D163" i="50"/>
  <c r="D592" i="50"/>
  <c r="D907" i="50"/>
  <c r="D985" i="50"/>
  <c r="D754" i="50"/>
  <c r="D634" i="50"/>
  <c r="D260" i="50"/>
  <c r="D1002" i="50"/>
  <c r="D554" i="50"/>
  <c r="D120" i="50"/>
  <c r="D965" i="50"/>
  <c r="D16" i="50"/>
  <c r="D918" i="50"/>
  <c r="D187" i="50"/>
  <c r="D1078" i="50"/>
  <c r="D304" i="50"/>
  <c r="D297" i="50"/>
  <c r="D276" i="50"/>
  <c r="D1028" i="50"/>
  <c r="D114" i="50"/>
  <c r="D1047" i="50"/>
  <c r="D917" i="50"/>
  <c r="D503" i="50"/>
  <c r="D497" i="50"/>
  <c r="D226" i="50"/>
  <c r="D347" i="50"/>
  <c r="D729" i="50"/>
  <c r="D483" i="50"/>
  <c r="D691" i="50"/>
  <c r="D298" i="50"/>
  <c r="D539" i="50"/>
  <c r="D782" i="50"/>
  <c r="D398" i="50"/>
  <c r="D1077" i="50"/>
  <c r="D1016" i="50"/>
  <c r="D640" i="50"/>
  <c r="D492" i="50"/>
  <c r="D888" i="50"/>
  <c r="D42" i="50"/>
  <c r="D10" i="50"/>
  <c r="D603" i="50"/>
  <c r="D825" i="50"/>
  <c r="D597" i="50"/>
  <c r="D1049" i="50"/>
  <c r="D925" i="50"/>
  <c r="D18" i="50"/>
  <c r="D775" i="50"/>
  <c r="D138" i="50"/>
  <c r="D968" i="50"/>
  <c r="D437" i="50"/>
  <c r="D626" i="50"/>
  <c r="D826" i="50"/>
  <c r="D690" i="50"/>
  <c r="D989" i="50"/>
  <c r="D368" i="50"/>
  <c r="D884" i="50"/>
  <c r="D209" i="50"/>
  <c r="D911" i="50"/>
  <c r="D3" i="50"/>
  <c r="D394" i="50"/>
  <c r="D636" i="50"/>
  <c r="D477" i="50"/>
  <c r="D19" i="50"/>
  <c r="D34" i="50"/>
  <c r="D747" i="50"/>
  <c r="D370" i="50"/>
  <c r="D90" i="50"/>
  <c r="D509" i="50"/>
  <c r="D682" i="50"/>
  <c r="D330" i="50"/>
  <c r="D741" i="50"/>
  <c r="D914" i="50"/>
  <c r="D900" i="50"/>
  <c r="D943" i="50"/>
  <c r="D60" i="50"/>
  <c r="D613" i="50"/>
  <c r="D1080" i="50"/>
  <c r="D422" i="50"/>
  <c r="D113" i="50"/>
  <c r="D977" i="50"/>
  <c r="D630" i="50"/>
  <c r="D167" i="50"/>
  <c r="D319" i="50"/>
  <c r="D800" i="50"/>
  <c r="D526" i="50"/>
  <c r="D427" i="50"/>
  <c r="D294" i="50"/>
  <c r="D844" i="50"/>
  <c r="D608" i="50"/>
  <c r="D994" i="50"/>
  <c r="D928" i="50"/>
  <c r="D784" i="50"/>
  <c r="D38" i="50"/>
  <c r="D563" i="50"/>
  <c r="D133" i="50"/>
  <c r="D712" i="50"/>
  <c r="D793" i="50"/>
  <c r="D711" i="50"/>
  <c r="D270" i="50"/>
  <c r="D261" i="50"/>
  <c r="D655" i="50"/>
  <c r="D1061" i="50"/>
  <c r="D574" i="50"/>
  <c r="D625" i="50"/>
  <c r="D493" i="50"/>
  <c r="D550" i="50"/>
  <c r="D860" i="50"/>
  <c r="D524" i="50"/>
  <c r="D489" i="50"/>
  <c r="D247" i="50"/>
  <c r="D157" i="50"/>
  <c r="D390" i="50"/>
  <c r="D631" i="50"/>
  <c r="D164" i="50"/>
  <c r="D458" i="50"/>
  <c r="D322" i="50"/>
  <c r="D552" i="50"/>
  <c r="D891" i="50"/>
  <c r="D538" i="50"/>
  <c r="D476" i="50"/>
  <c r="D564" i="50"/>
  <c r="D257" i="50"/>
  <c r="D739" i="50"/>
  <c r="D880" i="50"/>
  <c r="D531" i="50"/>
  <c r="D242" i="50"/>
  <c r="D1029" i="50"/>
  <c r="D676" i="50"/>
  <c r="D982" i="50"/>
  <c r="D416" i="50"/>
  <c r="D129" i="50"/>
  <c r="D774" i="50"/>
  <c r="D313" i="50"/>
  <c r="D912" i="50"/>
  <c r="D719" i="50"/>
  <c r="D335" i="50"/>
  <c r="D100" i="50"/>
  <c r="D776" i="50"/>
  <c r="D139" i="50"/>
  <c r="D431" i="50"/>
  <c r="D334" i="50"/>
  <c r="D939" i="50"/>
  <c r="D744" i="50"/>
  <c r="D380" i="50"/>
  <c r="D204" i="50"/>
  <c r="D761" i="50"/>
  <c r="D913" i="50"/>
  <c r="D262" i="50"/>
  <c r="D233" i="50"/>
  <c r="D955" i="50"/>
  <c r="D180" i="50"/>
  <c r="D999" i="50"/>
  <c r="D1064" i="50"/>
  <c r="D686" i="50"/>
  <c r="D169" i="50"/>
  <c r="D115" i="50"/>
  <c r="D777" i="50"/>
  <c r="D393" i="50"/>
  <c r="D647" i="50"/>
  <c r="D704" i="50"/>
  <c r="D210" i="50"/>
  <c r="D1081" i="50"/>
  <c r="D176" i="50"/>
  <c r="D599" i="50"/>
  <c r="D992" i="50"/>
  <c r="D923" i="50"/>
  <c r="D1015" i="50"/>
  <c r="D737" i="50"/>
  <c r="D449" i="50"/>
  <c r="D514" i="50"/>
  <c r="D548" i="50"/>
  <c r="D836" i="50"/>
  <c r="D583" i="50"/>
  <c r="D85" i="50"/>
  <c r="D212" i="50"/>
  <c r="D1066" i="50"/>
  <c r="D689" i="50"/>
  <c r="D803" i="50"/>
  <c r="D227" i="50"/>
  <c r="D94" i="50"/>
  <c r="D606" i="50"/>
  <c r="D638" i="50"/>
  <c r="D366" i="50"/>
  <c r="D402" i="50"/>
  <c r="D377" i="50"/>
  <c r="D12" i="50"/>
  <c r="D465" i="50"/>
  <c r="D332" i="50"/>
  <c r="D1046" i="50"/>
  <c r="D65" i="50"/>
  <c r="D848" i="50"/>
  <c r="D499" i="50"/>
  <c r="D915" i="50"/>
  <c r="D117" i="50"/>
  <c r="D762" i="50"/>
  <c r="D367" i="50"/>
  <c r="D1073" i="50"/>
  <c r="D591" i="50"/>
  <c r="D395" i="50"/>
  <c r="D58" i="50"/>
  <c r="D382" i="50"/>
  <c r="D5" i="50"/>
  <c r="D454" i="50"/>
  <c r="D267" i="50"/>
  <c r="D941" i="50"/>
  <c r="D794" i="50"/>
  <c r="D1011" i="50"/>
  <c r="D727" i="50"/>
  <c r="D274" i="50"/>
  <c r="D555" i="50"/>
  <c r="D36" i="50"/>
  <c r="D1026" i="50"/>
  <c r="D146" i="50"/>
  <c r="D799" i="50"/>
  <c r="D341" i="50"/>
  <c r="D40" i="50"/>
  <c r="D685" i="50"/>
  <c r="D216" i="50"/>
  <c r="D1004" i="50"/>
  <c r="D811" i="50"/>
  <c r="D1090" i="50"/>
  <c r="D320" i="50"/>
  <c r="D605" i="50"/>
  <c r="D1075" i="50"/>
  <c r="D277" i="50"/>
  <c r="D821" i="50"/>
  <c r="D540" i="50"/>
  <c r="D142" i="50"/>
  <c r="D893" i="50"/>
  <c r="D308" i="50"/>
  <c r="D482" i="50"/>
  <c r="D875" i="50"/>
  <c r="D118" i="50"/>
  <c r="D710" i="50"/>
  <c r="D1065" i="50"/>
  <c r="D547" i="50"/>
  <c r="D573" i="50"/>
  <c r="D708" i="50"/>
  <c r="D584" i="50"/>
  <c r="D575" i="50"/>
  <c r="D238" i="50"/>
  <c r="D527" i="50"/>
  <c r="D870" i="50"/>
  <c r="D22" i="50"/>
  <c r="D168" i="50"/>
  <c r="D810" i="50"/>
  <c r="D909" i="50"/>
  <c r="D350" i="50"/>
  <c r="D131" i="50"/>
  <c r="D525" i="50"/>
  <c r="D743" i="50"/>
  <c r="D702" i="50"/>
  <c r="D77" i="50"/>
  <c r="D190" i="50"/>
  <c r="D920" i="50"/>
  <c r="D481" i="50"/>
  <c r="D653" i="50"/>
  <c r="D804" i="50"/>
  <c r="D801" i="50"/>
  <c r="D95" i="50"/>
  <c r="D45" i="50"/>
  <c r="D765" i="50"/>
  <c r="D211" i="50"/>
  <c r="D194" i="50"/>
  <c r="D1025" i="50"/>
  <c r="D46" i="50"/>
  <c r="D1024" i="50"/>
  <c r="D56" i="50"/>
  <c r="D663" i="50"/>
  <c r="D174" i="50"/>
  <c r="D1033" i="50"/>
  <c r="D1044" i="50"/>
  <c r="D109" i="50"/>
  <c r="D27" i="50"/>
  <c r="D124" i="50"/>
  <c r="D623" i="50"/>
  <c r="D66" i="50"/>
  <c r="D460" i="50"/>
  <c r="D882" i="50"/>
  <c r="D646" i="50"/>
  <c r="D49" i="50"/>
  <c r="D251" i="50"/>
  <c r="D189" i="50"/>
  <c r="D594" i="50"/>
  <c r="D1040" i="50"/>
  <c r="D37" i="50"/>
  <c r="D162" i="50"/>
  <c r="D369" i="50"/>
  <c r="D642" i="50"/>
  <c r="D202" i="50"/>
  <c r="D969" i="50"/>
  <c r="D263" i="50"/>
  <c r="D237" i="50"/>
  <c r="D643" i="50"/>
  <c r="D692" i="50"/>
  <c r="D192" i="50"/>
  <c r="D248" i="50"/>
  <c r="D405" i="50"/>
  <c r="D1052" i="50"/>
  <c r="D440" i="50"/>
  <c r="D1056" i="50"/>
  <c r="D878" i="50"/>
  <c r="D280" i="50"/>
  <c r="D624" i="50"/>
  <c r="D935" i="50"/>
  <c r="D565" i="50"/>
  <c r="D28" i="50"/>
  <c r="D413" i="50"/>
  <c r="D348" i="50"/>
  <c r="D160" i="50"/>
  <c r="D467" i="50"/>
  <c r="D1087" i="50"/>
  <c r="D1050" i="50"/>
  <c r="D1012" i="50"/>
  <c r="D877" i="50"/>
  <c r="D780" i="50"/>
  <c r="D562" i="50"/>
  <c r="D92" i="50"/>
  <c r="D110" i="50"/>
  <c r="D1042" i="50"/>
  <c r="D731" i="50"/>
  <c r="D1022" i="50"/>
  <c r="D746" i="50"/>
  <c r="D892" i="50"/>
  <c r="D1057" i="50"/>
  <c r="D373" i="50"/>
  <c r="D937" i="50"/>
  <c r="D232" i="50"/>
  <c r="D1053" i="50"/>
  <c r="D766" i="50"/>
  <c r="D948" i="50"/>
  <c r="D511" i="50"/>
  <c r="D695" i="50"/>
  <c r="D207" i="50"/>
  <c r="D111" i="50"/>
  <c r="D291" i="50"/>
  <c r="D379" i="50"/>
  <c r="D795" i="50"/>
  <c r="D684" i="50"/>
  <c r="D205" i="50"/>
  <c r="D1084" i="50"/>
  <c r="D580" i="50"/>
  <c r="D789" i="50"/>
  <c r="D755" i="50"/>
  <c r="D842" i="50"/>
  <c r="D582" i="50"/>
  <c r="D962" i="50"/>
  <c r="D35" i="50"/>
  <c r="D480" i="50"/>
  <c r="D462" i="50"/>
  <c r="D287" i="50"/>
  <c r="D235" i="50"/>
  <c r="D628" i="50"/>
  <c r="D420" i="50"/>
  <c r="D421" i="50"/>
  <c r="D735" i="50"/>
  <c r="D13" i="50"/>
  <c r="D1079" i="50"/>
  <c r="D906" i="50"/>
  <c r="D134" i="50"/>
  <c r="D433" i="50"/>
  <c r="D407" i="50"/>
  <c r="D904" i="50"/>
  <c r="D822" i="50"/>
  <c r="D246" i="50"/>
  <c r="D119" i="50"/>
  <c r="D505" i="50"/>
  <c r="D1055" i="50"/>
  <c r="D26" i="50"/>
  <c r="D709" i="50"/>
  <c r="D886" i="50"/>
  <c r="D581" i="50"/>
  <c r="D338" i="50"/>
  <c r="D772" i="50"/>
  <c r="D929" i="50"/>
  <c r="D349" i="50"/>
  <c r="D293" i="50"/>
  <c r="D1051" i="50"/>
  <c r="D317" i="50"/>
  <c r="D445" i="50"/>
  <c r="D1083" i="50"/>
  <c r="D61" i="50"/>
  <c r="D566" i="50"/>
  <c r="D894" i="50"/>
  <c r="D645" i="50"/>
  <c r="D885" i="50"/>
  <c r="D116" i="50"/>
  <c r="D1085" i="50"/>
  <c r="D453" i="50"/>
  <c r="D660" i="50"/>
  <c r="D722" i="50"/>
  <c r="D595" i="50"/>
  <c r="D668" i="50"/>
  <c r="D243" i="50"/>
  <c r="D919" i="50"/>
  <c r="D193" i="50"/>
  <c r="D618" i="50"/>
  <c r="D954" i="50"/>
  <c r="D87" i="50"/>
  <c r="D357" i="50"/>
  <c r="D1035" i="50"/>
  <c r="D899" i="50"/>
  <c r="D306" i="50"/>
  <c r="D327" i="50"/>
  <c r="D903" i="50"/>
  <c r="D1014" i="50"/>
  <c r="D1054" i="50"/>
  <c r="D946" i="50"/>
  <c r="D758" i="50"/>
  <c r="D1091" i="50"/>
  <c r="D7" i="50"/>
  <c r="D286" i="50"/>
  <c r="D528" i="50"/>
  <c r="D321" i="50"/>
  <c r="D621" i="50"/>
  <c r="D136" i="50"/>
  <c r="D153" i="50"/>
  <c r="D674" i="50"/>
  <c r="D282" i="50"/>
  <c r="D342" i="50"/>
  <c r="D385" i="50"/>
  <c r="D706" i="50"/>
  <c r="D738" i="50"/>
  <c r="D519" i="50"/>
  <c r="D1018" i="50"/>
  <c r="D678" i="50"/>
  <c r="D869" i="50"/>
  <c r="D186" i="50"/>
  <c r="D769" i="50"/>
  <c r="D299" i="50"/>
  <c r="D688" i="50"/>
  <c r="D865" i="50"/>
  <c r="D356" i="50"/>
  <c r="D559" i="50"/>
  <c r="D24" i="50"/>
  <c r="D859" i="50"/>
  <c r="D764" i="50"/>
  <c r="D20" i="50"/>
  <c r="D325" i="50"/>
  <c r="D455" i="50"/>
  <c r="D1006" i="50"/>
  <c r="D249" i="50"/>
  <c r="D596" i="50"/>
  <c r="D31" i="50"/>
  <c r="D225" i="50"/>
  <c r="D428" i="50"/>
  <c r="D161" i="50"/>
  <c r="D979" i="50"/>
  <c r="D681" i="50"/>
  <c r="D838" i="50"/>
  <c r="D496" i="50"/>
  <c r="D866" i="50"/>
  <c r="D127" i="50"/>
  <c r="D302" i="50"/>
  <c r="D491" i="50"/>
  <c r="D1092" i="50"/>
  <c r="D105" i="50"/>
  <c r="D228" i="50"/>
  <c r="D137" i="50"/>
  <c r="D742" i="50"/>
  <c r="D374" i="50"/>
  <c r="D568" i="50"/>
  <c r="D790" i="50"/>
  <c r="D791" i="50"/>
  <c r="D871" i="50"/>
  <c r="D620" i="50"/>
  <c r="D569" i="50"/>
  <c r="D372" i="50"/>
  <c r="D429" i="50"/>
  <c r="D419" i="50"/>
  <c r="D553" i="50"/>
  <c r="D520" i="50"/>
  <c r="D500" i="50"/>
  <c r="D166" i="50"/>
  <c r="D680" i="50"/>
  <c r="D966" i="50"/>
  <c r="D879" i="50"/>
  <c r="D995" i="50"/>
  <c r="D15" i="50"/>
  <c r="D414" i="50"/>
  <c r="D947" i="50"/>
  <c r="D752" i="50"/>
  <c r="D707" i="50"/>
  <c r="D770" i="50"/>
  <c r="D701" i="50"/>
  <c r="D627" i="50"/>
  <c r="D391" i="50"/>
  <c r="D1072" i="50"/>
  <c r="D887" i="50"/>
  <c r="D975" i="50"/>
  <c r="D447" i="50"/>
  <c r="D523" i="50"/>
  <c r="D53" i="50"/>
  <c r="D198" i="50"/>
  <c r="D104" i="50"/>
  <c r="D148" i="50"/>
  <c r="D41" i="50"/>
  <c r="D807" i="50"/>
  <c r="D837" i="50"/>
  <c r="D990" i="50"/>
  <c r="D285" i="50"/>
  <c r="D535" i="50"/>
  <c r="D1020" i="50"/>
  <c r="D814" i="50"/>
  <c r="D486" i="50"/>
  <c r="D991" i="50"/>
  <c r="D83" i="50"/>
  <c r="D224" i="50"/>
  <c r="D534" i="50"/>
  <c r="D734" i="50"/>
  <c r="D633" i="50"/>
  <c r="D221" i="50"/>
  <c r="D170" i="50"/>
  <c r="D1032" i="50"/>
  <c r="D289" i="50"/>
  <c r="D278" i="50"/>
  <c r="D485" i="50"/>
  <c r="D1048" i="50"/>
  <c r="D258" i="50"/>
  <c r="D901" i="50"/>
  <c r="D988" i="50"/>
  <c r="D426" i="50"/>
  <c r="D73" i="50"/>
  <c r="D396" i="50"/>
  <c r="D513" i="50"/>
  <c r="D130" i="50"/>
  <c r="D223" i="50"/>
  <c r="D360" i="50"/>
  <c r="D1059" i="50"/>
  <c r="D63" i="50"/>
  <c r="D181" i="50"/>
  <c r="D635" i="50"/>
  <c r="D834" i="50"/>
  <c r="D381" i="50"/>
  <c r="D588" i="50"/>
  <c r="D927" i="50"/>
  <c r="D165" i="50"/>
  <c r="D1031" i="50"/>
  <c r="D926" i="50"/>
  <c r="D951" i="50"/>
  <c r="D796" i="50"/>
  <c r="D683" i="50"/>
  <c r="D843" i="50"/>
  <c r="D240" i="50"/>
  <c r="D253" i="50"/>
  <c r="D730" i="50"/>
  <c r="D812" i="50"/>
  <c r="D1086" i="50"/>
  <c r="D71" i="50"/>
  <c r="D39" i="50"/>
  <c r="D331" i="50"/>
  <c r="D931" i="50"/>
  <c r="D494" i="50"/>
  <c r="D14" i="50"/>
  <c r="D1089" i="50"/>
  <c r="D753" i="50"/>
  <c r="D551" i="50"/>
  <c r="D386" i="50"/>
  <c r="D400" i="50"/>
  <c r="D632" i="50"/>
  <c r="D978" i="50"/>
  <c r="D760" i="50"/>
  <c r="D55" i="50"/>
  <c r="D847" i="50"/>
  <c r="D839" i="50"/>
  <c r="D51" i="50"/>
  <c r="D184" i="50"/>
  <c r="D150" i="50"/>
  <c r="D908" i="50"/>
  <c r="D956" i="50"/>
  <c r="D501" i="50"/>
  <c r="AB1001" i="32"/>
  <c r="AB1002" i="32" s="1"/>
  <c r="AB141" i="32"/>
  <c r="AB142" i="32" s="1"/>
  <c r="AB1016" i="32"/>
  <c r="AB1017" i="32" s="1"/>
  <c r="AB288" i="32"/>
  <c r="AB460" i="32"/>
  <c r="AB461" i="32" s="1"/>
  <c r="AB259" i="32"/>
  <c r="AB260" i="32" s="1"/>
  <c r="AB210" i="32"/>
  <c r="AB211" i="32" s="1"/>
  <c r="AB677" i="32"/>
  <c r="AB450" i="32"/>
  <c r="AB451" i="32" s="1"/>
  <c r="AB452" i="32" s="1"/>
  <c r="AB168" i="32"/>
  <c r="AB697" i="32"/>
  <c r="AB198" i="32"/>
  <c r="AB199" i="32" s="1"/>
  <c r="AB200" i="32" s="1"/>
  <c r="AB470" i="32"/>
  <c r="AB471" i="32" s="1"/>
  <c r="AB112" i="32"/>
  <c r="AB650" i="32"/>
  <c r="AB651" i="32" s="1"/>
  <c r="AB652" i="32" s="1"/>
  <c r="AB558" i="32"/>
  <c r="AB559" i="32" s="1"/>
  <c r="AB1059" i="32"/>
  <c r="AB1060" i="32" s="1"/>
  <c r="AB1008" i="32"/>
  <c r="AB1009" i="32" s="1"/>
  <c r="AB489" i="32"/>
  <c r="AB490" i="32" s="1"/>
  <c r="AB937" i="32"/>
  <c r="AB938" i="32" s="1"/>
  <c r="AB820" i="32"/>
  <c r="AB821" i="32" s="1"/>
  <c r="AB1026" i="32"/>
  <c r="AB1027" i="32" s="1"/>
  <c r="AB1028" i="32" s="1"/>
  <c r="AB720" i="32"/>
  <c r="AB721" i="32" s="1"/>
  <c r="AB722" i="32" s="1"/>
  <c r="AB29" i="32"/>
  <c r="AB30" i="32" s="1"/>
  <c r="AB896" i="32"/>
  <c r="AB281" i="32"/>
  <c r="AB282" i="32" s="1"/>
  <c r="AB129" i="32"/>
  <c r="AB130" i="32" s="1"/>
  <c r="AB416" i="32"/>
  <c r="AB417" i="32" s="1"/>
  <c r="AB37" i="32"/>
  <c r="AB38" i="32" s="1"/>
  <c r="AB79" i="32"/>
  <c r="AB80" i="32" s="1"/>
  <c r="AB366" i="32"/>
  <c r="AB610" i="32"/>
  <c r="AB611" i="32" s="1"/>
  <c r="AB779" i="32"/>
  <c r="AB1037" i="32"/>
  <c r="AB987" i="32"/>
  <c r="AB319" i="32"/>
  <c r="AB569" i="32"/>
  <c r="AB326" i="32"/>
  <c r="AB327" i="32" s="1"/>
  <c r="AB88" i="32"/>
  <c r="AB981" i="32"/>
  <c r="AB982" i="32" s="1"/>
  <c r="AB1077" i="32"/>
  <c r="AB948" i="32"/>
  <c r="AB387" i="32"/>
  <c r="AB70" i="32"/>
  <c r="AB71" i="32" s="1"/>
  <c r="AB630" i="32"/>
  <c r="AB631" i="32" s="1"/>
  <c r="AB737" i="32"/>
  <c r="AB1051" i="32"/>
  <c r="AB1052" i="32" s="1"/>
  <c r="AB409" i="32"/>
  <c r="AB410" i="32" s="1"/>
  <c r="AB411" i="32" s="1"/>
  <c r="AB12" i="32"/>
  <c r="AB811" i="32"/>
  <c r="AB812" i="32" s="1"/>
  <c r="AB761" i="32"/>
  <c r="AB762" i="32" s="1"/>
  <c r="AB362" i="32"/>
  <c r="AB549" i="32"/>
  <c r="AB248" i="32"/>
  <c r="AB796" i="32"/>
  <c r="AB797" i="32" s="1"/>
  <c r="AB867" i="32"/>
  <c r="AB621" i="32" l="1"/>
  <c r="AB622" i="32" s="1"/>
  <c r="Q115" i="32"/>
  <c r="O115" i="32"/>
  <c r="AB877" i="32"/>
  <c r="Q10" i="51"/>
  <c r="Y11" i="51"/>
  <c r="U12" i="51" s="1"/>
  <c r="R24" i="32"/>
  <c r="AB47" i="32"/>
  <c r="AB48" i="32" s="1"/>
  <c r="Q24" i="32"/>
  <c r="AB689" i="32"/>
  <c r="AB830" i="32"/>
  <c r="AB831" i="32" s="1"/>
  <c r="AB832" i="32" s="1"/>
  <c r="AB840" i="32"/>
  <c r="AB841" i="32" s="1"/>
  <c r="AB749" i="32"/>
  <c r="AB750" i="32" s="1"/>
  <c r="AB751" i="32" s="1"/>
  <c r="AB752" i="32" s="1"/>
  <c r="AB192" i="32"/>
  <c r="AB61" i="32"/>
  <c r="AB62" i="32" s="1"/>
  <c r="AB540" i="32"/>
  <c r="AB541" i="32" s="1"/>
  <c r="AB542" i="32" s="1"/>
  <c r="AB21" i="32"/>
  <c r="AB22" i="32" s="1"/>
  <c r="AB1072" i="32"/>
  <c r="AB668" i="32"/>
  <c r="AB669" i="32" s="1"/>
  <c r="AB418" i="32"/>
  <c r="AB419" i="32" s="1"/>
  <c r="AB600" i="32"/>
  <c r="AB601" i="32" s="1"/>
  <c r="AB602" i="32" s="1"/>
  <c r="AB788" i="32"/>
  <c r="AB789" i="32" s="1"/>
  <c r="AB289" i="32"/>
  <c r="AB290" i="32" s="1"/>
  <c r="AB291" i="32" s="1"/>
  <c r="AB292" i="32" s="1"/>
  <c r="AB201" i="32"/>
  <c r="AB202" i="32" s="1"/>
  <c r="C150" i="50"/>
  <c r="H150" i="50"/>
  <c r="A150" i="50"/>
  <c r="F150" i="50"/>
  <c r="E150" i="50"/>
  <c r="G150" i="50"/>
  <c r="I150" i="50"/>
  <c r="B150" i="50"/>
  <c r="C632" i="50"/>
  <c r="H632" i="50"/>
  <c r="B632" i="50"/>
  <c r="F632" i="50"/>
  <c r="G632" i="50"/>
  <c r="I632" i="50"/>
  <c r="A632" i="50"/>
  <c r="E632" i="50"/>
  <c r="H931" i="50"/>
  <c r="A931" i="50"/>
  <c r="G931" i="50"/>
  <c r="C931" i="50"/>
  <c r="I931" i="50"/>
  <c r="B931" i="50"/>
  <c r="E931" i="50"/>
  <c r="F931" i="50"/>
  <c r="A240" i="50"/>
  <c r="E240" i="50"/>
  <c r="I240" i="50"/>
  <c r="C240" i="50"/>
  <c r="H240" i="50"/>
  <c r="F240" i="50"/>
  <c r="G240" i="50"/>
  <c r="B240" i="50"/>
  <c r="G927" i="50"/>
  <c r="E927" i="50"/>
  <c r="F927" i="50"/>
  <c r="B927" i="50"/>
  <c r="H927" i="50"/>
  <c r="I927" i="50"/>
  <c r="A927" i="50"/>
  <c r="C927" i="50"/>
  <c r="F360" i="50"/>
  <c r="B360" i="50"/>
  <c r="C360" i="50"/>
  <c r="G360" i="50"/>
  <c r="E360" i="50"/>
  <c r="H360" i="50"/>
  <c r="A360" i="50"/>
  <c r="I360" i="50"/>
  <c r="H901" i="50"/>
  <c r="I901" i="50"/>
  <c r="C901" i="50"/>
  <c r="B901" i="50"/>
  <c r="A901" i="50"/>
  <c r="E901" i="50"/>
  <c r="G901" i="50"/>
  <c r="F901" i="50"/>
  <c r="H221" i="50"/>
  <c r="C221" i="50"/>
  <c r="F221" i="50"/>
  <c r="E221" i="50"/>
  <c r="A221" i="50"/>
  <c r="G221" i="50"/>
  <c r="I221" i="50"/>
  <c r="B221" i="50"/>
  <c r="C814" i="50"/>
  <c r="B814" i="50"/>
  <c r="F814" i="50"/>
  <c r="G814" i="50"/>
  <c r="E814" i="50"/>
  <c r="I814" i="50"/>
  <c r="H814" i="50"/>
  <c r="A814" i="50"/>
  <c r="F148" i="50"/>
  <c r="C148" i="50"/>
  <c r="G148" i="50"/>
  <c r="E148" i="50"/>
  <c r="H148" i="50"/>
  <c r="I148" i="50"/>
  <c r="A148" i="50"/>
  <c r="B148" i="50"/>
  <c r="I1072" i="50"/>
  <c r="G1072" i="50"/>
  <c r="C1072" i="50"/>
  <c r="B1072" i="50"/>
  <c r="H1072" i="50"/>
  <c r="A1072" i="50"/>
  <c r="F1072" i="50"/>
  <c r="E1072" i="50"/>
  <c r="E414" i="50"/>
  <c r="G414" i="50"/>
  <c r="F414" i="50"/>
  <c r="B414" i="50"/>
  <c r="H414" i="50"/>
  <c r="I414" i="50"/>
  <c r="C414" i="50"/>
  <c r="A414" i="50"/>
  <c r="B520" i="50"/>
  <c r="I520" i="50"/>
  <c r="C520" i="50"/>
  <c r="F520" i="50"/>
  <c r="H520" i="50"/>
  <c r="G520" i="50"/>
  <c r="E520" i="50"/>
  <c r="A520" i="50"/>
  <c r="F791" i="50"/>
  <c r="G791" i="50"/>
  <c r="B791" i="50"/>
  <c r="I791" i="50"/>
  <c r="C791" i="50"/>
  <c r="E791" i="50"/>
  <c r="A791" i="50"/>
  <c r="H791" i="50"/>
  <c r="C1092" i="50"/>
  <c r="G1092" i="50"/>
  <c r="H1092" i="50"/>
  <c r="B1092" i="50"/>
  <c r="I1092" i="50"/>
  <c r="F1092" i="50"/>
  <c r="E1092" i="50"/>
  <c r="A1092" i="50"/>
  <c r="I979" i="50"/>
  <c r="F979" i="50"/>
  <c r="H979" i="50"/>
  <c r="A979" i="50"/>
  <c r="G979" i="50"/>
  <c r="B979" i="50"/>
  <c r="E979" i="50"/>
  <c r="C979" i="50"/>
  <c r="I455" i="50"/>
  <c r="B455" i="50"/>
  <c r="E455" i="50"/>
  <c r="A455" i="50"/>
  <c r="C455" i="50"/>
  <c r="F455" i="50"/>
  <c r="H455" i="50"/>
  <c r="G455" i="50"/>
  <c r="B865" i="50"/>
  <c r="F865" i="50"/>
  <c r="H865" i="50"/>
  <c r="C865" i="50"/>
  <c r="I865" i="50"/>
  <c r="G865" i="50"/>
  <c r="A865" i="50"/>
  <c r="E865" i="50"/>
  <c r="A519" i="50"/>
  <c r="F519" i="50"/>
  <c r="E519" i="50"/>
  <c r="B519" i="50"/>
  <c r="H519" i="50"/>
  <c r="I519" i="50"/>
  <c r="C519" i="50"/>
  <c r="G519" i="50"/>
  <c r="H136" i="50"/>
  <c r="I136" i="50"/>
  <c r="B136" i="50"/>
  <c r="C136" i="50"/>
  <c r="G136" i="50"/>
  <c r="A136" i="50"/>
  <c r="E136" i="50"/>
  <c r="F136" i="50"/>
  <c r="I946" i="50"/>
  <c r="A946" i="50"/>
  <c r="B946" i="50"/>
  <c r="G946" i="50"/>
  <c r="E946" i="50"/>
  <c r="F946" i="50"/>
  <c r="H946" i="50"/>
  <c r="C946" i="50"/>
  <c r="E357" i="50"/>
  <c r="C357" i="50"/>
  <c r="I357" i="50"/>
  <c r="H357" i="50"/>
  <c r="F357" i="50"/>
  <c r="A357" i="50"/>
  <c r="G357" i="50"/>
  <c r="B357" i="50"/>
  <c r="H595" i="50"/>
  <c r="A595" i="50"/>
  <c r="I595" i="50"/>
  <c r="F595" i="50"/>
  <c r="E595" i="50"/>
  <c r="G595" i="50"/>
  <c r="B595" i="50"/>
  <c r="C595" i="50"/>
  <c r="I894" i="50"/>
  <c r="G894" i="50"/>
  <c r="H894" i="50"/>
  <c r="A894" i="50"/>
  <c r="E894" i="50"/>
  <c r="F894" i="50"/>
  <c r="B894" i="50"/>
  <c r="C894" i="50"/>
  <c r="I349" i="50"/>
  <c r="B349" i="50"/>
  <c r="H349" i="50"/>
  <c r="G349" i="50"/>
  <c r="A349" i="50"/>
  <c r="E349" i="50"/>
  <c r="C349" i="50"/>
  <c r="F349" i="50"/>
  <c r="E1055" i="50"/>
  <c r="C1055" i="50"/>
  <c r="I1055" i="50"/>
  <c r="A1055" i="50"/>
  <c r="H1055" i="50"/>
  <c r="G1055" i="50"/>
  <c r="F1055" i="50"/>
  <c r="B1055" i="50"/>
  <c r="A134" i="50"/>
  <c r="C134" i="50"/>
  <c r="E134" i="50"/>
  <c r="G134" i="50"/>
  <c r="H134" i="50"/>
  <c r="B134" i="50"/>
  <c r="F134" i="50"/>
  <c r="I134" i="50"/>
  <c r="I235" i="50"/>
  <c r="C235" i="50"/>
  <c r="F235" i="50"/>
  <c r="H235" i="50"/>
  <c r="A235" i="50"/>
  <c r="G235" i="50"/>
  <c r="E235" i="50"/>
  <c r="B235" i="50"/>
  <c r="I755" i="50"/>
  <c r="G755" i="50"/>
  <c r="E755" i="50"/>
  <c r="B755" i="50"/>
  <c r="F755" i="50"/>
  <c r="H755" i="50"/>
  <c r="A755" i="50"/>
  <c r="C755" i="50"/>
  <c r="A291" i="50"/>
  <c r="G291" i="50"/>
  <c r="E291" i="50"/>
  <c r="F291" i="50"/>
  <c r="I291" i="50"/>
  <c r="H291" i="50"/>
  <c r="C291" i="50"/>
  <c r="B291" i="50"/>
  <c r="B232" i="50"/>
  <c r="E232" i="50"/>
  <c r="H232" i="50"/>
  <c r="I232" i="50"/>
  <c r="A232" i="50"/>
  <c r="C232" i="50"/>
  <c r="F232" i="50"/>
  <c r="G232" i="50"/>
  <c r="G1042" i="50"/>
  <c r="F1042" i="50"/>
  <c r="C1042" i="50"/>
  <c r="B1042" i="50"/>
  <c r="A1042" i="50"/>
  <c r="H1042" i="50"/>
  <c r="E1042" i="50"/>
  <c r="I1042" i="50"/>
  <c r="E1087" i="50"/>
  <c r="C1087" i="50"/>
  <c r="A1087" i="50"/>
  <c r="H1087" i="50"/>
  <c r="B1087" i="50"/>
  <c r="F1087" i="50"/>
  <c r="I1087" i="50"/>
  <c r="G1087" i="50"/>
  <c r="A624" i="50"/>
  <c r="B624" i="50"/>
  <c r="I624" i="50"/>
  <c r="G624" i="50"/>
  <c r="F624" i="50"/>
  <c r="E624" i="50"/>
  <c r="H624" i="50"/>
  <c r="C624" i="50"/>
  <c r="E192" i="50"/>
  <c r="G192" i="50"/>
  <c r="C192" i="50"/>
  <c r="F192" i="50"/>
  <c r="A192" i="50"/>
  <c r="H192" i="50"/>
  <c r="I192" i="50"/>
  <c r="B192" i="50"/>
  <c r="G369" i="50"/>
  <c r="I369" i="50"/>
  <c r="C369" i="50"/>
  <c r="B369" i="50"/>
  <c r="H369" i="50"/>
  <c r="E369" i="50"/>
  <c r="F369" i="50"/>
  <c r="A369" i="50"/>
  <c r="F646" i="50"/>
  <c r="H646" i="50"/>
  <c r="I646" i="50"/>
  <c r="B646" i="50"/>
  <c r="G646" i="50"/>
  <c r="C646" i="50"/>
  <c r="E646" i="50"/>
  <c r="A646" i="50"/>
  <c r="B1044" i="50"/>
  <c r="I1044" i="50"/>
  <c r="C1044" i="50"/>
  <c r="E1044" i="50"/>
  <c r="F1044" i="50"/>
  <c r="H1044" i="50"/>
  <c r="A1044" i="50"/>
  <c r="G1044" i="50"/>
  <c r="C194" i="50"/>
  <c r="H194" i="50"/>
  <c r="E194" i="50"/>
  <c r="I194" i="50"/>
  <c r="G194" i="50"/>
  <c r="B194" i="50"/>
  <c r="F194" i="50"/>
  <c r="A194" i="50"/>
  <c r="H481" i="50"/>
  <c r="C481" i="50"/>
  <c r="E481" i="50"/>
  <c r="A481" i="50"/>
  <c r="F481" i="50"/>
  <c r="G481" i="50"/>
  <c r="B481" i="50"/>
  <c r="I481" i="50"/>
  <c r="C350" i="50"/>
  <c r="H350" i="50"/>
  <c r="I350" i="50"/>
  <c r="G350" i="50"/>
  <c r="E350" i="50"/>
  <c r="A350" i="50"/>
  <c r="F350" i="50"/>
  <c r="B350" i="50"/>
  <c r="F575" i="50"/>
  <c r="B575" i="50"/>
  <c r="E575" i="50"/>
  <c r="G575" i="50"/>
  <c r="A575" i="50"/>
  <c r="I575" i="50"/>
  <c r="C575" i="50"/>
  <c r="H575" i="50"/>
  <c r="C875" i="50"/>
  <c r="F875" i="50"/>
  <c r="I875" i="50"/>
  <c r="G875" i="50"/>
  <c r="B875" i="50"/>
  <c r="A875" i="50"/>
  <c r="H875" i="50"/>
  <c r="E875" i="50"/>
  <c r="E1075" i="50"/>
  <c r="C1075" i="50"/>
  <c r="B1075" i="50"/>
  <c r="H1075" i="50"/>
  <c r="A1075" i="50"/>
  <c r="G1075" i="50"/>
  <c r="I1075" i="50"/>
  <c r="F1075" i="50"/>
  <c r="F40" i="50"/>
  <c r="I40" i="50"/>
  <c r="A40" i="50"/>
  <c r="G40" i="50"/>
  <c r="H40" i="50"/>
  <c r="B40" i="50"/>
  <c r="E40" i="50"/>
  <c r="C40" i="50"/>
  <c r="A727" i="50"/>
  <c r="B727" i="50"/>
  <c r="G727" i="50"/>
  <c r="C727" i="50"/>
  <c r="I727" i="50"/>
  <c r="E727" i="50"/>
  <c r="F727" i="50"/>
  <c r="H727" i="50"/>
  <c r="E58" i="50"/>
  <c r="C58" i="50"/>
  <c r="G58" i="50"/>
  <c r="F58" i="50"/>
  <c r="B58" i="50"/>
  <c r="A58" i="50"/>
  <c r="I58" i="50"/>
  <c r="H58" i="50"/>
  <c r="C499" i="50"/>
  <c r="E499" i="50"/>
  <c r="G499" i="50"/>
  <c r="F499" i="50"/>
  <c r="A499" i="50"/>
  <c r="H499" i="50"/>
  <c r="I499" i="50"/>
  <c r="B499" i="50"/>
  <c r="G402" i="50"/>
  <c r="A402" i="50"/>
  <c r="F402" i="50"/>
  <c r="E402" i="50"/>
  <c r="H402" i="50"/>
  <c r="B402" i="50"/>
  <c r="I402" i="50"/>
  <c r="C402" i="50"/>
  <c r="F1066" i="50"/>
  <c r="B1066" i="50"/>
  <c r="G1066" i="50"/>
  <c r="I1066" i="50"/>
  <c r="H1066" i="50"/>
  <c r="A1066" i="50"/>
  <c r="E1066" i="50"/>
  <c r="C1066" i="50"/>
  <c r="A737" i="50"/>
  <c r="E737" i="50"/>
  <c r="F737" i="50"/>
  <c r="B737" i="50"/>
  <c r="G737" i="50"/>
  <c r="H737" i="50"/>
  <c r="C737" i="50"/>
  <c r="I737" i="50"/>
  <c r="C704" i="50"/>
  <c r="F704" i="50"/>
  <c r="A704" i="50"/>
  <c r="G704" i="50"/>
  <c r="H704" i="50"/>
  <c r="B704" i="50"/>
  <c r="I704" i="50"/>
  <c r="E704" i="50"/>
  <c r="E999" i="50"/>
  <c r="F999" i="50"/>
  <c r="I999" i="50"/>
  <c r="C999" i="50"/>
  <c r="A999" i="50"/>
  <c r="B999" i="50"/>
  <c r="H999" i="50"/>
  <c r="G999" i="50"/>
  <c r="E380" i="50"/>
  <c r="B380" i="50"/>
  <c r="A380" i="50"/>
  <c r="F380" i="50"/>
  <c r="I380" i="50"/>
  <c r="C380" i="50"/>
  <c r="G380" i="50"/>
  <c r="H380" i="50"/>
  <c r="I335" i="50"/>
  <c r="F335" i="50"/>
  <c r="B335" i="50"/>
  <c r="G335" i="50"/>
  <c r="E335" i="50"/>
  <c r="A335" i="50"/>
  <c r="C335" i="50"/>
  <c r="H335" i="50"/>
  <c r="H676" i="50"/>
  <c r="I676" i="50"/>
  <c r="G676" i="50"/>
  <c r="C676" i="50"/>
  <c r="B676" i="50"/>
  <c r="E676" i="50"/>
  <c r="F676" i="50"/>
  <c r="A676" i="50"/>
  <c r="A476" i="50"/>
  <c r="C476" i="50"/>
  <c r="H476" i="50"/>
  <c r="G476" i="50"/>
  <c r="F476" i="50"/>
  <c r="B476" i="50"/>
  <c r="I476" i="50"/>
  <c r="E476" i="50"/>
  <c r="G390" i="50"/>
  <c r="A390" i="50"/>
  <c r="C390" i="50"/>
  <c r="F390" i="50"/>
  <c r="E390" i="50"/>
  <c r="I390" i="50"/>
  <c r="H390" i="50"/>
  <c r="B390" i="50"/>
  <c r="F625" i="50"/>
  <c r="I625" i="50"/>
  <c r="A625" i="50"/>
  <c r="G625" i="50"/>
  <c r="E625" i="50"/>
  <c r="B625" i="50"/>
  <c r="C625" i="50"/>
  <c r="H625" i="50"/>
  <c r="G712" i="50"/>
  <c r="H712" i="50"/>
  <c r="A712" i="50"/>
  <c r="F712" i="50"/>
  <c r="E712" i="50"/>
  <c r="I712" i="50"/>
  <c r="C712" i="50"/>
  <c r="B712" i="50"/>
  <c r="I844" i="50"/>
  <c r="E844" i="50"/>
  <c r="A844" i="50"/>
  <c r="C844" i="50"/>
  <c r="B844" i="50"/>
  <c r="G844" i="50"/>
  <c r="H844" i="50"/>
  <c r="F844" i="50"/>
  <c r="H977" i="50"/>
  <c r="G977" i="50"/>
  <c r="B977" i="50"/>
  <c r="A977" i="50"/>
  <c r="E977" i="50"/>
  <c r="I977" i="50"/>
  <c r="F977" i="50"/>
  <c r="C977" i="50"/>
  <c r="E914" i="50"/>
  <c r="B914" i="50"/>
  <c r="A914" i="50"/>
  <c r="C914" i="50"/>
  <c r="I914" i="50"/>
  <c r="F914" i="50"/>
  <c r="G914" i="50"/>
  <c r="H914" i="50"/>
  <c r="F34" i="50"/>
  <c r="E34" i="50"/>
  <c r="B34" i="50"/>
  <c r="H34" i="50"/>
  <c r="G34" i="50"/>
  <c r="C34" i="50"/>
  <c r="A34" i="50"/>
  <c r="I34" i="50"/>
  <c r="H884" i="50"/>
  <c r="I884" i="50"/>
  <c r="A884" i="50"/>
  <c r="E884" i="50"/>
  <c r="B884" i="50"/>
  <c r="C884" i="50"/>
  <c r="G884" i="50"/>
  <c r="F884" i="50"/>
  <c r="F138" i="50"/>
  <c r="A138" i="50"/>
  <c r="I138" i="50"/>
  <c r="H138" i="50"/>
  <c r="E138" i="50"/>
  <c r="C138" i="50"/>
  <c r="B138" i="50"/>
  <c r="G138" i="50"/>
  <c r="I10" i="50"/>
  <c r="G10" i="50"/>
  <c r="B10" i="50"/>
  <c r="A10" i="50"/>
  <c r="C10" i="50"/>
  <c r="E10" i="50"/>
  <c r="H10" i="50"/>
  <c r="F10" i="50"/>
  <c r="C782" i="50"/>
  <c r="B782" i="50"/>
  <c r="H782" i="50"/>
  <c r="A782" i="50"/>
  <c r="F782" i="50"/>
  <c r="I782" i="50"/>
  <c r="G782" i="50"/>
  <c r="E782" i="50"/>
  <c r="E497" i="50"/>
  <c r="G497" i="50"/>
  <c r="A497" i="50"/>
  <c r="I497" i="50"/>
  <c r="F497" i="50"/>
  <c r="C497" i="50"/>
  <c r="B497" i="50"/>
  <c r="H497" i="50"/>
  <c r="E304" i="50"/>
  <c r="I304" i="50"/>
  <c r="B304" i="50"/>
  <c r="C304" i="50"/>
  <c r="A304" i="50"/>
  <c r="H304" i="50"/>
  <c r="F304" i="50"/>
  <c r="G304" i="50"/>
  <c r="G1002" i="50"/>
  <c r="A1002" i="50"/>
  <c r="B1002" i="50"/>
  <c r="H1002" i="50"/>
  <c r="I1002" i="50"/>
  <c r="F1002" i="50"/>
  <c r="E1002" i="50"/>
  <c r="C1002" i="50"/>
  <c r="I151" i="50"/>
  <c r="F151" i="50"/>
  <c r="B151" i="50"/>
  <c r="H151" i="50"/>
  <c r="A151" i="50"/>
  <c r="C151" i="50"/>
  <c r="E151" i="50"/>
  <c r="G151" i="50"/>
  <c r="I611" i="50"/>
  <c r="C611" i="50"/>
  <c r="F611" i="50"/>
  <c r="H611" i="50"/>
  <c r="B611" i="50"/>
  <c r="G611" i="50"/>
  <c r="E611" i="50"/>
  <c r="A611" i="50"/>
  <c r="G177" i="50"/>
  <c r="E177" i="50"/>
  <c r="B177" i="50"/>
  <c r="F177" i="50"/>
  <c r="H177" i="50"/>
  <c r="C177" i="50"/>
  <c r="I177" i="50"/>
  <c r="A177" i="50"/>
  <c r="H436" i="50"/>
  <c r="F436" i="50"/>
  <c r="A436" i="50"/>
  <c r="C436" i="50"/>
  <c r="I436" i="50"/>
  <c r="E436" i="50"/>
  <c r="B436" i="50"/>
  <c r="G436" i="50"/>
  <c r="B141" i="50"/>
  <c r="G141" i="50"/>
  <c r="C141" i="50"/>
  <c r="I141" i="50"/>
  <c r="E141" i="50"/>
  <c r="H141" i="50"/>
  <c r="F141" i="50"/>
  <c r="A141" i="50"/>
  <c r="I425" i="50"/>
  <c r="C425" i="50"/>
  <c r="B425" i="50"/>
  <c r="G425" i="50"/>
  <c r="F425" i="50"/>
  <c r="A425" i="50"/>
  <c r="H425" i="50"/>
  <c r="E425" i="50"/>
  <c r="H845" i="50"/>
  <c r="G845" i="50"/>
  <c r="B845" i="50"/>
  <c r="E845" i="50"/>
  <c r="I845" i="50"/>
  <c r="C845" i="50"/>
  <c r="F845" i="50"/>
  <c r="A845" i="50"/>
  <c r="I717" i="50"/>
  <c r="A717" i="50"/>
  <c r="C717" i="50"/>
  <c r="B717" i="50"/>
  <c r="E717" i="50"/>
  <c r="G717" i="50"/>
  <c r="F717" i="50"/>
  <c r="H717" i="50"/>
  <c r="I897" i="50"/>
  <c r="B897" i="50"/>
  <c r="G897" i="50"/>
  <c r="A897" i="50"/>
  <c r="E897" i="50"/>
  <c r="H897" i="50"/>
  <c r="F897" i="50"/>
  <c r="C897" i="50"/>
  <c r="B607" i="50"/>
  <c r="G607" i="50"/>
  <c r="E607" i="50"/>
  <c r="C607" i="50"/>
  <c r="H607" i="50"/>
  <c r="F607" i="50"/>
  <c r="I607" i="50"/>
  <c r="A607" i="50"/>
  <c r="I284" i="50"/>
  <c r="E284" i="50"/>
  <c r="G284" i="50"/>
  <c r="A284" i="50"/>
  <c r="C284" i="50"/>
  <c r="B284" i="50"/>
  <c r="F284" i="50"/>
  <c r="H284" i="50"/>
  <c r="A156" i="50"/>
  <c r="E156" i="50"/>
  <c r="F156" i="50"/>
  <c r="B156" i="50"/>
  <c r="C156" i="50"/>
  <c r="G156" i="50"/>
  <c r="I156" i="50"/>
  <c r="H156" i="50"/>
  <c r="F89" i="50"/>
  <c r="B89" i="50"/>
  <c r="C89" i="50"/>
  <c r="I89" i="50"/>
  <c r="H89" i="50"/>
  <c r="A89" i="50"/>
  <c r="G89" i="50"/>
  <c r="E89" i="50"/>
  <c r="E135" i="50"/>
  <c r="A135" i="50"/>
  <c r="B135" i="50"/>
  <c r="C135" i="50"/>
  <c r="H135" i="50"/>
  <c r="I135" i="50"/>
  <c r="G135" i="50"/>
  <c r="F135" i="50"/>
  <c r="F705" i="50"/>
  <c r="C705" i="50"/>
  <c r="I705" i="50"/>
  <c r="B705" i="50"/>
  <c r="H705" i="50"/>
  <c r="A705" i="50"/>
  <c r="E705" i="50"/>
  <c r="G705" i="50"/>
  <c r="F936" i="50"/>
  <c r="B936" i="50"/>
  <c r="E936" i="50"/>
  <c r="I936" i="50"/>
  <c r="A936" i="50"/>
  <c r="G936" i="50"/>
  <c r="C936" i="50"/>
  <c r="H936" i="50"/>
  <c r="E222" i="50"/>
  <c r="G222" i="50"/>
  <c r="B222" i="50"/>
  <c r="H222" i="50"/>
  <c r="C222" i="50"/>
  <c r="I222" i="50"/>
  <c r="A222" i="50"/>
  <c r="F222" i="50"/>
  <c r="A1034" i="50"/>
  <c r="F1034" i="50"/>
  <c r="I1034" i="50"/>
  <c r="G1034" i="50"/>
  <c r="E1034" i="50"/>
  <c r="H1034" i="50"/>
  <c r="B1034" i="50"/>
  <c r="C1034" i="50"/>
  <c r="H862" i="50"/>
  <c r="C862" i="50"/>
  <c r="G862" i="50"/>
  <c r="F862" i="50"/>
  <c r="A862" i="50"/>
  <c r="B862" i="50"/>
  <c r="E862" i="50"/>
  <c r="I862" i="50"/>
  <c r="H255" i="50"/>
  <c r="F255" i="50"/>
  <c r="I255" i="50"/>
  <c r="E255" i="50"/>
  <c r="G255" i="50"/>
  <c r="B255" i="50"/>
  <c r="C255" i="50"/>
  <c r="A255" i="50"/>
  <c r="I910" i="50"/>
  <c r="C910" i="50"/>
  <c r="F910" i="50"/>
  <c r="B910" i="50"/>
  <c r="A910" i="50"/>
  <c r="H910" i="50"/>
  <c r="E910" i="50"/>
  <c r="G910" i="50"/>
  <c r="E921" i="50"/>
  <c r="F921" i="50"/>
  <c r="B921" i="50"/>
  <c r="C921" i="50"/>
  <c r="I921" i="50"/>
  <c r="H921" i="50"/>
  <c r="G921" i="50"/>
  <c r="A921" i="50"/>
  <c r="G33" i="50"/>
  <c r="B33" i="50"/>
  <c r="A33" i="50"/>
  <c r="H33" i="50"/>
  <c r="F33" i="50"/>
  <c r="C33" i="50"/>
  <c r="E33" i="50"/>
  <c r="I33" i="50"/>
  <c r="A724" i="50"/>
  <c r="H724" i="50"/>
  <c r="G724" i="50"/>
  <c r="I724" i="50"/>
  <c r="C724" i="50"/>
  <c r="F724" i="50"/>
  <c r="B724" i="50"/>
  <c r="E724" i="50"/>
  <c r="C720" i="50"/>
  <c r="A720" i="50"/>
  <c r="H720" i="50"/>
  <c r="B720" i="50"/>
  <c r="E720" i="50"/>
  <c r="F720" i="50"/>
  <c r="I720" i="50"/>
  <c r="G720" i="50"/>
  <c r="H896" i="50"/>
  <c r="I896" i="50"/>
  <c r="F896" i="50"/>
  <c r="E896" i="50"/>
  <c r="C896" i="50"/>
  <c r="A896" i="50"/>
  <c r="B896" i="50"/>
  <c r="G896" i="50"/>
  <c r="B452" i="50"/>
  <c r="C452" i="50"/>
  <c r="I452" i="50"/>
  <c r="G452" i="50"/>
  <c r="F452" i="50"/>
  <c r="E452" i="50"/>
  <c r="A452" i="50"/>
  <c r="H452" i="50"/>
  <c r="F996" i="50"/>
  <c r="G996" i="50"/>
  <c r="H996" i="50"/>
  <c r="E996" i="50"/>
  <c r="A996" i="50"/>
  <c r="C996" i="50"/>
  <c r="I996" i="50"/>
  <c r="B996" i="50"/>
  <c r="B723" i="50"/>
  <c r="G723" i="50"/>
  <c r="C723" i="50"/>
  <c r="H723" i="50"/>
  <c r="F723" i="50"/>
  <c r="E723" i="50"/>
  <c r="A723" i="50"/>
  <c r="I723" i="50"/>
  <c r="B88" i="50"/>
  <c r="E88" i="50"/>
  <c r="H88" i="50"/>
  <c r="G88" i="50"/>
  <c r="C88" i="50"/>
  <c r="I88" i="50"/>
  <c r="A88" i="50"/>
  <c r="F88" i="50"/>
  <c r="C714" i="50"/>
  <c r="E714" i="50"/>
  <c r="G714" i="50"/>
  <c r="I714" i="50"/>
  <c r="A714" i="50"/>
  <c r="F714" i="50"/>
  <c r="H714" i="50"/>
  <c r="B714" i="50"/>
  <c r="A333" i="50"/>
  <c r="B333" i="50"/>
  <c r="F333" i="50"/>
  <c r="H333" i="50"/>
  <c r="I333" i="50"/>
  <c r="C333" i="50"/>
  <c r="E333" i="50"/>
  <c r="G333" i="50"/>
  <c r="A103" i="50"/>
  <c r="C103" i="50"/>
  <c r="E103" i="50"/>
  <c r="F103" i="50"/>
  <c r="H103" i="50"/>
  <c r="G103" i="50"/>
  <c r="B103" i="50"/>
  <c r="I103" i="50"/>
  <c r="G959" i="50"/>
  <c r="I959" i="50"/>
  <c r="A959" i="50"/>
  <c r="E959" i="50"/>
  <c r="F959" i="50"/>
  <c r="B959" i="50"/>
  <c r="H959" i="50"/>
  <c r="C959" i="50"/>
  <c r="A292" i="50"/>
  <c r="B292" i="50"/>
  <c r="H292" i="50"/>
  <c r="G292" i="50"/>
  <c r="E292" i="50"/>
  <c r="I292" i="50"/>
  <c r="C292" i="50"/>
  <c r="F292" i="50"/>
  <c r="E823" i="50"/>
  <c r="F823" i="50"/>
  <c r="H823" i="50"/>
  <c r="A823" i="50"/>
  <c r="I823" i="50"/>
  <c r="B823" i="50"/>
  <c r="G823" i="50"/>
  <c r="C823" i="50"/>
  <c r="E197" i="50"/>
  <c r="B197" i="50"/>
  <c r="H197" i="50"/>
  <c r="C197" i="50"/>
  <c r="G197" i="50"/>
  <c r="F197" i="50"/>
  <c r="I197" i="50"/>
  <c r="A197" i="50"/>
  <c r="C50" i="50"/>
  <c r="H50" i="50"/>
  <c r="A50" i="50"/>
  <c r="F50" i="50"/>
  <c r="I50" i="50"/>
  <c r="E50" i="50"/>
  <c r="B50" i="50"/>
  <c r="G50" i="50"/>
  <c r="I876" i="50"/>
  <c r="B876" i="50"/>
  <c r="H876" i="50"/>
  <c r="C876" i="50"/>
  <c r="E876" i="50"/>
  <c r="F876" i="50"/>
  <c r="G876" i="50"/>
  <c r="A876" i="50"/>
  <c r="G890" i="50"/>
  <c r="I890" i="50"/>
  <c r="E890" i="50"/>
  <c r="C890" i="50"/>
  <c r="B890" i="50"/>
  <c r="F890" i="50"/>
  <c r="A890" i="50"/>
  <c r="H890" i="50"/>
  <c r="H984" i="50"/>
  <c r="A984" i="50"/>
  <c r="F984" i="50"/>
  <c r="E984" i="50"/>
  <c r="I984" i="50"/>
  <c r="B984" i="50"/>
  <c r="G984" i="50"/>
  <c r="C984" i="50"/>
  <c r="H468" i="50"/>
  <c r="G468" i="50"/>
  <c r="I468" i="50"/>
  <c r="B468" i="50"/>
  <c r="F468" i="50"/>
  <c r="A468" i="50"/>
  <c r="C468" i="50"/>
  <c r="E468" i="50"/>
  <c r="B314" i="50"/>
  <c r="A314" i="50"/>
  <c r="C314" i="50"/>
  <c r="H314" i="50"/>
  <c r="G314" i="50"/>
  <c r="I314" i="50"/>
  <c r="F314" i="50"/>
  <c r="E314" i="50"/>
  <c r="B230" i="50"/>
  <c r="C230" i="50"/>
  <c r="H230" i="50"/>
  <c r="E230" i="50"/>
  <c r="I230" i="50"/>
  <c r="A230" i="50"/>
  <c r="F230" i="50"/>
  <c r="G230" i="50"/>
  <c r="C696" i="50"/>
  <c r="A696" i="50"/>
  <c r="F696" i="50"/>
  <c r="G696" i="50"/>
  <c r="B696" i="50"/>
  <c r="E696" i="50"/>
  <c r="H696" i="50"/>
  <c r="I696" i="50"/>
  <c r="I283" i="50"/>
  <c r="G283" i="50"/>
  <c r="A283" i="50"/>
  <c r="H283" i="50"/>
  <c r="C283" i="50"/>
  <c r="B283" i="50"/>
  <c r="E283" i="50"/>
  <c r="F283" i="50"/>
  <c r="C78" i="50"/>
  <c r="F78" i="50"/>
  <c r="G78" i="50"/>
  <c r="E78" i="50"/>
  <c r="I78" i="50"/>
  <c r="A78" i="50"/>
  <c r="H78" i="50"/>
  <c r="B78" i="50"/>
  <c r="E637" i="50"/>
  <c r="A637" i="50"/>
  <c r="B637" i="50"/>
  <c r="F637" i="50"/>
  <c r="G637" i="50"/>
  <c r="H637" i="50"/>
  <c r="C637" i="50"/>
  <c r="I637" i="50"/>
  <c r="G178" i="50"/>
  <c r="A178" i="50"/>
  <c r="F178" i="50"/>
  <c r="C178" i="50"/>
  <c r="H178" i="50"/>
  <c r="B178" i="50"/>
  <c r="I178" i="50"/>
  <c r="E178" i="50"/>
  <c r="E537" i="50"/>
  <c r="C537" i="50"/>
  <c r="H537" i="50"/>
  <c r="G537" i="50"/>
  <c r="B537" i="50"/>
  <c r="A537" i="50"/>
  <c r="F537" i="50"/>
  <c r="I537" i="50"/>
  <c r="C490" i="50"/>
  <c r="H490" i="50"/>
  <c r="F490" i="50"/>
  <c r="G490" i="50"/>
  <c r="A490" i="50"/>
  <c r="B490" i="50"/>
  <c r="E490" i="50"/>
  <c r="I490" i="50"/>
  <c r="G1058" i="50"/>
  <c r="B1058" i="50"/>
  <c r="I1058" i="50"/>
  <c r="E1058" i="50"/>
  <c r="H1058" i="50"/>
  <c r="F1058" i="50"/>
  <c r="A1058" i="50"/>
  <c r="C1058" i="50"/>
  <c r="C639" i="50"/>
  <c r="B639" i="50"/>
  <c r="A639" i="50"/>
  <c r="F639" i="50"/>
  <c r="G639" i="50"/>
  <c r="I639" i="50"/>
  <c r="E639" i="50"/>
  <c r="H639" i="50"/>
  <c r="I858" i="50"/>
  <c r="G858" i="50"/>
  <c r="B858" i="50"/>
  <c r="A858" i="50"/>
  <c r="E858" i="50"/>
  <c r="C858" i="50"/>
  <c r="F858" i="50"/>
  <c r="H858" i="50"/>
  <c r="A239" i="50"/>
  <c r="E239" i="50"/>
  <c r="I239" i="50"/>
  <c r="B239" i="50"/>
  <c r="G239" i="50"/>
  <c r="H239" i="50"/>
  <c r="F239" i="50"/>
  <c r="C239" i="50"/>
  <c r="G44" i="50"/>
  <c r="I44" i="50"/>
  <c r="F44" i="50"/>
  <c r="B44" i="50"/>
  <c r="E44" i="50"/>
  <c r="H44" i="50"/>
  <c r="A44" i="50"/>
  <c r="C44" i="50"/>
  <c r="I861" i="50"/>
  <c r="C861" i="50"/>
  <c r="F861" i="50"/>
  <c r="H861" i="50"/>
  <c r="E861" i="50"/>
  <c r="B861" i="50"/>
  <c r="A861" i="50"/>
  <c r="G861" i="50"/>
  <c r="G220" i="50"/>
  <c r="I220" i="50"/>
  <c r="E220" i="50"/>
  <c r="A220" i="50"/>
  <c r="B220" i="50"/>
  <c r="F220" i="50"/>
  <c r="C220" i="50"/>
  <c r="H220" i="50"/>
  <c r="I616" i="50"/>
  <c r="H616" i="50"/>
  <c r="B616" i="50"/>
  <c r="A616" i="50"/>
  <c r="C616" i="50"/>
  <c r="G616" i="50"/>
  <c r="F616" i="50"/>
  <c r="E616" i="50"/>
  <c r="I805" i="50"/>
  <c r="H805" i="50"/>
  <c r="C805" i="50"/>
  <c r="G805" i="50"/>
  <c r="E805" i="50"/>
  <c r="A805" i="50"/>
  <c r="B805" i="50"/>
  <c r="F805" i="50"/>
  <c r="B275" i="50"/>
  <c r="E275" i="50"/>
  <c r="C275" i="50"/>
  <c r="H275" i="50"/>
  <c r="I275" i="50"/>
  <c r="A275" i="50"/>
  <c r="F275" i="50"/>
  <c r="G275" i="50"/>
  <c r="I432" i="50"/>
  <c r="B432" i="50"/>
  <c r="C432" i="50"/>
  <c r="A432" i="50"/>
  <c r="G432" i="50"/>
  <c r="E432" i="50"/>
  <c r="H432" i="50"/>
  <c r="F432" i="50"/>
  <c r="C345" i="50"/>
  <c r="H345" i="50"/>
  <c r="G345" i="50"/>
  <c r="A345" i="50"/>
  <c r="B345" i="50"/>
  <c r="E345" i="50"/>
  <c r="I345" i="50"/>
  <c r="F345" i="50"/>
  <c r="B721" i="50"/>
  <c r="F721" i="50"/>
  <c r="H721" i="50"/>
  <c r="A721" i="50"/>
  <c r="G721" i="50"/>
  <c r="E721" i="50"/>
  <c r="I721" i="50"/>
  <c r="C721" i="50"/>
  <c r="E158" i="50"/>
  <c r="F158" i="50"/>
  <c r="G158" i="50"/>
  <c r="A158" i="50"/>
  <c r="H158" i="50"/>
  <c r="B158" i="50"/>
  <c r="C158" i="50"/>
  <c r="I158" i="50"/>
  <c r="AB851" i="32"/>
  <c r="AB852" i="32" s="1"/>
  <c r="AB732" i="32"/>
  <c r="H908" i="50"/>
  <c r="B908" i="50"/>
  <c r="C908" i="50"/>
  <c r="I908" i="50"/>
  <c r="A908" i="50"/>
  <c r="G908" i="50"/>
  <c r="E908" i="50"/>
  <c r="F908" i="50"/>
  <c r="AB612" i="32"/>
  <c r="AB822" i="32"/>
  <c r="AB472" i="32"/>
  <c r="I184" i="50"/>
  <c r="B184" i="50"/>
  <c r="E184" i="50"/>
  <c r="A184" i="50"/>
  <c r="C184" i="50"/>
  <c r="F184" i="50"/>
  <c r="H184" i="50"/>
  <c r="G184" i="50"/>
  <c r="B400" i="50"/>
  <c r="I400" i="50"/>
  <c r="H400" i="50"/>
  <c r="G400" i="50"/>
  <c r="C400" i="50"/>
  <c r="A400" i="50"/>
  <c r="E400" i="50"/>
  <c r="F400" i="50"/>
  <c r="E331" i="50"/>
  <c r="C331" i="50"/>
  <c r="I331" i="50"/>
  <c r="F331" i="50"/>
  <c r="G331" i="50"/>
  <c r="B331" i="50"/>
  <c r="H331" i="50"/>
  <c r="A331" i="50"/>
  <c r="H843" i="50"/>
  <c r="G843" i="50"/>
  <c r="E843" i="50"/>
  <c r="B843" i="50"/>
  <c r="I843" i="50"/>
  <c r="A843" i="50"/>
  <c r="F843" i="50"/>
  <c r="C843" i="50"/>
  <c r="A588" i="50"/>
  <c r="I588" i="50"/>
  <c r="F588" i="50"/>
  <c r="C588" i="50"/>
  <c r="G588" i="50"/>
  <c r="H588" i="50"/>
  <c r="B588" i="50"/>
  <c r="E588" i="50"/>
  <c r="B223" i="50"/>
  <c r="F223" i="50"/>
  <c r="A223" i="50"/>
  <c r="H223" i="50"/>
  <c r="G223" i="50"/>
  <c r="E223" i="50"/>
  <c r="C223" i="50"/>
  <c r="I223" i="50"/>
  <c r="E258" i="50"/>
  <c r="G258" i="50"/>
  <c r="B258" i="50"/>
  <c r="C258" i="50"/>
  <c r="H258" i="50"/>
  <c r="A258" i="50"/>
  <c r="F258" i="50"/>
  <c r="I258" i="50"/>
  <c r="I633" i="50"/>
  <c r="F633" i="50"/>
  <c r="B633" i="50"/>
  <c r="H633" i="50"/>
  <c r="G633" i="50"/>
  <c r="C633" i="50"/>
  <c r="A633" i="50"/>
  <c r="E633" i="50"/>
  <c r="H1020" i="50"/>
  <c r="A1020" i="50"/>
  <c r="B1020" i="50"/>
  <c r="F1020" i="50"/>
  <c r="I1020" i="50"/>
  <c r="E1020" i="50"/>
  <c r="G1020" i="50"/>
  <c r="C1020" i="50"/>
  <c r="B104" i="50"/>
  <c r="I104" i="50"/>
  <c r="G104" i="50"/>
  <c r="H104" i="50"/>
  <c r="A104" i="50"/>
  <c r="C104" i="50"/>
  <c r="F104" i="50"/>
  <c r="E104" i="50"/>
  <c r="E391" i="50"/>
  <c r="F391" i="50"/>
  <c r="C391" i="50"/>
  <c r="H391" i="50"/>
  <c r="I391" i="50"/>
  <c r="B391" i="50"/>
  <c r="G391" i="50"/>
  <c r="A391" i="50"/>
  <c r="A15" i="50"/>
  <c r="E15" i="50"/>
  <c r="C15" i="50"/>
  <c r="G15" i="50"/>
  <c r="F15" i="50"/>
  <c r="B15" i="50"/>
  <c r="H15" i="50"/>
  <c r="I15" i="50"/>
  <c r="E553" i="50"/>
  <c r="C553" i="50"/>
  <c r="B553" i="50"/>
  <c r="G553" i="50"/>
  <c r="H553" i="50"/>
  <c r="A553" i="50"/>
  <c r="F553" i="50"/>
  <c r="I553" i="50"/>
  <c r="C790" i="50"/>
  <c r="F790" i="50"/>
  <c r="A790" i="50"/>
  <c r="E790" i="50"/>
  <c r="I790" i="50"/>
  <c r="G790" i="50"/>
  <c r="H790" i="50"/>
  <c r="B790" i="50"/>
  <c r="I491" i="50"/>
  <c r="A491" i="50"/>
  <c r="F491" i="50"/>
  <c r="G491" i="50"/>
  <c r="B491" i="50"/>
  <c r="H491" i="50"/>
  <c r="C491" i="50"/>
  <c r="E491" i="50"/>
  <c r="E161" i="50"/>
  <c r="C161" i="50"/>
  <c r="A161" i="50"/>
  <c r="I161" i="50"/>
  <c r="H161" i="50"/>
  <c r="B161" i="50"/>
  <c r="G161" i="50"/>
  <c r="F161" i="50"/>
  <c r="B325" i="50"/>
  <c r="E325" i="50"/>
  <c r="C325" i="50"/>
  <c r="H325" i="50"/>
  <c r="F325" i="50"/>
  <c r="I325" i="50"/>
  <c r="G325" i="50"/>
  <c r="A325" i="50"/>
  <c r="E688" i="50"/>
  <c r="I688" i="50"/>
  <c r="F688" i="50"/>
  <c r="A688" i="50"/>
  <c r="B688" i="50"/>
  <c r="H688" i="50"/>
  <c r="C688" i="50"/>
  <c r="G688" i="50"/>
  <c r="G738" i="50"/>
  <c r="C738" i="50"/>
  <c r="H738" i="50"/>
  <c r="F738" i="50"/>
  <c r="E738" i="50"/>
  <c r="B738" i="50"/>
  <c r="I738" i="50"/>
  <c r="A738" i="50"/>
  <c r="H621" i="50"/>
  <c r="F621" i="50"/>
  <c r="E621" i="50"/>
  <c r="B621" i="50"/>
  <c r="G621" i="50"/>
  <c r="A621" i="50"/>
  <c r="I621" i="50"/>
  <c r="C621" i="50"/>
  <c r="H1054" i="50"/>
  <c r="E1054" i="50"/>
  <c r="A1054" i="50"/>
  <c r="C1054" i="50"/>
  <c r="I1054" i="50"/>
  <c r="B1054" i="50"/>
  <c r="F1054" i="50"/>
  <c r="G1054" i="50"/>
  <c r="F87" i="50"/>
  <c r="I87" i="50"/>
  <c r="B87" i="50"/>
  <c r="A87" i="50"/>
  <c r="E87" i="50"/>
  <c r="H87" i="50"/>
  <c r="G87" i="50"/>
  <c r="C87" i="50"/>
  <c r="I722" i="50"/>
  <c r="H722" i="50"/>
  <c r="C722" i="50"/>
  <c r="F722" i="50"/>
  <c r="E722" i="50"/>
  <c r="A722" i="50"/>
  <c r="G722" i="50"/>
  <c r="B722" i="50"/>
  <c r="B566" i="50"/>
  <c r="I566" i="50"/>
  <c r="C566" i="50"/>
  <c r="G566" i="50"/>
  <c r="H566" i="50"/>
  <c r="A566" i="50"/>
  <c r="E566" i="50"/>
  <c r="F566" i="50"/>
  <c r="H929" i="50"/>
  <c r="C929" i="50"/>
  <c r="I929" i="50"/>
  <c r="G929" i="50"/>
  <c r="B929" i="50"/>
  <c r="E929" i="50"/>
  <c r="A929" i="50"/>
  <c r="F929" i="50"/>
  <c r="B505" i="50"/>
  <c r="H505" i="50"/>
  <c r="C505" i="50"/>
  <c r="A505" i="50"/>
  <c r="G505" i="50"/>
  <c r="I505" i="50"/>
  <c r="F505" i="50"/>
  <c r="E505" i="50"/>
  <c r="H906" i="50"/>
  <c r="A906" i="50"/>
  <c r="B906" i="50"/>
  <c r="F906" i="50"/>
  <c r="G906" i="50"/>
  <c r="E906" i="50"/>
  <c r="C906" i="50"/>
  <c r="I906" i="50"/>
  <c r="A287" i="50"/>
  <c r="C287" i="50"/>
  <c r="B287" i="50"/>
  <c r="E287" i="50"/>
  <c r="F287" i="50"/>
  <c r="H287" i="50"/>
  <c r="I287" i="50"/>
  <c r="G287" i="50"/>
  <c r="H789" i="50"/>
  <c r="F789" i="50"/>
  <c r="E789" i="50"/>
  <c r="A789" i="50"/>
  <c r="C789" i="50"/>
  <c r="B789" i="50"/>
  <c r="G789" i="50"/>
  <c r="I789" i="50"/>
  <c r="B111" i="50"/>
  <c r="F111" i="50"/>
  <c r="H111" i="50"/>
  <c r="C111" i="50"/>
  <c r="E111" i="50"/>
  <c r="A111" i="50"/>
  <c r="G111" i="50"/>
  <c r="I111" i="50"/>
  <c r="C937" i="50"/>
  <c r="I937" i="50"/>
  <c r="F937" i="50"/>
  <c r="E937" i="50"/>
  <c r="H937" i="50"/>
  <c r="A937" i="50"/>
  <c r="B937" i="50"/>
  <c r="G937" i="50"/>
  <c r="A110" i="50"/>
  <c r="C110" i="50"/>
  <c r="I110" i="50"/>
  <c r="H110" i="50"/>
  <c r="G110" i="50"/>
  <c r="F110" i="50"/>
  <c r="B110" i="50"/>
  <c r="E110" i="50"/>
  <c r="H467" i="50"/>
  <c r="C467" i="50"/>
  <c r="B467" i="50"/>
  <c r="E467" i="50"/>
  <c r="G467" i="50"/>
  <c r="A467" i="50"/>
  <c r="F467" i="50"/>
  <c r="I467" i="50"/>
  <c r="H280" i="50"/>
  <c r="E280" i="50"/>
  <c r="C280" i="50"/>
  <c r="F280" i="50"/>
  <c r="B280" i="50"/>
  <c r="I280" i="50"/>
  <c r="A280" i="50"/>
  <c r="G280" i="50"/>
  <c r="B692" i="50"/>
  <c r="C692" i="50"/>
  <c r="F692" i="50"/>
  <c r="A692" i="50"/>
  <c r="I692" i="50"/>
  <c r="H692" i="50"/>
  <c r="G692" i="50"/>
  <c r="E692" i="50"/>
  <c r="H162" i="50"/>
  <c r="I162" i="50"/>
  <c r="G162" i="50"/>
  <c r="C162" i="50"/>
  <c r="E162" i="50"/>
  <c r="B162" i="50"/>
  <c r="F162" i="50"/>
  <c r="A162" i="50"/>
  <c r="F882" i="50"/>
  <c r="C882" i="50"/>
  <c r="A882" i="50"/>
  <c r="I882" i="50"/>
  <c r="B882" i="50"/>
  <c r="H882" i="50"/>
  <c r="G882" i="50"/>
  <c r="E882" i="50"/>
  <c r="C1033" i="50"/>
  <c r="E1033" i="50"/>
  <c r="I1033" i="50"/>
  <c r="B1033" i="50"/>
  <c r="H1033" i="50"/>
  <c r="A1033" i="50"/>
  <c r="G1033" i="50"/>
  <c r="F1033" i="50"/>
  <c r="E211" i="50"/>
  <c r="C211" i="50"/>
  <c r="A211" i="50"/>
  <c r="B211" i="50"/>
  <c r="F211" i="50"/>
  <c r="G211" i="50"/>
  <c r="I211" i="50"/>
  <c r="H211" i="50"/>
  <c r="F920" i="50"/>
  <c r="A920" i="50"/>
  <c r="C920" i="50"/>
  <c r="H920" i="50"/>
  <c r="I920" i="50"/>
  <c r="G920" i="50"/>
  <c r="E920" i="50"/>
  <c r="B920" i="50"/>
  <c r="E909" i="50"/>
  <c r="G909" i="50"/>
  <c r="I909" i="50"/>
  <c r="B909" i="50"/>
  <c r="H909" i="50"/>
  <c r="C909" i="50"/>
  <c r="F909" i="50"/>
  <c r="A909" i="50"/>
  <c r="A584" i="50"/>
  <c r="G584" i="50"/>
  <c r="B584" i="50"/>
  <c r="C584" i="50"/>
  <c r="I584" i="50"/>
  <c r="F584" i="50"/>
  <c r="H584" i="50"/>
  <c r="E584" i="50"/>
  <c r="E482" i="50"/>
  <c r="I482" i="50"/>
  <c r="A482" i="50"/>
  <c r="H482" i="50"/>
  <c r="F482" i="50"/>
  <c r="G482" i="50"/>
  <c r="B482" i="50"/>
  <c r="C482" i="50"/>
  <c r="F605" i="50"/>
  <c r="C605" i="50"/>
  <c r="H605" i="50"/>
  <c r="I605" i="50"/>
  <c r="E605" i="50"/>
  <c r="G605" i="50"/>
  <c r="B605" i="50"/>
  <c r="A605" i="50"/>
  <c r="B341" i="50"/>
  <c r="E341" i="50"/>
  <c r="I341" i="50"/>
  <c r="A341" i="50"/>
  <c r="G341" i="50"/>
  <c r="C341" i="50"/>
  <c r="H341" i="50"/>
  <c r="F341" i="50"/>
  <c r="H1011" i="50"/>
  <c r="C1011" i="50"/>
  <c r="I1011" i="50"/>
  <c r="F1011" i="50"/>
  <c r="E1011" i="50"/>
  <c r="A1011" i="50"/>
  <c r="B1011" i="50"/>
  <c r="G1011" i="50"/>
  <c r="G395" i="50"/>
  <c r="A395" i="50"/>
  <c r="B395" i="50"/>
  <c r="I395" i="50"/>
  <c r="H395" i="50"/>
  <c r="F395" i="50"/>
  <c r="C395" i="50"/>
  <c r="E395" i="50"/>
  <c r="A848" i="50"/>
  <c r="C848" i="50"/>
  <c r="H848" i="50"/>
  <c r="F848" i="50"/>
  <c r="B848" i="50"/>
  <c r="I848" i="50"/>
  <c r="E848" i="50"/>
  <c r="G848" i="50"/>
  <c r="H366" i="50"/>
  <c r="B366" i="50"/>
  <c r="I366" i="50"/>
  <c r="A366" i="50"/>
  <c r="G366" i="50"/>
  <c r="E366" i="50"/>
  <c r="C366" i="50"/>
  <c r="F366" i="50"/>
  <c r="B212" i="50"/>
  <c r="F212" i="50"/>
  <c r="E212" i="50"/>
  <c r="A212" i="50"/>
  <c r="G212" i="50"/>
  <c r="C212" i="50"/>
  <c r="H212" i="50"/>
  <c r="I212" i="50"/>
  <c r="B1015" i="50"/>
  <c r="I1015" i="50"/>
  <c r="C1015" i="50"/>
  <c r="G1015" i="50"/>
  <c r="F1015" i="50"/>
  <c r="H1015" i="50"/>
  <c r="E1015" i="50"/>
  <c r="A1015" i="50"/>
  <c r="G647" i="50"/>
  <c r="A647" i="50"/>
  <c r="I647" i="50"/>
  <c r="B647" i="50"/>
  <c r="F647" i="50"/>
  <c r="H647" i="50"/>
  <c r="C647" i="50"/>
  <c r="E647" i="50"/>
  <c r="F180" i="50"/>
  <c r="B180" i="50"/>
  <c r="C180" i="50"/>
  <c r="H180" i="50"/>
  <c r="I180" i="50"/>
  <c r="A180" i="50"/>
  <c r="G180" i="50"/>
  <c r="E180" i="50"/>
  <c r="C744" i="50"/>
  <c r="A744" i="50"/>
  <c r="I744" i="50"/>
  <c r="B744" i="50"/>
  <c r="F744" i="50"/>
  <c r="E744" i="50"/>
  <c r="G744" i="50"/>
  <c r="H744" i="50"/>
  <c r="E719" i="50"/>
  <c r="G719" i="50"/>
  <c r="A719" i="50"/>
  <c r="I719" i="50"/>
  <c r="C719" i="50"/>
  <c r="F719" i="50"/>
  <c r="B719" i="50"/>
  <c r="H719" i="50"/>
  <c r="I1029" i="50"/>
  <c r="E1029" i="50"/>
  <c r="B1029" i="50"/>
  <c r="C1029" i="50"/>
  <c r="G1029" i="50"/>
  <c r="F1029" i="50"/>
  <c r="H1029" i="50"/>
  <c r="A1029" i="50"/>
  <c r="H538" i="50"/>
  <c r="A538" i="50"/>
  <c r="F538" i="50"/>
  <c r="G538" i="50"/>
  <c r="B538" i="50"/>
  <c r="I538" i="50"/>
  <c r="C538" i="50"/>
  <c r="E538" i="50"/>
  <c r="E157" i="50"/>
  <c r="G157" i="50"/>
  <c r="I157" i="50"/>
  <c r="H157" i="50"/>
  <c r="C157" i="50"/>
  <c r="F157" i="50"/>
  <c r="A157" i="50"/>
  <c r="B157" i="50"/>
  <c r="B574" i="50"/>
  <c r="G574" i="50"/>
  <c r="F574" i="50"/>
  <c r="E574" i="50"/>
  <c r="C574" i="50"/>
  <c r="I574" i="50"/>
  <c r="H574" i="50"/>
  <c r="A574" i="50"/>
  <c r="G133" i="50"/>
  <c r="A133" i="50"/>
  <c r="E133" i="50"/>
  <c r="H133" i="50"/>
  <c r="B133" i="50"/>
  <c r="F133" i="50"/>
  <c r="I133" i="50"/>
  <c r="C133" i="50"/>
  <c r="H294" i="50"/>
  <c r="E294" i="50"/>
  <c r="C294" i="50"/>
  <c r="F294" i="50"/>
  <c r="I294" i="50"/>
  <c r="A294" i="50"/>
  <c r="G294" i="50"/>
  <c r="B294" i="50"/>
  <c r="H113" i="50"/>
  <c r="C113" i="50"/>
  <c r="A113" i="50"/>
  <c r="I113" i="50"/>
  <c r="B113" i="50"/>
  <c r="G113" i="50"/>
  <c r="E113" i="50"/>
  <c r="F113" i="50"/>
  <c r="H741" i="50"/>
  <c r="G741" i="50"/>
  <c r="I741" i="50"/>
  <c r="B741" i="50"/>
  <c r="C741" i="50"/>
  <c r="A741" i="50"/>
  <c r="F741" i="50"/>
  <c r="E741" i="50"/>
  <c r="B19" i="50"/>
  <c r="I19" i="50"/>
  <c r="H19" i="50"/>
  <c r="C19" i="50"/>
  <c r="G19" i="50"/>
  <c r="E19" i="50"/>
  <c r="A19" i="50"/>
  <c r="F19" i="50"/>
  <c r="I368" i="50"/>
  <c r="E368" i="50"/>
  <c r="A368" i="50"/>
  <c r="G368" i="50"/>
  <c r="F368" i="50"/>
  <c r="B368" i="50"/>
  <c r="C368" i="50"/>
  <c r="H368" i="50"/>
  <c r="A775" i="50"/>
  <c r="G775" i="50"/>
  <c r="C775" i="50"/>
  <c r="I775" i="50"/>
  <c r="E775" i="50"/>
  <c r="F775" i="50"/>
  <c r="H775" i="50"/>
  <c r="B775" i="50"/>
  <c r="G42" i="50"/>
  <c r="F42" i="50"/>
  <c r="A42" i="50"/>
  <c r="E42" i="50"/>
  <c r="C42" i="50"/>
  <c r="I42" i="50"/>
  <c r="B42" i="50"/>
  <c r="H42" i="50"/>
  <c r="I539" i="50"/>
  <c r="C539" i="50"/>
  <c r="G539" i="50"/>
  <c r="H539" i="50"/>
  <c r="F539" i="50"/>
  <c r="E539" i="50"/>
  <c r="B539" i="50"/>
  <c r="A539" i="50"/>
  <c r="F503" i="50"/>
  <c r="E503" i="50"/>
  <c r="G503" i="50"/>
  <c r="A503" i="50"/>
  <c r="C503" i="50"/>
  <c r="B503" i="50"/>
  <c r="H503" i="50"/>
  <c r="I503" i="50"/>
  <c r="F1078" i="50"/>
  <c r="H1078" i="50"/>
  <c r="E1078" i="50"/>
  <c r="G1078" i="50"/>
  <c r="I1078" i="50"/>
  <c r="C1078" i="50"/>
  <c r="B1078" i="50"/>
  <c r="A1078" i="50"/>
  <c r="C260" i="50"/>
  <c r="F260" i="50"/>
  <c r="I260" i="50"/>
  <c r="H260" i="50"/>
  <c r="A260" i="50"/>
  <c r="E260" i="50"/>
  <c r="G260" i="50"/>
  <c r="B260" i="50"/>
  <c r="B868" i="50"/>
  <c r="I868" i="50"/>
  <c r="G868" i="50"/>
  <c r="H868" i="50"/>
  <c r="C868" i="50"/>
  <c r="A868" i="50"/>
  <c r="E868" i="50"/>
  <c r="F868" i="50"/>
  <c r="B68" i="50"/>
  <c r="H68" i="50"/>
  <c r="F68" i="50"/>
  <c r="G68" i="50"/>
  <c r="E68" i="50"/>
  <c r="C68" i="50"/>
  <c r="I68" i="50"/>
  <c r="A68" i="50"/>
  <c r="G609" i="50"/>
  <c r="A609" i="50"/>
  <c r="F609" i="50"/>
  <c r="I609" i="50"/>
  <c r="H609" i="50"/>
  <c r="B609" i="50"/>
  <c r="E609" i="50"/>
  <c r="C609" i="50"/>
  <c r="B312" i="50"/>
  <c r="H312" i="50"/>
  <c r="F312" i="50"/>
  <c r="I312" i="50"/>
  <c r="E312" i="50"/>
  <c r="C312" i="50"/>
  <c r="A312" i="50"/>
  <c r="G312" i="50"/>
  <c r="G323" i="50"/>
  <c r="E323" i="50"/>
  <c r="B323" i="50"/>
  <c r="H323" i="50"/>
  <c r="I323" i="50"/>
  <c r="C323" i="50"/>
  <c r="A323" i="50"/>
  <c r="F323" i="50"/>
  <c r="B529" i="50"/>
  <c r="G529" i="50"/>
  <c r="A529" i="50"/>
  <c r="E529" i="50"/>
  <c r="I529" i="50"/>
  <c r="F529" i="50"/>
  <c r="C529" i="50"/>
  <c r="H529" i="50"/>
  <c r="I99" i="50"/>
  <c r="C99" i="50"/>
  <c r="E99" i="50"/>
  <c r="H99" i="50"/>
  <c r="B99" i="50"/>
  <c r="F99" i="50"/>
  <c r="A99" i="50"/>
  <c r="G99" i="50"/>
  <c r="I818" i="50"/>
  <c r="H818" i="50"/>
  <c r="G818" i="50"/>
  <c r="A818" i="50"/>
  <c r="E818" i="50"/>
  <c r="C818" i="50"/>
  <c r="F818" i="50"/>
  <c r="B818" i="50"/>
  <c r="C152" i="50"/>
  <c r="H152" i="50"/>
  <c r="B152" i="50"/>
  <c r="A152" i="50"/>
  <c r="E152" i="50"/>
  <c r="F152" i="50"/>
  <c r="G152" i="50"/>
  <c r="I152" i="50"/>
  <c r="I967" i="50"/>
  <c r="F967" i="50"/>
  <c r="B967" i="50"/>
  <c r="A967" i="50"/>
  <c r="G967" i="50"/>
  <c r="H967" i="50"/>
  <c r="C967" i="50"/>
  <c r="E967" i="50"/>
  <c r="F512" i="50"/>
  <c r="A512" i="50"/>
  <c r="H512" i="50"/>
  <c r="I512" i="50"/>
  <c r="E512" i="50"/>
  <c r="B512" i="50"/>
  <c r="G512" i="50"/>
  <c r="C512" i="50"/>
  <c r="G610" i="50"/>
  <c r="A610" i="50"/>
  <c r="E610" i="50"/>
  <c r="C610" i="50"/>
  <c r="H610" i="50"/>
  <c r="B610" i="50"/>
  <c r="F610" i="50"/>
  <c r="I610" i="50"/>
  <c r="G108" i="50"/>
  <c r="C108" i="50"/>
  <c r="H108" i="50"/>
  <c r="A108" i="50"/>
  <c r="E108" i="50"/>
  <c r="F108" i="50"/>
  <c r="B108" i="50"/>
  <c r="I108" i="50"/>
  <c r="G32" i="50"/>
  <c r="C32" i="50"/>
  <c r="H32" i="50"/>
  <c r="A32" i="50"/>
  <c r="B32" i="50"/>
  <c r="F32" i="50"/>
  <c r="E32" i="50"/>
  <c r="I32" i="50"/>
  <c r="G872" i="50"/>
  <c r="A872" i="50"/>
  <c r="H872" i="50"/>
  <c r="E872" i="50"/>
  <c r="I872" i="50"/>
  <c r="B872" i="50"/>
  <c r="F872" i="50"/>
  <c r="C872" i="50"/>
  <c r="E586" i="50"/>
  <c r="H586" i="50"/>
  <c r="G586" i="50"/>
  <c r="I586" i="50"/>
  <c r="F586" i="50"/>
  <c r="C586" i="50"/>
  <c r="B586" i="50"/>
  <c r="A586" i="50"/>
  <c r="H953" i="50"/>
  <c r="C953" i="50"/>
  <c r="G953" i="50"/>
  <c r="E953" i="50"/>
  <c r="I953" i="50"/>
  <c r="A953" i="50"/>
  <c r="F953" i="50"/>
  <c r="B953" i="50"/>
  <c r="A797" i="50"/>
  <c r="E797" i="50"/>
  <c r="C797" i="50"/>
  <c r="H797" i="50"/>
  <c r="F797" i="50"/>
  <c r="I797" i="50"/>
  <c r="B797" i="50"/>
  <c r="G797" i="50"/>
  <c r="G787" i="50"/>
  <c r="A787" i="50"/>
  <c r="E787" i="50"/>
  <c r="F787" i="50"/>
  <c r="H787" i="50"/>
  <c r="I787" i="50"/>
  <c r="C787" i="50"/>
  <c r="B787" i="50"/>
  <c r="E463" i="50"/>
  <c r="B463" i="50"/>
  <c r="F463" i="50"/>
  <c r="A463" i="50"/>
  <c r="H463" i="50"/>
  <c r="I463" i="50"/>
  <c r="G463" i="50"/>
  <c r="C463" i="50"/>
  <c r="H751" i="50"/>
  <c r="I751" i="50"/>
  <c r="A751" i="50"/>
  <c r="G751" i="50"/>
  <c r="B751" i="50"/>
  <c r="F751" i="50"/>
  <c r="E751" i="50"/>
  <c r="C751" i="50"/>
  <c r="E388" i="50"/>
  <c r="G388" i="50"/>
  <c r="I388" i="50"/>
  <c r="B388" i="50"/>
  <c r="A388" i="50"/>
  <c r="C388" i="50"/>
  <c r="F388" i="50"/>
  <c r="H388" i="50"/>
  <c r="A245" i="50"/>
  <c r="H245" i="50"/>
  <c r="F245" i="50"/>
  <c r="B245" i="50"/>
  <c r="G245" i="50"/>
  <c r="E245" i="50"/>
  <c r="C245" i="50"/>
  <c r="I245" i="50"/>
  <c r="C530" i="50"/>
  <c r="I530" i="50"/>
  <c r="B530" i="50"/>
  <c r="A530" i="50"/>
  <c r="F530" i="50"/>
  <c r="E530" i="50"/>
  <c r="G530" i="50"/>
  <c r="H530" i="50"/>
  <c r="E641" i="50"/>
  <c r="C641" i="50"/>
  <c r="A641" i="50"/>
  <c r="H641" i="50"/>
  <c r="F641" i="50"/>
  <c r="B641" i="50"/>
  <c r="I641" i="50"/>
  <c r="G641" i="50"/>
  <c r="B543" i="50"/>
  <c r="C543" i="50"/>
  <c r="E543" i="50"/>
  <c r="H543" i="50"/>
  <c r="F543" i="50"/>
  <c r="G543" i="50"/>
  <c r="I543" i="50"/>
  <c r="A543" i="50"/>
  <c r="I57" i="50"/>
  <c r="C57" i="50"/>
  <c r="A57" i="50"/>
  <c r="H57" i="50"/>
  <c r="F57" i="50"/>
  <c r="G57" i="50"/>
  <c r="E57" i="50"/>
  <c r="B57" i="50"/>
  <c r="B813" i="50"/>
  <c r="G813" i="50"/>
  <c r="C813" i="50"/>
  <c r="H813" i="50"/>
  <c r="E813" i="50"/>
  <c r="I813" i="50"/>
  <c r="F813" i="50"/>
  <c r="A813" i="50"/>
  <c r="G107" i="50"/>
  <c r="A107" i="50"/>
  <c r="H107" i="50"/>
  <c r="I107" i="50"/>
  <c r="C107" i="50"/>
  <c r="E107" i="50"/>
  <c r="B107" i="50"/>
  <c r="F107" i="50"/>
  <c r="A213" i="50"/>
  <c r="F213" i="50"/>
  <c r="H213" i="50"/>
  <c r="B213" i="50"/>
  <c r="G213" i="50"/>
  <c r="E213" i="50"/>
  <c r="I213" i="50"/>
  <c r="C213" i="50"/>
  <c r="E404" i="50"/>
  <c r="G404" i="50"/>
  <c r="F404" i="50"/>
  <c r="B404" i="50"/>
  <c r="I404" i="50"/>
  <c r="C404" i="50"/>
  <c r="H404" i="50"/>
  <c r="A404" i="50"/>
  <c r="C417" i="50"/>
  <c r="E417" i="50"/>
  <c r="I417" i="50"/>
  <c r="G417" i="50"/>
  <c r="F417" i="50"/>
  <c r="B417" i="50"/>
  <c r="A417" i="50"/>
  <c r="H417" i="50"/>
  <c r="G484" i="50"/>
  <c r="E484" i="50"/>
  <c r="F484" i="50"/>
  <c r="B484" i="50"/>
  <c r="H484" i="50"/>
  <c r="A484" i="50"/>
  <c r="C484" i="50"/>
  <c r="I484" i="50"/>
  <c r="I296" i="50"/>
  <c r="A296" i="50"/>
  <c r="G296" i="50"/>
  <c r="H296" i="50"/>
  <c r="E296" i="50"/>
  <c r="C296" i="50"/>
  <c r="B296" i="50"/>
  <c r="F296" i="50"/>
  <c r="C748" i="50"/>
  <c r="H748" i="50"/>
  <c r="E748" i="50"/>
  <c r="A748" i="50"/>
  <c r="I748" i="50"/>
  <c r="B748" i="50"/>
  <c r="F748" i="50"/>
  <c r="G748" i="50"/>
  <c r="F662" i="50"/>
  <c r="C662" i="50"/>
  <c r="H662" i="50"/>
  <c r="G662" i="50"/>
  <c r="A662" i="50"/>
  <c r="E662" i="50"/>
  <c r="B662" i="50"/>
  <c r="I662" i="50"/>
  <c r="A451" i="50"/>
  <c r="H451" i="50"/>
  <c r="C451" i="50"/>
  <c r="E451" i="50"/>
  <c r="B451" i="50"/>
  <c r="G451" i="50"/>
  <c r="F451" i="50"/>
  <c r="I451" i="50"/>
  <c r="F406" i="50"/>
  <c r="G406" i="50"/>
  <c r="H406" i="50"/>
  <c r="I406" i="50"/>
  <c r="A406" i="50"/>
  <c r="C406" i="50"/>
  <c r="E406" i="50"/>
  <c r="B406" i="50"/>
  <c r="H75" i="50"/>
  <c r="F75" i="50"/>
  <c r="A75" i="50"/>
  <c r="E75" i="50"/>
  <c r="B75" i="50"/>
  <c r="G75" i="50"/>
  <c r="I75" i="50"/>
  <c r="C75" i="50"/>
  <c r="G123" i="50"/>
  <c r="B123" i="50"/>
  <c r="H123" i="50"/>
  <c r="C123" i="50"/>
  <c r="I123" i="50"/>
  <c r="E123" i="50"/>
  <c r="F123" i="50"/>
  <c r="A123" i="50"/>
  <c r="B944" i="50"/>
  <c r="G944" i="50"/>
  <c r="H944" i="50"/>
  <c r="F944" i="50"/>
  <c r="A944" i="50"/>
  <c r="E944" i="50"/>
  <c r="I944" i="50"/>
  <c r="C944" i="50"/>
  <c r="B424" i="50"/>
  <c r="H424" i="50"/>
  <c r="C424" i="50"/>
  <c r="I424" i="50"/>
  <c r="E424" i="50"/>
  <c r="F424" i="50"/>
  <c r="G424" i="50"/>
  <c r="A424" i="50"/>
  <c r="G200" i="50"/>
  <c r="I200" i="50"/>
  <c r="E200" i="50"/>
  <c r="F200" i="50"/>
  <c r="C200" i="50"/>
  <c r="H200" i="50"/>
  <c r="B200" i="50"/>
  <c r="A200" i="50"/>
  <c r="G952" i="50"/>
  <c r="C952" i="50"/>
  <c r="I952" i="50"/>
  <c r="B952" i="50"/>
  <c r="H952" i="50"/>
  <c r="E952" i="50"/>
  <c r="F952" i="50"/>
  <c r="A952" i="50"/>
  <c r="C652" i="50"/>
  <c r="H652" i="50"/>
  <c r="B652" i="50"/>
  <c r="A652" i="50"/>
  <c r="F652" i="50"/>
  <c r="G652" i="50"/>
  <c r="I652" i="50"/>
  <c r="E652" i="50"/>
  <c r="H728" i="50"/>
  <c r="F728" i="50"/>
  <c r="B728" i="50"/>
  <c r="G728" i="50"/>
  <c r="A728" i="50"/>
  <c r="E728" i="50"/>
  <c r="I728" i="50"/>
  <c r="C728" i="50"/>
  <c r="E144" i="50"/>
  <c r="H144" i="50"/>
  <c r="C144" i="50"/>
  <c r="F144" i="50"/>
  <c r="G144" i="50"/>
  <c r="I144" i="50"/>
  <c r="B144" i="50"/>
  <c r="A144" i="50"/>
  <c r="E715" i="50"/>
  <c r="A715" i="50"/>
  <c r="G715" i="50"/>
  <c r="I715" i="50"/>
  <c r="C715" i="50"/>
  <c r="F715" i="50"/>
  <c r="B715" i="50"/>
  <c r="H715" i="50"/>
  <c r="C612" i="50"/>
  <c r="H612" i="50"/>
  <c r="I612" i="50"/>
  <c r="A612" i="50"/>
  <c r="B612" i="50"/>
  <c r="F612" i="50"/>
  <c r="E612" i="50"/>
  <c r="G612" i="50"/>
  <c r="B1060" i="50"/>
  <c r="G1060" i="50"/>
  <c r="A1060" i="50"/>
  <c r="H1060" i="50"/>
  <c r="E1060" i="50"/>
  <c r="F1060" i="50"/>
  <c r="C1060" i="50"/>
  <c r="I1060" i="50"/>
  <c r="H1039" i="50"/>
  <c r="I1039" i="50"/>
  <c r="F1039" i="50"/>
  <c r="A1039" i="50"/>
  <c r="B1039" i="50"/>
  <c r="C1039" i="50"/>
  <c r="E1039" i="50"/>
  <c r="G1039" i="50"/>
  <c r="G976" i="50"/>
  <c r="A976" i="50"/>
  <c r="I976" i="50"/>
  <c r="F976" i="50"/>
  <c r="B976" i="50"/>
  <c r="E976" i="50"/>
  <c r="H976" i="50"/>
  <c r="C976" i="50"/>
  <c r="B418" i="50"/>
  <c r="A418" i="50"/>
  <c r="F418" i="50"/>
  <c r="E418" i="50"/>
  <c r="I418" i="50"/>
  <c r="G418" i="50"/>
  <c r="C418" i="50"/>
  <c r="H418" i="50"/>
  <c r="A244" i="50"/>
  <c r="G244" i="50"/>
  <c r="H244" i="50"/>
  <c r="E244" i="50"/>
  <c r="F244" i="50"/>
  <c r="B244" i="50"/>
  <c r="I244" i="50"/>
  <c r="C244" i="50"/>
  <c r="I850" i="50"/>
  <c r="B850" i="50"/>
  <c r="C850" i="50"/>
  <c r="F850" i="50"/>
  <c r="G850" i="50"/>
  <c r="E850" i="50"/>
  <c r="A850" i="50"/>
  <c r="H850" i="50"/>
  <c r="H84" i="50"/>
  <c r="I84" i="50"/>
  <c r="A84" i="50"/>
  <c r="G84" i="50"/>
  <c r="F84" i="50"/>
  <c r="C84" i="50"/>
  <c r="E84" i="50"/>
  <c r="B84" i="50"/>
  <c r="G983" i="50"/>
  <c r="E983" i="50"/>
  <c r="H983" i="50"/>
  <c r="B983" i="50"/>
  <c r="F983" i="50"/>
  <c r="C983" i="50"/>
  <c r="I983" i="50"/>
  <c r="A983" i="50"/>
  <c r="G441" i="50"/>
  <c r="E441" i="50"/>
  <c r="I441" i="50"/>
  <c r="C441" i="50"/>
  <c r="F441" i="50"/>
  <c r="B441" i="50"/>
  <c r="A441" i="50"/>
  <c r="H441" i="50"/>
  <c r="G677" i="50"/>
  <c r="A677" i="50"/>
  <c r="E677" i="50"/>
  <c r="C677" i="50"/>
  <c r="H677" i="50"/>
  <c r="I677" i="50"/>
  <c r="F677" i="50"/>
  <c r="B677" i="50"/>
  <c r="B234" i="50"/>
  <c r="G234" i="50"/>
  <c r="E234" i="50"/>
  <c r="C234" i="50"/>
  <c r="I234" i="50"/>
  <c r="A234" i="50"/>
  <c r="H234" i="50"/>
  <c r="F234" i="50"/>
  <c r="C358" i="50"/>
  <c r="I358" i="50"/>
  <c r="G358" i="50"/>
  <c r="B358" i="50"/>
  <c r="A358" i="50"/>
  <c r="E358" i="50"/>
  <c r="H358" i="50"/>
  <c r="F358" i="50"/>
  <c r="A973" i="50"/>
  <c r="G973" i="50"/>
  <c r="H973" i="50"/>
  <c r="F973" i="50"/>
  <c r="E973" i="50"/>
  <c r="C973" i="50"/>
  <c r="I973" i="50"/>
  <c r="B973" i="50"/>
  <c r="C938" i="50"/>
  <c r="B938" i="50"/>
  <c r="E938" i="50"/>
  <c r="H938" i="50"/>
  <c r="G938" i="50"/>
  <c r="I938" i="50"/>
  <c r="F938" i="50"/>
  <c r="A938" i="50"/>
  <c r="F250" i="50"/>
  <c r="A250" i="50"/>
  <c r="G250" i="50"/>
  <c r="H250" i="50"/>
  <c r="I250" i="50"/>
  <c r="B250" i="50"/>
  <c r="C250" i="50"/>
  <c r="E250" i="50"/>
  <c r="C808" i="50"/>
  <c r="E808" i="50"/>
  <c r="H808" i="50"/>
  <c r="G808" i="50"/>
  <c r="I808" i="50"/>
  <c r="B808" i="50"/>
  <c r="F808" i="50"/>
  <c r="A808" i="50"/>
  <c r="AB399" i="32"/>
  <c r="AB400" i="32" s="1"/>
  <c r="AB678" i="32"/>
  <c r="B51" i="50"/>
  <c r="H51" i="50"/>
  <c r="C51" i="50"/>
  <c r="A51" i="50"/>
  <c r="I51" i="50"/>
  <c r="E51" i="50"/>
  <c r="F51" i="50"/>
  <c r="G51" i="50"/>
  <c r="F386" i="50"/>
  <c r="H386" i="50"/>
  <c r="A386" i="50"/>
  <c r="I386" i="50"/>
  <c r="G386" i="50"/>
  <c r="B386" i="50"/>
  <c r="C386" i="50"/>
  <c r="E386" i="50"/>
  <c r="E39" i="50"/>
  <c r="A39" i="50"/>
  <c r="C39" i="50"/>
  <c r="G39" i="50"/>
  <c r="B39" i="50"/>
  <c r="H39" i="50"/>
  <c r="F39" i="50"/>
  <c r="I39" i="50"/>
  <c r="F683" i="50"/>
  <c r="C683" i="50"/>
  <c r="E683" i="50"/>
  <c r="H683" i="50"/>
  <c r="G683" i="50"/>
  <c r="A683" i="50"/>
  <c r="B683" i="50"/>
  <c r="I683" i="50"/>
  <c r="F381" i="50"/>
  <c r="C381" i="50"/>
  <c r="G381" i="50"/>
  <c r="I381" i="50"/>
  <c r="A381" i="50"/>
  <c r="E381" i="50"/>
  <c r="B381" i="50"/>
  <c r="H381" i="50"/>
  <c r="B130" i="50"/>
  <c r="H130" i="50"/>
  <c r="E130" i="50"/>
  <c r="G130" i="50"/>
  <c r="F130" i="50"/>
  <c r="A130" i="50"/>
  <c r="I130" i="50"/>
  <c r="C130" i="50"/>
  <c r="I1048" i="50"/>
  <c r="H1048" i="50"/>
  <c r="F1048" i="50"/>
  <c r="G1048" i="50"/>
  <c r="B1048" i="50"/>
  <c r="A1048" i="50"/>
  <c r="C1048" i="50"/>
  <c r="E1048" i="50"/>
  <c r="F734" i="50"/>
  <c r="C734" i="50"/>
  <c r="H734" i="50"/>
  <c r="B734" i="50"/>
  <c r="E734" i="50"/>
  <c r="A734" i="50"/>
  <c r="I734" i="50"/>
  <c r="G734" i="50"/>
  <c r="A535" i="50"/>
  <c r="C535" i="50"/>
  <c r="B535" i="50"/>
  <c r="G535" i="50"/>
  <c r="F535" i="50"/>
  <c r="E535" i="50"/>
  <c r="H535" i="50"/>
  <c r="I535" i="50"/>
  <c r="F198" i="50"/>
  <c r="I198" i="50"/>
  <c r="H198" i="50"/>
  <c r="G198" i="50"/>
  <c r="B198" i="50"/>
  <c r="E198" i="50"/>
  <c r="A198" i="50"/>
  <c r="C198" i="50"/>
  <c r="B627" i="50"/>
  <c r="G627" i="50"/>
  <c r="F627" i="50"/>
  <c r="H627" i="50"/>
  <c r="I627" i="50"/>
  <c r="A627" i="50"/>
  <c r="E627" i="50"/>
  <c r="C627" i="50"/>
  <c r="G995" i="50"/>
  <c r="E995" i="50"/>
  <c r="A995" i="50"/>
  <c r="F995" i="50"/>
  <c r="H995" i="50"/>
  <c r="I995" i="50"/>
  <c r="C995" i="50"/>
  <c r="B995" i="50"/>
  <c r="C419" i="50"/>
  <c r="G419" i="50"/>
  <c r="E419" i="50"/>
  <c r="I419" i="50"/>
  <c r="F419" i="50"/>
  <c r="B419" i="50"/>
  <c r="H419" i="50"/>
  <c r="A419" i="50"/>
  <c r="C568" i="50"/>
  <c r="E568" i="50"/>
  <c r="H568" i="50"/>
  <c r="A568" i="50"/>
  <c r="F568" i="50"/>
  <c r="G568" i="50"/>
  <c r="I568" i="50"/>
  <c r="B568" i="50"/>
  <c r="C302" i="50"/>
  <c r="B302" i="50"/>
  <c r="E302" i="50"/>
  <c r="H302" i="50"/>
  <c r="I302" i="50"/>
  <c r="A302" i="50"/>
  <c r="G302" i="50"/>
  <c r="F302" i="50"/>
  <c r="E428" i="50"/>
  <c r="C428" i="50"/>
  <c r="I428" i="50"/>
  <c r="A428" i="50"/>
  <c r="F428" i="50"/>
  <c r="G428" i="50"/>
  <c r="H428" i="50"/>
  <c r="B428" i="50"/>
  <c r="I20" i="50"/>
  <c r="E20" i="50"/>
  <c r="H20" i="50"/>
  <c r="G20" i="50"/>
  <c r="B20" i="50"/>
  <c r="C20" i="50"/>
  <c r="A20" i="50"/>
  <c r="F20" i="50"/>
  <c r="E299" i="50"/>
  <c r="H299" i="50"/>
  <c r="I299" i="50"/>
  <c r="G299" i="50"/>
  <c r="A299" i="50"/>
  <c r="C299" i="50"/>
  <c r="B299" i="50"/>
  <c r="F299" i="50"/>
  <c r="I706" i="50"/>
  <c r="G706" i="50"/>
  <c r="B706" i="50"/>
  <c r="F706" i="50"/>
  <c r="E706" i="50"/>
  <c r="C706" i="50"/>
  <c r="A706" i="50"/>
  <c r="H706" i="50"/>
  <c r="C321" i="50"/>
  <c r="B321" i="50"/>
  <c r="G321" i="50"/>
  <c r="E321" i="50"/>
  <c r="H321" i="50"/>
  <c r="A321" i="50"/>
  <c r="F321" i="50"/>
  <c r="I321" i="50"/>
  <c r="F1014" i="50"/>
  <c r="A1014" i="50"/>
  <c r="C1014" i="50"/>
  <c r="I1014" i="50"/>
  <c r="E1014" i="50"/>
  <c r="G1014" i="50"/>
  <c r="B1014" i="50"/>
  <c r="H1014" i="50"/>
  <c r="F954" i="50"/>
  <c r="A954" i="50"/>
  <c r="I954" i="50"/>
  <c r="H954" i="50"/>
  <c r="B954" i="50"/>
  <c r="G954" i="50"/>
  <c r="E954" i="50"/>
  <c r="C954" i="50"/>
  <c r="C660" i="50"/>
  <c r="A660" i="50"/>
  <c r="H660" i="50"/>
  <c r="B660" i="50"/>
  <c r="I660" i="50"/>
  <c r="E660" i="50"/>
  <c r="F660" i="50"/>
  <c r="G660" i="50"/>
  <c r="A61" i="50"/>
  <c r="F61" i="50"/>
  <c r="I61" i="50"/>
  <c r="G61" i="50"/>
  <c r="H61" i="50"/>
  <c r="B61" i="50"/>
  <c r="C61" i="50"/>
  <c r="E61" i="50"/>
  <c r="I772" i="50"/>
  <c r="F772" i="50"/>
  <c r="A772" i="50"/>
  <c r="H772" i="50"/>
  <c r="E772" i="50"/>
  <c r="G772" i="50"/>
  <c r="C772" i="50"/>
  <c r="B772" i="50"/>
  <c r="F119" i="50"/>
  <c r="C119" i="50"/>
  <c r="B119" i="50"/>
  <c r="G119" i="50"/>
  <c r="I119" i="50"/>
  <c r="H119" i="50"/>
  <c r="E119" i="50"/>
  <c r="A119" i="50"/>
  <c r="G1079" i="50"/>
  <c r="B1079" i="50"/>
  <c r="I1079" i="50"/>
  <c r="E1079" i="50"/>
  <c r="H1079" i="50"/>
  <c r="C1079" i="50"/>
  <c r="A1079" i="50"/>
  <c r="F1079" i="50"/>
  <c r="G462" i="50"/>
  <c r="B462" i="50"/>
  <c r="C462" i="50"/>
  <c r="H462" i="50"/>
  <c r="F462" i="50"/>
  <c r="E462" i="50"/>
  <c r="A462" i="50"/>
  <c r="I462" i="50"/>
  <c r="A580" i="50"/>
  <c r="I580" i="50"/>
  <c r="E580" i="50"/>
  <c r="F580" i="50"/>
  <c r="G580" i="50"/>
  <c r="H580" i="50"/>
  <c r="C580" i="50"/>
  <c r="B580" i="50"/>
  <c r="H207" i="50"/>
  <c r="G207" i="50"/>
  <c r="I207" i="50"/>
  <c r="B207" i="50"/>
  <c r="A207" i="50"/>
  <c r="F207" i="50"/>
  <c r="E207" i="50"/>
  <c r="C207" i="50"/>
  <c r="G373" i="50"/>
  <c r="B373" i="50"/>
  <c r="C373" i="50"/>
  <c r="A373" i="50"/>
  <c r="I373" i="50"/>
  <c r="H373" i="50"/>
  <c r="F373" i="50"/>
  <c r="E373" i="50"/>
  <c r="H92" i="50"/>
  <c r="E92" i="50"/>
  <c r="F92" i="50"/>
  <c r="A92" i="50"/>
  <c r="I92" i="50"/>
  <c r="G92" i="50"/>
  <c r="B92" i="50"/>
  <c r="C92" i="50"/>
  <c r="E160" i="50"/>
  <c r="B160" i="50"/>
  <c r="H160" i="50"/>
  <c r="C160" i="50"/>
  <c r="G160" i="50"/>
  <c r="A160" i="50"/>
  <c r="I160" i="50"/>
  <c r="F160" i="50"/>
  <c r="G878" i="50"/>
  <c r="F878" i="50"/>
  <c r="I878" i="50"/>
  <c r="A878" i="50"/>
  <c r="B878" i="50"/>
  <c r="E878" i="50"/>
  <c r="C878" i="50"/>
  <c r="H878" i="50"/>
  <c r="G643" i="50"/>
  <c r="C643" i="50"/>
  <c r="E643" i="50"/>
  <c r="F643" i="50"/>
  <c r="B643" i="50"/>
  <c r="I643" i="50"/>
  <c r="A643" i="50"/>
  <c r="H643" i="50"/>
  <c r="I37" i="50"/>
  <c r="A37" i="50"/>
  <c r="C37" i="50"/>
  <c r="G37" i="50"/>
  <c r="B37" i="50"/>
  <c r="H37" i="50"/>
  <c r="E37" i="50"/>
  <c r="F37" i="50"/>
  <c r="C460" i="50"/>
  <c r="G460" i="50"/>
  <c r="F460" i="50"/>
  <c r="H460" i="50"/>
  <c r="E460" i="50"/>
  <c r="I460" i="50"/>
  <c r="A460" i="50"/>
  <c r="B460" i="50"/>
  <c r="H174" i="50"/>
  <c r="B174" i="50"/>
  <c r="F174" i="50"/>
  <c r="C174" i="50"/>
  <c r="E174" i="50"/>
  <c r="A174" i="50"/>
  <c r="I174" i="50"/>
  <c r="G174" i="50"/>
  <c r="I765" i="50"/>
  <c r="E765" i="50"/>
  <c r="B765" i="50"/>
  <c r="C765" i="50"/>
  <c r="F765" i="50"/>
  <c r="A765" i="50"/>
  <c r="G765" i="50"/>
  <c r="H765" i="50"/>
  <c r="G190" i="50"/>
  <c r="I190" i="50"/>
  <c r="A190" i="50"/>
  <c r="E190" i="50"/>
  <c r="H190" i="50"/>
  <c r="B190" i="50"/>
  <c r="C190" i="50"/>
  <c r="F190" i="50"/>
  <c r="E810" i="50"/>
  <c r="B810" i="50"/>
  <c r="C810" i="50"/>
  <c r="A810" i="50"/>
  <c r="G810" i="50"/>
  <c r="I810" i="50"/>
  <c r="F810" i="50"/>
  <c r="H810" i="50"/>
  <c r="B708" i="50"/>
  <c r="G708" i="50"/>
  <c r="E708" i="50"/>
  <c r="A708" i="50"/>
  <c r="H708" i="50"/>
  <c r="F708" i="50"/>
  <c r="C708" i="50"/>
  <c r="I708" i="50"/>
  <c r="C308" i="50"/>
  <c r="I308" i="50"/>
  <c r="A308" i="50"/>
  <c r="E308" i="50"/>
  <c r="F308" i="50"/>
  <c r="H308" i="50"/>
  <c r="G308" i="50"/>
  <c r="B308" i="50"/>
  <c r="C320" i="50"/>
  <c r="A320" i="50"/>
  <c r="B320" i="50"/>
  <c r="E320" i="50"/>
  <c r="H320" i="50"/>
  <c r="G320" i="50"/>
  <c r="I320" i="50"/>
  <c r="F320" i="50"/>
  <c r="E799" i="50"/>
  <c r="I799" i="50"/>
  <c r="H799" i="50"/>
  <c r="G799" i="50"/>
  <c r="B799" i="50"/>
  <c r="A799" i="50"/>
  <c r="C799" i="50"/>
  <c r="F799" i="50"/>
  <c r="F794" i="50"/>
  <c r="I794" i="50"/>
  <c r="E794" i="50"/>
  <c r="A794" i="50"/>
  <c r="H794" i="50"/>
  <c r="G794" i="50"/>
  <c r="C794" i="50"/>
  <c r="B794" i="50"/>
  <c r="B591" i="50"/>
  <c r="H591" i="50"/>
  <c r="C591" i="50"/>
  <c r="A591" i="50"/>
  <c r="I591" i="50"/>
  <c r="G591" i="50"/>
  <c r="F591" i="50"/>
  <c r="E591" i="50"/>
  <c r="E65" i="50"/>
  <c r="I65" i="50"/>
  <c r="A65" i="50"/>
  <c r="F65" i="50"/>
  <c r="H65" i="50"/>
  <c r="B65" i="50"/>
  <c r="G65" i="50"/>
  <c r="C65" i="50"/>
  <c r="F638" i="50"/>
  <c r="I638" i="50"/>
  <c r="E638" i="50"/>
  <c r="B638" i="50"/>
  <c r="C638" i="50"/>
  <c r="G638" i="50"/>
  <c r="A638" i="50"/>
  <c r="H638" i="50"/>
  <c r="C85" i="50"/>
  <c r="H85" i="50"/>
  <c r="G85" i="50"/>
  <c r="F85" i="50"/>
  <c r="I85" i="50"/>
  <c r="A85" i="50"/>
  <c r="E85" i="50"/>
  <c r="B85" i="50"/>
  <c r="B923" i="50"/>
  <c r="A923" i="50"/>
  <c r="C923" i="50"/>
  <c r="I923" i="50"/>
  <c r="F923" i="50"/>
  <c r="G923" i="50"/>
  <c r="H923" i="50"/>
  <c r="E923" i="50"/>
  <c r="B393" i="50"/>
  <c r="A393" i="50"/>
  <c r="H393" i="50"/>
  <c r="G393" i="50"/>
  <c r="E393" i="50"/>
  <c r="C393" i="50"/>
  <c r="F393" i="50"/>
  <c r="I393" i="50"/>
  <c r="B955" i="50"/>
  <c r="F955" i="50"/>
  <c r="C955" i="50"/>
  <c r="H955" i="50"/>
  <c r="G955" i="50"/>
  <c r="A955" i="50"/>
  <c r="E955" i="50"/>
  <c r="I955" i="50"/>
  <c r="I939" i="50"/>
  <c r="A939" i="50"/>
  <c r="E939" i="50"/>
  <c r="C939" i="50"/>
  <c r="G939" i="50"/>
  <c r="B939" i="50"/>
  <c r="F939" i="50"/>
  <c r="H939" i="50"/>
  <c r="C912" i="50"/>
  <c r="A912" i="50"/>
  <c r="B912" i="50"/>
  <c r="I912" i="50"/>
  <c r="F912" i="50"/>
  <c r="E912" i="50"/>
  <c r="H912" i="50"/>
  <c r="G912" i="50"/>
  <c r="C242" i="50"/>
  <c r="E242" i="50"/>
  <c r="H242" i="50"/>
  <c r="B242" i="50"/>
  <c r="I242" i="50"/>
  <c r="A242" i="50"/>
  <c r="G242" i="50"/>
  <c r="F242" i="50"/>
  <c r="B891" i="50"/>
  <c r="H891" i="50"/>
  <c r="F891" i="50"/>
  <c r="G891" i="50"/>
  <c r="E891" i="50"/>
  <c r="A891" i="50"/>
  <c r="I891" i="50"/>
  <c r="C891" i="50"/>
  <c r="E247" i="50"/>
  <c r="B247" i="50"/>
  <c r="F247" i="50"/>
  <c r="C247" i="50"/>
  <c r="I247" i="50"/>
  <c r="H247" i="50"/>
  <c r="A247" i="50"/>
  <c r="G247" i="50"/>
  <c r="B1061" i="50"/>
  <c r="H1061" i="50"/>
  <c r="I1061" i="50"/>
  <c r="F1061" i="50"/>
  <c r="A1061" i="50"/>
  <c r="E1061" i="50"/>
  <c r="G1061" i="50"/>
  <c r="C1061" i="50"/>
  <c r="I563" i="50"/>
  <c r="F563" i="50"/>
  <c r="A563" i="50"/>
  <c r="E563" i="50"/>
  <c r="H563" i="50"/>
  <c r="C563" i="50"/>
  <c r="G563" i="50"/>
  <c r="B563" i="50"/>
  <c r="F427" i="50"/>
  <c r="C427" i="50"/>
  <c r="E427" i="50"/>
  <c r="I427" i="50"/>
  <c r="A427" i="50"/>
  <c r="G427" i="50"/>
  <c r="H427" i="50"/>
  <c r="B427" i="50"/>
  <c r="H422" i="50"/>
  <c r="E422" i="50"/>
  <c r="I422" i="50"/>
  <c r="F422" i="50"/>
  <c r="B422" i="50"/>
  <c r="C422" i="50"/>
  <c r="G422" i="50"/>
  <c r="A422" i="50"/>
  <c r="F330" i="50"/>
  <c r="I330" i="50"/>
  <c r="B330" i="50"/>
  <c r="C330" i="50"/>
  <c r="G330" i="50"/>
  <c r="A330" i="50"/>
  <c r="H330" i="50"/>
  <c r="E330" i="50"/>
  <c r="B477" i="50"/>
  <c r="C477" i="50"/>
  <c r="G477" i="50"/>
  <c r="F477" i="50"/>
  <c r="E477" i="50"/>
  <c r="H477" i="50"/>
  <c r="A477" i="50"/>
  <c r="I477" i="50"/>
  <c r="C989" i="50"/>
  <c r="H989" i="50"/>
  <c r="G989" i="50"/>
  <c r="A989" i="50"/>
  <c r="B989" i="50"/>
  <c r="E989" i="50"/>
  <c r="F989" i="50"/>
  <c r="I989" i="50"/>
  <c r="F18" i="50"/>
  <c r="B18" i="50"/>
  <c r="G18" i="50"/>
  <c r="A18" i="50"/>
  <c r="I18" i="50"/>
  <c r="C18" i="50"/>
  <c r="E18" i="50"/>
  <c r="H18" i="50"/>
  <c r="C888" i="50"/>
  <c r="A888" i="50"/>
  <c r="H888" i="50"/>
  <c r="B888" i="50"/>
  <c r="E888" i="50"/>
  <c r="I888" i="50"/>
  <c r="F888" i="50"/>
  <c r="G888" i="50"/>
  <c r="B298" i="50"/>
  <c r="E298" i="50"/>
  <c r="A298" i="50"/>
  <c r="H298" i="50"/>
  <c r="G298" i="50"/>
  <c r="C298" i="50"/>
  <c r="F298" i="50"/>
  <c r="I298" i="50"/>
  <c r="E917" i="50"/>
  <c r="I917" i="50"/>
  <c r="A917" i="50"/>
  <c r="F917" i="50"/>
  <c r="G917" i="50"/>
  <c r="C917" i="50"/>
  <c r="B917" i="50"/>
  <c r="H917" i="50"/>
  <c r="H187" i="50"/>
  <c r="G187" i="50"/>
  <c r="F187" i="50"/>
  <c r="C187" i="50"/>
  <c r="A187" i="50"/>
  <c r="E187" i="50"/>
  <c r="B187" i="50"/>
  <c r="I187" i="50"/>
  <c r="H634" i="50"/>
  <c r="B634" i="50"/>
  <c r="I634" i="50"/>
  <c r="C634" i="50"/>
  <c r="A634" i="50"/>
  <c r="G634" i="50"/>
  <c r="E634" i="50"/>
  <c r="F634" i="50"/>
  <c r="H997" i="50"/>
  <c r="I997" i="50"/>
  <c r="E997" i="50"/>
  <c r="A997" i="50"/>
  <c r="C997" i="50"/>
  <c r="F997" i="50"/>
  <c r="G997" i="50"/>
  <c r="B997" i="50"/>
  <c r="A502" i="50"/>
  <c r="F502" i="50"/>
  <c r="C502" i="50"/>
  <c r="I502" i="50"/>
  <c r="B502" i="50"/>
  <c r="G502" i="50"/>
  <c r="H502" i="50"/>
  <c r="E502" i="50"/>
  <c r="E106" i="50"/>
  <c r="C106" i="50"/>
  <c r="A106" i="50"/>
  <c r="B106" i="50"/>
  <c r="F106" i="50"/>
  <c r="I106" i="50"/>
  <c r="G106" i="50"/>
  <c r="H106" i="50"/>
  <c r="F815" i="50"/>
  <c r="C815" i="50"/>
  <c r="G815" i="50"/>
  <c r="H815" i="50"/>
  <c r="E815" i="50"/>
  <c r="I815" i="50"/>
  <c r="B815" i="50"/>
  <c r="A815" i="50"/>
  <c r="E203" i="50"/>
  <c r="B203" i="50"/>
  <c r="A203" i="50"/>
  <c r="G203" i="50"/>
  <c r="C203" i="50"/>
  <c r="H203" i="50"/>
  <c r="I203" i="50"/>
  <c r="F203" i="50"/>
  <c r="A661" i="50"/>
  <c r="H661" i="50"/>
  <c r="B661" i="50"/>
  <c r="E661" i="50"/>
  <c r="I661" i="50"/>
  <c r="C661" i="50"/>
  <c r="F661" i="50"/>
  <c r="G661" i="50"/>
  <c r="E498" i="50"/>
  <c r="B498" i="50"/>
  <c r="G498" i="50"/>
  <c r="I498" i="50"/>
  <c r="A498" i="50"/>
  <c r="H498" i="50"/>
  <c r="C498" i="50"/>
  <c r="F498" i="50"/>
  <c r="C883" i="50"/>
  <c r="I883" i="50"/>
  <c r="A883" i="50"/>
  <c r="E883" i="50"/>
  <c r="H883" i="50"/>
  <c r="G883" i="50"/>
  <c r="B883" i="50"/>
  <c r="F883" i="50"/>
  <c r="F434" i="50"/>
  <c r="C434" i="50"/>
  <c r="E434" i="50"/>
  <c r="B434" i="50"/>
  <c r="H434" i="50"/>
  <c r="A434" i="50"/>
  <c r="G434" i="50"/>
  <c r="I434" i="50"/>
  <c r="E171" i="50"/>
  <c r="I171" i="50"/>
  <c r="A171" i="50"/>
  <c r="G171" i="50"/>
  <c r="H171" i="50"/>
  <c r="B171" i="50"/>
  <c r="F171" i="50"/>
  <c r="C171" i="50"/>
  <c r="H949" i="50"/>
  <c r="E949" i="50"/>
  <c r="C949" i="50"/>
  <c r="I949" i="50"/>
  <c r="F949" i="50"/>
  <c r="A949" i="50"/>
  <c r="B949" i="50"/>
  <c r="G949" i="50"/>
  <c r="E510" i="50"/>
  <c r="A510" i="50"/>
  <c r="I510" i="50"/>
  <c r="H510" i="50"/>
  <c r="C510" i="50"/>
  <c r="G510" i="50"/>
  <c r="F510" i="50"/>
  <c r="B510" i="50"/>
  <c r="C143" i="50"/>
  <c r="G143" i="50"/>
  <c r="A143" i="50"/>
  <c r="E143" i="50"/>
  <c r="B143" i="50"/>
  <c r="I143" i="50"/>
  <c r="F143" i="50"/>
  <c r="H143" i="50"/>
  <c r="C423" i="50"/>
  <c r="H423" i="50"/>
  <c r="A423" i="50"/>
  <c r="E423" i="50"/>
  <c r="B423" i="50"/>
  <c r="F423" i="50"/>
  <c r="I423" i="50"/>
  <c r="G423" i="50"/>
  <c r="H329" i="50"/>
  <c r="I329" i="50"/>
  <c r="G329" i="50"/>
  <c r="A329" i="50"/>
  <c r="F329" i="50"/>
  <c r="E329" i="50"/>
  <c r="C329" i="50"/>
  <c r="B329" i="50"/>
  <c r="G629" i="50"/>
  <c r="E629" i="50"/>
  <c r="C629" i="50"/>
  <c r="I629" i="50"/>
  <c r="H629" i="50"/>
  <c r="F629" i="50"/>
  <c r="B629" i="50"/>
  <c r="A629" i="50"/>
  <c r="I236" i="50"/>
  <c r="G236" i="50"/>
  <c r="H236" i="50"/>
  <c r="E236" i="50"/>
  <c r="F236" i="50"/>
  <c r="A236" i="50"/>
  <c r="C236" i="50"/>
  <c r="B236" i="50"/>
  <c r="H191" i="50"/>
  <c r="E191" i="50"/>
  <c r="A191" i="50"/>
  <c r="F191" i="50"/>
  <c r="G191" i="50"/>
  <c r="I191" i="50"/>
  <c r="C191" i="50"/>
  <c r="B191" i="50"/>
  <c r="A470" i="50"/>
  <c r="B470" i="50"/>
  <c r="F470" i="50"/>
  <c r="I470" i="50"/>
  <c r="G470" i="50"/>
  <c r="H470" i="50"/>
  <c r="E470" i="50"/>
  <c r="C470" i="50"/>
  <c r="F849" i="50"/>
  <c r="I849" i="50"/>
  <c r="A849" i="50"/>
  <c r="E849" i="50"/>
  <c r="G849" i="50"/>
  <c r="B849" i="50"/>
  <c r="H849" i="50"/>
  <c r="C849" i="50"/>
  <c r="B271" i="50"/>
  <c r="I271" i="50"/>
  <c r="C271" i="50"/>
  <c r="G271" i="50"/>
  <c r="H271" i="50"/>
  <c r="E271" i="50"/>
  <c r="F271" i="50"/>
  <c r="A271" i="50"/>
  <c r="G254" i="50"/>
  <c r="A254" i="50"/>
  <c r="B254" i="50"/>
  <c r="H254" i="50"/>
  <c r="F254" i="50"/>
  <c r="I254" i="50"/>
  <c r="E254" i="50"/>
  <c r="C254" i="50"/>
  <c r="F397" i="50"/>
  <c r="C397" i="50"/>
  <c r="A397" i="50"/>
  <c r="I397" i="50"/>
  <c r="H397" i="50"/>
  <c r="E397" i="50"/>
  <c r="G397" i="50"/>
  <c r="B397" i="50"/>
  <c r="H1030" i="50"/>
  <c r="A1030" i="50"/>
  <c r="I1030" i="50"/>
  <c r="B1030" i="50"/>
  <c r="E1030" i="50"/>
  <c r="G1030" i="50"/>
  <c r="F1030" i="50"/>
  <c r="C1030" i="50"/>
  <c r="B1008" i="50"/>
  <c r="H1008" i="50"/>
  <c r="A1008" i="50"/>
  <c r="G1008" i="50"/>
  <c r="I1008" i="50"/>
  <c r="C1008" i="50"/>
  <c r="F1008" i="50"/>
  <c r="E1008" i="50"/>
  <c r="I362" i="50"/>
  <c r="E362" i="50"/>
  <c r="A362" i="50"/>
  <c r="H362" i="50"/>
  <c r="F362" i="50"/>
  <c r="G362" i="50"/>
  <c r="B362" i="50"/>
  <c r="C362" i="50"/>
  <c r="G905" i="50"/>
  <c r="C905" i="50"/>
  <c r="I905" i="50"/>
  <c r="H905" i="50"/>
  <c r="A905" i="50"/>
  <c r="E905" i="50"/>
  <c r="B905" i="50"/>
  <c r="F905" i="50"/>
  <c r="C961" i="50"/>
  <c r="I961" i="50"/>
  <c r="B961" i="50"/>
  <c r="H961" i="50"/>
  <c r="A961" i="50"/>
  <c r="G961" i="50"/>
  <c r="E961" i="50"/>
  <c r="F961" i="50"/>
  <c r="C993" i="50"/>
  <c r="A993" i="50"/>
  <c r="H993" i="50"/>
  <c r="G993" i="50"/>
  <c r="F993" i="50"/>
  <c r="B993" i="50"/>
  <c r="I993" i="50"/>
  <c r="E993" i="50"/>
  <c r="A687" i="50"/>
  <c r="H687" i="50"/>
  <c r="E687" i="50"/>
  <c r="F687" i="50"/>
  <c r="I687" i="50"/>
  <c r="G687" i="50"/>
  <c r="B687" i="50"/>
  <c r="C687" i="50"/>
  <c r="I43" i="50"/>
  <c r="E43" i="50"/>
  <c r="H43" i="50"/>
  <c r="F43" i="50"/>
  <c r="C43" i="50"/>
  <c r="G43" i="50"/>
  <c r="A43" i="50"/>
  <c r="B43" i="50"/>
  <c r="I96" i="50"/>
  <c r="A96" i="50"/>
  <c r="G96" i="50"/>
  <c r="F96" i="50"/>
  <c r="H96" i="50"/>
  <c r="C96" i="50"/>
  <c r="E96" i="50"/>
  <c r="B96" i="50"/>
  <c r="I749" i="50"/>
  <c r="G749" i="50"/>
  <c r="B749" i="50"/>
  <c r="E749" i="50"/>
  <c r="C749" i="50"/>
  <c r="F749" i="50"/>
  <c r="A749" i="50"/>
  <c r="H749" i="50"/>
  <c r="B72" i="50"/>
  <c r="G72" i="50"/>
  <c r="F72" i="50"/>
  <c r="I72" i="50"/>
  <c r="H72" i="50"/>
  <c r="A72" i="50"/>
  <c r="E72" i="50"/>
  <c r="C72" i="50"/>
  <c r="F264" i="50"/>
  <c r="B264" i="50"/>
  <c r="E264" i="50"/>
  <c r="I264" i="50"/>
  <c r="A264" i="50"/>
  <c r="C264" i="50"/>
  <c r="G264" i="50"/>
  <c r="H264" i="50"/>
  <c r="C508" i="50"/>
  <c r="A508" i="50"/>
  <c r="H508" i="50"/>
  <c r="F508" i="50"/>
  <c r="B508" i="50"/>
  <c r="I508" i="50"/>
  <c r="E508" i="50"/>
  <c r="G508" i="50"/>
  <c r="A17" i="50"/>
  <c r="I17" i="50"/>
  <c r="B17" i="50"/>
  <c r="G17" i="50"/>
  <c r="C17" i="50"/>
  <c r="H17" i="50"/>
  <c r="F17" i="50"/>
  <c r="E17" i="50"/>
  <c r="A1063" i="50"/>
  <c r="C1063" i="50"/>
  <c r="G1063" i="50"/>
  <c r="F1063" i="50"/>
  <c r="E1063" i="50"/>
  <c r="H1063" i="50"/>
  <c r="I1063" i="50"/>
  <c r="B1063" i="50"/>
  <c r="F59" i="50"/>
  <c r="G59" i="50"/>
  <c r="H59" i="50"/>
  <c r="I59" i="50"/>
  <c r="C59" i="50"/>
  <c r="B59" i="50"/>
  <c r="E59" i="50"/>
  <c r="A59" i="50"/>
  <c r="A576" i="50"/>
  <c r="H576" i="50"/>
  <c r="G576" i="50"/>
  <c r="F576" i="50"/>
  <c r="E576" i="50"/>
  <c r="I576" i="50"/>
  <c r="C576" i="50"/>
  <c r="B576" i="50"/>
  <c r="A466" i="50"/>
  <c r="C466" i="50"/>
  <c r="H466" i="50"/>
  <c r="F466" i="50"/>
  <c r="I466" i="50"/>
  <c r="E466" i="50"/>
  <c r="B466" i="50"/>
  <c r="G466" i="50"/>
  <c r="I98" i="50"/>
  <c r="A98" i="50"/>
  <c r="F98" i="50"/>
  <c r="C98" i="50"/>
  <c r="H98" i="50"/>
  <c r="E98" i="50"/>
  <c r="B98" i="50"/>
  <c r="G98" i="50"/>
  <c r="A11" i="50"/>
  <c r="I11" i="50"/>
  <c r="E11" i="50"/>
  <c r="H11" i="50"/>
  <c r="G11" i="50"/>
  <c r="C11" i="50"/>
  <c r="B11" i="50"/>
  <c r="F11" i="50"/>
  <c r="G311" i="50"/>
  <c r="C311" i="50"/>
  <c r="F311" i="50"/>
  <c r="A311" i="50"/>
  <c r="I311" i="50"/>
  <c r="E311" i="50"/>
  <c r="H311" i="50"/>
  <c r="B311" i="50"/>
  <c r="I8" i="50"/>
  <c r="H8" i="50"/>
  <c r="C8" i="50"/>
  <c r="F8" i="50"/>
  <c r="A8" i="50"/>
  <c r="G8" i="50"/>
  <c r="B8" i="50"/>
  <c r="E8" i="50"/>
  <c r="C145" i="50"/>
  <c r="H145" i="50"/>
  <c r="I145" i="50"/>
  <c r="B145" i="50"/>
  <c r="G145" i="50"/>
  <c r="E145" i="50"/>
  <c r="F145" i="50"/>
  <c r="A145" i="50"/>
  <c r="C316" i="50"/>
  <c r="H316" i="50"/>
  <c r="I316" i="50"/>
  <c r="F316" i="50"/>
  <c r="G316" i="50"/>
  <c r="E316" i="50"/>
  <c r="B316" i="50"/>
  <c r="A316" i="50"/>
  <c r="A670" i="50"/>
  <c r="F670" i="50"/>
  <c r="I670" i="50"/>
  <c r="E670" i="50"/>
  <c r="G670" i="50"/>
  <c r="C670" i="50"/>
  <c r="B670" i="50"/>
  <c r="H670" i="50"/>
  <c r="C835" i="50"/>
  <c r="B835" i="50"/>
  <c r="A835" i="50"/>
  <c r="F835" i="50"/>
  <c r="E835" i="50"/>
  <c r="G835" i="50"/>
  <c r="I835" i="50"/>
  <c r="H835" i="50"/>
  <c r="B9" i="50"/>
  <c r="F9" i="50"/>
  <c r="C9" i="50"/>
  <c r="E9" i="50"/>
  <c r="I9" i="50"/>
  <c r="A9" i="50"/>
  <c r="H9" i="50"/>
  <c r="G9" i="50"/>
  <c r="H506" i="50"/>
  <c r="B506" i="50"/>
  <c r="A506" i="50"/>
  <c r="G506" i="50"/>
  <c r="C506" i="50"/>
  <c r="E506" i="50"/>
  <c r="F506" i="50"/>
  <c r="I506" i="50"/>
  <c r="F841" i="50"/>
  <c r="A841" i="50"/>
  <c r="B841" i="50"/>
  <c r="G841" i="50"/>
  <c r="E841" i="50"/>
  <c r="C841" i="50"/>
  <c r="H841" i="50"/>
  <c r="I841" i="50"/>
  <c r="H544" i="50"/>
  <c r="A544" i="50"/>
  <c r="C544" i="50"/>
  <c r="B544" i="50"/>
  <c r="G544" i="50"/>
  <c r="E544" i="50"/>
  <c r="I544" i="50"/>
  <c r="F544" i="50"/>
  <c r="A902" i="50"/>
  <c r="E902" i="50"/>
  <c r="C902" i="50"/>
  <c r="F902" i="50"/>
  <c r="B902" i="50"/>
  <c r="H902" i="50"/>
  <c r="G902" i="50"/>
  <c r="I902" i="50"/>
  <c r="E756" i="50"/>
  <c r="F756" i="50"/>
  <c r="B756" i="50"/>
  <c r="H756" i="50"/>
  <c r="G756" i="50"/>
  <c r="A756" i="50"/>
  <c r="C756" i="50"/>
  <c r="I756" i="50"/>
  <c r="G149" i="50"/>
  <c r="H149" i="50"/>
  <c r="A149" i="50"/>
  <c r="E149" i="50"/>
  <c r="I149" i="50"/>
  <c r="F149" i="50"/>
  <c r="B149" i="50"/>
  <c r="C149" i="50"/>
  <c r="A279" i="50"/>
  <c r="I279" i="50"/>
  <c r="F279" i="50"/>
  <c r="E279" i="50"/>
  <c r="H279" i="50"/>
  <c r="C279" i="50"/>
  <c r="B279" i="50"/>
  <c r="G279" i="50"/>
  <c r="B980" i="50"/>
  <c r="F980" i="50"/>
  <c r="E980" i="50"/>
  <c r="C980" i="50"/>
  <c r="I980" i="50"/>
  <c r="A980" i="50"/>
  <c r="H980" i="50"/>
  <c r="G980" i="50"/>
  <c r="C532" i="50"/>
  <c r="H532" i="50"/>
  <c r="I532" i="50"/>
  <c r="E532" i="50"/>
  <c r="B532" i="50"/>
  <c r="A532" i="50"/>
  <c r="F532" i="50"/>
  <c r="G532" i="50"/>
  <c r="I288" i="50"/>
  <c r="G288" i="50"/>
  <c r="B288" i="50"/>
  <c r="H288" i="50"/>
  <c r="C288" i="50"/>
  <c r="A288" i="50"/>
  <c r="E288" i="50"/>
  <c r="F288" i="50"/>
  <c r="G411" i="50"/>
  <c r="B411" i="50"/>
  <c r="E411" i="50"/>
  <c r="C411" i="50"/>
  <c r="F411" i="50"/>
  <c r="A411" i="50"/>
  <c r="H411" i="50"/>
  <c r="I411" i="50"/>
  <c r="G495" i="50"/>
  <c r="E495" i="50"/>
  <c r="F495" i="50"/>
  <c r="C495" i="50"/>
  <c r="H495" i="50"/>
  <c r="A495" i="50"/>
  <c r="B495" i="50"/>
  <c r="I495" i="50"/>
  <c r="G300" i="50"/>
  <c r="I300" i="50"/>
  <c r="H300" i="50"/>
  <c r="E300" i="50"/>
  <c r="C300" i="50"/>
  <c r="B300" i="50"/>
  <c r="F300" i="50"/>
  <c r="A300" i="50"/>
  <c r="H1082" i="50"/>
  <c r="C1082" i="50"/>
  <c r="G1082" i="50"/>
  <c r="I1082" i="50"/>
  <c r="A1082" i="50"/>
  <c r="F1082" i="50"/>
  <c r="E1082" i="50"/>
  <c r="B1082" i="50"/>
  <c r="I816" i="50"/>
  <c r="G816" i="50"/>
  <c r="B816" i="50"/>
  <c r="C816" i="50"/>
  <c r="E816" i="50"/>
  <c r="F816" i="50"/>
  <c r="A816" i="50"/>
  <c r="H816" i="50"/>
  <c r="AB1018" i="32"/>
  <c r="AB1019" i="32" s="1"/>
  <c r="AB698" i="32"/>
  <c r="AB699" i="32" s="1"/>
  <c r="AB679" i="32"/>
  <c r="AB680" i="32" s="1"/>
  <c r="B839" i="50"/>
  <c r="I839" i="50"/>
  <c r="F839" i="50"/>
  <c r="E839" i="50"/>
  <c r="H839" i="50"/>
  <c r="A839" i="50"/>
  <c r="C839" i="50"/>
  <c r="G839" i="50"/>
  <c r="G551" i="50"/>
  <c r="B551" i="50"/>
  <c r="C551" i="50"/>
  <c r="I551" i="50"/>
  <c r="E551" i="50"/>
  <c r="A551" i="50"/>
  <c r="F551" i="50"/>
  <c r="H551" i="50"/>
  <c r="A71" i="50"/>
  <c r="H71" i="50"/>
  <c r="F71" i="50"/>
  <c r="E71" i="50"/>
  <c r="I71" i="50"/>
  <c r="B71" i="50"/>
  <c r="G71" i="50"/>
  <c r="C71" i="50"/>
  <c r="E796" i="50"/>
  <c r="G796" i="50"/>
  <c r="F796" i="50"/>
  <c r="C796" i="50"/>
  <c r="B796" i="50"/>
  <c r="A796" i="50"/>
  <c r="H796" i="50"/>
  <c r="I796" i="50"/>
  <c r="B834" i="50"/>
  <c r="C834" i="50"/>
  <c r="G834" i="50"/>
  <c r="I834" i="50"/>
  <c r="E834" i="50"/>
  <c r="H834" i="50"/>
  <c r="F834" i="50"/>
  <c r="A834" i="50"/>
  <c r="A513" i="50"/>
  <c r="E513" i="50"/>
  <c r="G513" i="50"/>
  <c r="F513" i="50"/>
  <c r="H513" i="50"/>
  <c r="C513" i="50"/>
  <c r="B513" i="50"/>
  <c r="I513" i="50"/>
  <c r="H485" i="50"/>
  <c r="C485" i="50"/>
  <c r="G485" i="50"/>
  <c r="I485" i="50"/>
  <c r="A485" i="50"/>
  <c r="E485" i="50"/>
  <c r="F485" i="50"/>
  <c r="B485" i="50"/>
  <c r="G534" i="50"/>
  <c r="A534" i="50"/>
  <c r="C534" i="50"/>
  <c r="H534" i="50"/>
  <c r="F534" i="50"/>
  <c r="B534" i="50"/>
  <c r="E534" i="50"/>
  <c r="I534" i="50"/>
  <c r="H285" i="50"/>
  <c r="C285" i="50"/>
  <c r="G285" i="50"/>
  <c r="E285" i="50"/>
  <c r="F285" i="50"/>
  <c r="B285" i="50"/>
  <c r="I285" i="50"/>
  <c r="A285" i="50"/>
  <c r="G53" i="50"/>
  <c r="A53" i="50"/>
  <c r="I53" i="50"/>
  <c r="B53" i="50"/>
  <c r="C53" i="50"/>
  <c r="F53" i="50"/>
  <c r="H53" i="50"/>
  <c r="E53" i="50"/>
  <c r="I701" i="50"/>
  <c r="E701" i="50"/>
  <c r="B701" i="50"/>
  <c r="C701" i="50"/>
  <c r="G701" i="50"/>
  <c r="A701" i="50"/>
  <c r="H701" i="50"/>
  <c r="F701" i="50"/>
  <c r="B879" i="50"/>
  <c r="C879" i="50"/>
  <c r="A879" i="50"/>
  <c r="H879" i="50"/>
  <c r="G879" i="50"/>
  <c r="I879" i="50"/>
  <c r="E879" i="50"/>
  <c r="F879" i="50"/>
  <c r="B429" i="50"/>
  <c r="E429" i="50"/>
  <c r="H429" i="50"/>
  <c r="I429" i="50"/>
  <c r="G429" i="50"/>
  <c r="F429" i="50"/>
  <c r="C429" i="50"/>
  <c r="A429" i="50"/>
  <c r="H374" i="50"/>
  <c r="B374" i="50"/>
  <c r="G374" i="50"/>
  <c r="I374" i="50"/>
  <c r="C374" i="50"/>
  <c r="F374" i="50"/>
  <c r="A374" i="50"/>
  <c r="E374" i="50"/>
  <c r="E127" i="50"/>
  <c r="F127" i="50"/>
  <c r="G127" i="50"/>
  <c r="B127" i="50"/>
  <c r="H127" i="50"/>
  <c r="C127" i="50"/>
  <c r="A127" i="50"/>
  <c r="I127" i="50"/>
  <c r="A225" i="50"/>
  <c r="B225" i="50"/>
  <c r="G225" i="50"/>
  <c r="H225" i="50"/>
  <c r="C225" i="50"/>
  <c r="F225" i="50"/>
  <c r="I225" i="50"/>
  <c r="E225" i="50"/>
  <c r="B764" i="50"/>
  <c r="A764" i="50"/>
  <c r="H764" i="50"/>
  <c r="F764" i="50"/>
  <c r="E764" i="50"/>
  <c r="G764" i="50"/>
  <c r="I764" i="50"/>
  <c r="C764" i="50"/>
  <c r="F769" i="50"/>
  <c r="E769" i="50"/>
  <c r="H769" i="50"/>
  <c r="B769" i="50"/>
  <c r="C769" i="50"/>
  <c r="I769" i="50"/>
  <c r="G769" i="50"/>
  <c r="A769" i="50"/>
  <c r="H385" i="50"/>
  <c r="C385" i="50"/>
  <c r="I385" i="50"/>
  <c r="B385" i="50"/>
  <c r="G385" i="50"/>
  <c r="E385" i="50"/>
  <c r="F385" i="50"/>
  <c r="A385" i="50"/>
  <c r="F528" i="50"/>
  <c r="I528" i="50"/>
  <c r="E528" i="50"/>
  <c r="H528" i="50"/>
  <c r="G528" i="50"/>
  <c r="C528" i="50"/>
  <c r="A528" i="50"/>
  <c r="B528" i="50"/>
  <c r="H903" i="50"/>
  <c r="C903" i="50"/>
  <c r="A903" i="50"/>
  <c r="I903" i="50"/>
  <c r="B903" i="50"/>
  <c r="F903" i="50"/>
  <c r="G903" i="50"/>
  <c r="E903" i="50"/>
  <c r="G618" i="50"/>
  <c r="C618" i="50"/>
  <c r="H618" i="50"/>
  <c r="E618" i="50"/>
  <c r="I618" i="50"/>
  <c r="F618" i="50"/>
  <c r="A618" i="50"/>
  <c r="B618" i="50"/>
  <c r="B453" i="50"/>
  <c r="G453" i="50"/>
  <c r="F453" i="50"/>
  <c r="A453" i="50"/>
  <c r="I453" i="50"/>
  <c r="E453" i="50"/>
  <c r="C453" i="50"/>
  <c r="H453" i="50"/>
  <c r="A1083" i="50"/>
  <c r="C1083" i="50"/>
  <c r="F1083" i="50"/>
  <c r="H1083" i="50"/>
  <c r="E1083" i="50"/>
  <c r="B1083" i="50"/>
  <c r="G1083" i="50"/>
  <c r="I1083" i="50"/>
  <c r="B338" i="50"/>
  <c r="I338" i="50"/>
  <c r="G338" i="50"/>
  <c r="A338" i="50"/>
  <c r="H338" i="50"/>
  <c r="E338" i="50"/>
  <c r="F338" i="50"/>
  <c r="C338" i="50"/>
  <c r="E246" i="50"/>
  <c r="B246" i="50"/>
  <c r="F246" i="50"/>
  <c r="C246" i="50"/>
  <c r="I246" i="50"/>
  <c r="A246" i="50"/>
  <c r="G246" i="50"/>
  <c r="H246" i="50"/>
  <c r="F13" i="50"/>
  <c r="A13" i="50"/>
  <c r="H13" i="50"/>
  <c r="I13" i="50"/>
  <c r="B13" i="50"/>
  <c r="G13" i="50"/>
  <c r="C13" i="50"/>
  <c r="E13" i="50"/>
  <c r="I480" i="50"/>
  <c r="E480" i="50"/>
  <c r="H480" i="50"/>
  <c r="F480" i="50"/>
  <c r="A480" i="50"/>
  <c r="C480" i="50"/>
  <c r="B480" i="50"/>
  <c r="G480" i="50"/>
  <c r="C1084" i="50"/>
  <c r="F1084" i="50"/>
  <c r="H1084" i="50"/>
  <c r="I1084" i="50"/>
  <c r="A1084" i="50"/>
  <c r="G1084" i="50"/>
  <c r="B1084" i="50"/>
  <c r="E1084" i="50"/>
  <c r="A695" i="50"/>
  <c r="C695" i="50"/>
  <c r="G695" i="50"/>
  <c r="E695" i="50"/>
  <c r="I695" i="50"/>
  <c r="B695" i="50"/>
  <c r="F695" i="50"/>
  <c r="H695" i="50"/>
  <c r="E1057" i="50"/>
  <c r="G1057" i="50"/>
  <c r="A1057" i="50"/>
  <c r="I1057" i="50"/>
  <c r="H1057" i="50"/>
  <c r="C1057" i="50"/>
  <c r="B1057" i="50"/>
  <c r="F1057" i="50"/>
  <c r="E562" i="50"/>
  <c r="C562" i="50"/>
  <c r="H562" i="50"/>
  <c r="F562" i="50"/>
  <c r="I562" i="50"/>
  <c r="A562" i="50"/>
  <c r="B562" i="50"/>
  <c r="G562" i="50"/>
  <c r="B348" i="50"/>
  <c r="G348" i="50"/>
  <c r="I348" i="50"/>
  <c r="C348" i="50"/>
  <c r="F348" i="50"/>
  <c r="A348" i="50"/>
  <c r="E348" i="50"/>
  <c r="H348" i="50"/>
  <c r="C1056" i="50"/>
  <c r="E1056" i="50"/>
  <c r="G1056" i="50"/>
  <c r="A1056" i="50"/>
  <c r="F1056" i="50"/>
  <c r="H1056" i="50"/>
  <c r="I1056" i="50"/>
  <c r="B1056" i="50"/>
  <c r="E237" i="50"/>
  <c r="C237" i="50"/>
  <c r="B237" i="50"/>
  <c r="I237" i="50"/>
  <c r="H237" i="50"/>
  <c r="F237" i="50"/>
  <c r="A237" i="50"/>
  <c r="G237" i="50"/>
  <c r="E1040" i="50"/>
  <c r="H1040" i="50"/>
  <c r="I1040" i="50"/>
  <c r="B1040" i="50"/>
  <c r="F1040" i="50"/>
  <c r="C1040" i="50"/>
  <c r="A1040" i="50"/>
  <c r="G1040" i="50"/>
  <c r="G66" i="50"/>
  <c r="H66" i="50"/>
  <c r="I66" i="50"/>
  <c r="F66" i="50"/>
  <c r="B66" i="50"/>
  <c r="E66" i="50"/>
  <c r="A66" i="50"/>
  <c r="C66" i="50"/>
  <c r="C663" i="50"/>
  <c r="F663" i="50"/>
  <c r="I663" i="50"/>
  <c r="G663" i="50"/>
  <c r="A663" i="50"/>
  <c r="E663" i="50"/>
  <c r="B663" i="50"/>
  <c r="H663" i="50"/>
  <c r="E45" i="50"/>
  <c r="C45" i="50"/>
  <c r="A45" i="50"/>
  <c r="H45" i="50"/>
  <c r="I45" i="50"/>
  <c r="F45" i="50"/>
  <c r="G45" i="50"/>
  <c r="B45" i="50"/>
  <c r="H77" i="50"/>
  <c r="G77" i="50"/>
  <c r="A77" i="50"/>
  <c r="C77" i="50"/>
  <c r="F77" i="50"/>
  <c r="E77" i="50"/>
  <c r="B77" i="50"/>
  <c r="I77" i="50"/>
  <c r="F168" i="50"/>
  <c r="G168" i="50"/>
  <c r="I168" i="50"/>
  <c r="E168" i="50"/>
  <c r="B168" i="50"/>
  <c r="A168" i="50"/>
  <c r="C168" i="50"/>
  <c r="H168" i="50"/>
  <c r="C573" i="50"/>
  <c r="G573" i="50"/>
  <c r="E573" i="50"/>
  <c r="H573" i="50"/>
  <c r="F573" i="50"/>
  <c r="I573" i="50"/>
  <c r="A573" i="50"/>
  <c r="B573" i="50"/>
  <c r="B893" i="50"/>
  <c r="H893" i="50"/>
  <c r="E893" i="50"/>
  <c r="F893" i="50"/>
  <c r="I893" i="50"/>
  <c r="A893" i="50"/>
  <c r="G893" i="50"/>
  <c r="C893" i="50"/>
  <c r="E1090" i="50"/>
  <c r="A1090" i="50"/>
  <c r="H1090" i="50"/>
  <c r="I1090" i="50"/>
  <c r="C1090" i="50"/>
  <c r="F1090" i="50"/>
  <c r="B1090" i="50"/>
  <c r="G1090" i="50"/>
  <c r="E146" i="50"/>
  <c r="B146" i="50"/>
  <c r="C146" i="50"/>
  <c r="G146" i="50"/>
  <c r="F146" i="50"/>
  <c r="A146" i="50"/>
  <c r="H146" i="50"/>
  <c r="I146" i="50"/>
  <c r="B941" i="50"/>
  <c r="E941" i="50"/>
  <c r="H941" i="50"/>
  <c r="C941" i="50"/>
  <c r="G941" i="50"/>
  <c r="I941" i="50"/>
  <c r="F941" i="50"/>
  <c r="A941" i="50"/>
  <c r="A1073" i="50"/>
  <c r="G1073" i="50"/>
  <c r="B1073" i="50"/>
  <c r="I1073" i="50"/>
  <c r="F1073" i="50"/>
  <c r="E1073" i="50"/>
  <c r="C1073" i="50"/>
  <c r="H1073" i="50"/>
  <c r="F1046" i="50"/>
  <c r="B1046" i="50"/>
  <c r="A1046" i="50"/>
  <c r="C1046" i="50"/>
  <c r="I1046" i="50"/>
  <c r="E1046" i="50"/>
  <c r="G1046" i="50"/>
  <c r="H1046" i="50"/>
  <c r="B606" i="50"/>
  <c r="F606" i="50"/>
  <c r="C606" i="50"/>
  <c r="E606" i="50"/>
  <c r="I606" i="50"/>
  <c r="A606" i="50"/>
  <c r="G606" i="50"/>
  <c r="H606" i="50"/>
  <c r="H583" i="50"/>
  <c r="C583" i="50"/>
  <c r="F583" i="50"/>
  <c r="B583" i="50"/>
  <c r="G583" i="50"/>
  <c r="E583" i="50"/>
  <c r="A583" i="50"/>
  <c r="I583" i="50"/>
  <c r="I992" i="50"/>
  <c r="C992" i="50"/>
  <c r="H992" i="50"/>
  <c r="E992" i="50"/>
  <c r="F992" i="50"/>
  <c r="B992" i="50"/>
  <c r="G992" i="50"/>
  <c r="A992" i="50"/>
  <c r="C777" i="50"/>
  <c r="A777" i="50"/>
  <c r="B777" i="50"/>
  <c r="H777" i="50"/>
  <c r="F777" i="50"/>
  <c r="I777" i="50"/>
  <c r="E777" i="50"/>
  <c r="G777" i="50"/>
  <c r="C233" i="50"/>
  <c r="I233" i="50"/>
  <c r="B233" i="50"/>
  <c r="G233" i="50"/>
  <c r="E233" i="50"/>
  <c r="A233" i="50"/>
  <c r="H233" i="50"/>
  <c r="F233" i="50"/>
  <c r="A334" i="50"/>
  <c r="I334" i="50"/>
  <c r="B334" i="50"/>
  <c r="F334" i="50"/>
  <c r="E334" i="50"/>
  <c r="H334" i="50"/>
  <c r="C334" i="50"/>
  <c r="G334" i="50"/>
  <c r="B313" i="50"/>
  <c r="H313" i="50"/>
  <c r="F313" i="50"/>
  <c r="C313" i="50"/>
  <c r="A313" i="50"/>
  <c r="E313" i="50"/>
  <c r="I313" i="50"/>
  <c r="G313" i="50"/>
  <c r="C531" i="50"/>
  <c r="F531" i="50"/>
  <c r="E531" i="50"/>
  <c r="A531" i="50"/>
  <c r="B531" i="50"/>
  <c r="G531" i="50"/>
  <c r="H531" i="50"/>
  <c r="I531" i="50"/>
  <c r="B552" i="50"/>
  <c r="F552" i="50"/>
  <c r="H552" i="50"/>
  <c r="I552" i="50"/>
  <c r="C552" i="50"/>
  <c r="E552" i="50"/>
  <c r="A552" i="50"/>
  <c r="G552" i="50"/>
  <c r="C489" i="50"/>
  <c r="B489" i="50"/>
  <c r="E489" i="50"/>
  <c r="I489" i="50"/>
  <c r="G489" i="50"/>
  <c r="F489" i="50"/>
  <c r="A489" i="50"/>
  <c r="H489" i="50"/>
  <c r="F655" i="50"/>
  <c r="I655" i="50"/>
  <c r="B655" i="50"/>
  <c r="H655" i="50"/>
  <c r="E655" i="50"/>
  <c r="A655" i="50"/>
  <c r="C655" i="50"/>
  <c r="G655" i="50"/>
  <c r="F38" i="50"/>
  <c r="I38" i="50"/>
  <c r="A38" i="50"/>
  <c r="B38" i="50"/>
  <c r="H38" i="50"/>
  <c r="G38" i="50"/>
  <c r="E38" i="50"/>
  <c r="C38" i="50"/>
  <c r="B526" i="50"/>
  <c r="G526" i="50"/>
  <c r="C526" i="50"/>
  <c r="A526" i="50"/>
  <c r="I526" i="50"/>
  <c r="F526" i="50"/>
  <c r="H526" i="50"/>
  <c r="E526" i="50"/>
  <c r="H1080" i="50"/>
  <c r="E1080" i="50"/>
  <c r="F1080" i="50"/>
  <c r="B1080" i="50"/>
  <c r="I1080" i="50"/>
  <c r="C1080" i="50"/>
  <c r="G1080" i="50"/>
  <c r="A1080" i="50"/>
  <c r="F682" i="50"/>
  <c r="E682" i="50"/>
  <c r="B682" i="50"/>
  <c r="A682" i="50"/>
  <c r="H682" i="50"/>
  <c r="I682" i="50"/>
  <c r="G682" i="50"/>
  <c r="C682" i="50"/>
  <c r="H636" i="50"/>
  <c r="C636" i="50"/>
  <c r="G636" i="50"/>
  <c r="I636" i="50"/>
  <c r="A636" i="50"/>
  <c r="F636" i="50"/>
  <c r="B636" i="50"/>
  <c r="E636" i="50"/>
  <c r="H690" i="50"/>
  <c r="E690" i="50"/>
  <c r="C690" i="50"/>
  <c r="G690" i="50"/>
  <c r="F690" i="50"/>
  <c r="I690" i="50"/>
  <c r="A690" i="50"/>
  <c r="B690" i="50"/>
  <c r="G925" i="50"/>
  <c r="A925" i="50"/>
  <c r="F925" i="50"/>
  <c r="I925" i="50"/>
  <c r="H925" i="50"/>
  <c r="C925" i="50"/>
  <c r="E925" i="50"/>
  <c r="B925" i="50"/>
  <c r="E492" i="50"/>
  <c r="A492" i="50"/>
  <c r="I492" i="50"/>
  <c r="H492" i="50"/>
  <c r="G492" i="50"/>
  <c r="C492" i="50"/>
  <c r="B492" i="50"/>
  <c r="F492" i="50"/>
  <c r="C691" i="50"/>
  <c r="A691" i="50"/>
  <c r="B691" i="50"/>
  <c r="I691" i="50"/>
  <c r="G691" i="50"/>
  <c r="E691" i="50"/>
  <c r="F691" i="50"/>
  <c r="H691" i="50"/>
  <c r="G1047" i="50"/>
  <c r="I1047" i="50"/>
  <c r="B1047" i="50"/>
  <c r="E1047" i="50"/>
  <c r="C1047" i="50"/>
  <c r="A1047" i="50"/>
  <c r="H1047" i="50"/>
  <c r="F1047" i="50"/>
  <c r="G918" i="50"/>
  <c r="E918" i="50"/>
  <c r="A918" i="50"/>
  <c r="F918" i="50"/>
  <c r="B918" i="50"/>
  <c r="C918" i="50"/>
  <c r="I918" i="50"/>
  <c r="H918" i="50"/>
  <c r="F754" i="50"/>
  <c r="B754" i="50"/>
  <c r="H754" i="50"/>
  <c r="G754" i="50"/>
  <c r="I754" i="50"/>
  <c r="E754" i="50"/>
  <c r="C754" i="50"/>
  <c r="A754" i="50"/>
  <c r="G25" i="50"/>
  <c r="I25" i="50"/>
  <c r="C25" i="50"/>
  <c r="F25" i="50"/>
  <c r="E25" i="50"/>
  <c r="H25" i="50"/>
  <c r="A25" i="50"/>
  <c r="B25" i="50"/>
  <c r="G140" i="50"/>
  <c r="E140" i="50"/>
  <c r="A140" i="50"/>
  <c r="B140" i="50"/>
  <c r="H140" i="50"/>
  <c r="I140" i="50"/>
  <c r="C140" i="50"/>
  <c r="F140" i="50"/>
  <c r="F67" i="50"/>
  <c r="B67" i="50"/>
  <c r="G67" i="50"/>
  <c r="A67" i="50"/>
  <c r="C67" i="50"/>
  <c r="E67" i="50"/>
  <c r="I67" i="50"/>
  <c r="H67" i="50"/>
  <c r="G987" i="50"/>
  <c r="F987" i="50"/>
  <c r="A987" i="50"/>
  <c r="E987" i="50"/>
  <c r="B987" i="50"/>
  <c r="C987" i="50"/>
  <c r="I987" i="50"/>
  <c r="H987" i="50"/>
  <c r="B155" i="50"/>
  <c r="E155" i="50"/>
  <c r="G155" i="50"/>
  <c r="I155" i="50"/>
  <c r="A155" i="50"/>
  <c r="C155" i="50"/>
  <c r="F155" i="50"/>
  <c r="H155" i="50"/>
  <c r="F219" i="50"/>
  <c r="B219" i="50"/>
  <c r="H219" i="50"/>
  <c r="C219" i="50"/>
  <c r="G219" i="50"/>
  <c r="A219" i="50"/>
  <c r="E219" i="50"/>
  <c r="I219" i="50"/>
  <c r="F773" i="50"/>
  <c r="A773" i="50"/>
  <c r="B773" i="50"/>
  <c r="H773" i="50"/>
  <c r="C773" i="50"/>
  <c r="E773" i="50"/>
  <c r="G773" i="50"/>
  <c r="I773" i="50"/>
  <c r="G1045" i="50"/>
  <c r="F1045" i="50"/>
  <c r="B1045" i="50"/>
  <c r="A1045" i="50"/>
  <c r="C1045" i="50"/>
  <c r="E1045" i="50"/>
  <c r="H1045" i="50"/>
  <c r="I1045" i="50"/>
  <c r="H819" i="50"/>
  <c r="B819" i="50"/>
  <c r="F819" i="50"/>
  <c r="C819" i="50"/>
  <c r="E819" i="50"/>
  <c r="A819" i="50"/>
  <c r="I819" i="50"/>
  <c r="G819" i="50"/>
  <c r="H644" i="50"/>
  <c r="C644" i="50"/>
  <c r="I644" i="50"/>
  <c r="B644" i="50"/>
  <c r="G644" i="50"/>
  <c r="E644" i="50"/>
  <c r="A644" i="50"/>
  <c r="F644" i="50"/>
  <c r="I375" i="50"/>
  <c r="E375" i="50"/>
  <c r="F375" i="50"/>
  <c r="G375" i="50"/>
  <c r="B375" i="50"/>
  <c r="H375" i="50"/>
  <c r="C375" i="50"/>
  <c r="A375" i="50"/>
  <c r="B673" i="50"/>
  <c r="E673" i="50"/>
  <c r="F673" i="50"/>
  <c r="C673" i="50"/>
  <c r="G673" i="50"/>
  <c r="A673" i="50"/>
  <c r="H673" i="50"/>
  <c r="I673" i="50"/>
  <c r="I241" i="50"/>
  <c r="B241" i="50"/>
  <c r="H241" i="50"/>
  <c r="C241" i="50"/>
  <c r="F241" i="50"/>
  <c r="E241" i="50"/>
  <c r="A241" i="50"/>
  <c r="G241" i="50"/>
  <c r="G649" i="50"/>
  <c r="B649" i="50"/>
  <c r="F649" i="50"/>
  <c r="C649" i="50"/>
  <c r="H649" i="50"/>
  <c r="I649" i="50"/>
  <c r="E649" i="50"/>
  <c r="A649" i="50"/>
  <c r="I518" i="50"/>
  <c r="G518" i="50"/>
  <c r="E518" i="50"/>
  <c r="C518" i="50"/>
  <c r="H518" i="50"/>
  <c r="A518" i="50"/>
  <c r="F518" i="50"/>
  <c r="B518" i="50"/>
  <c r="H201" i="50"/>
  <c r="B201" i="50"/>
  <c r="I201" i="50"/>
  <c r="G201" i="50"/>
  <c r="A201" i="50"/>
  <c r="E201" i="50"/>
  <c r="C201" i="50"/>
  <c r="F201" i="50"/>
  <c r="C448" i="50"/>
  <c r="H448" i="50"/>
  <c r="E448" i="50"/>
  <c r="F448" i="50"/>
  <c r="A448" i="50"/>
  <c r="I448" i="50"/>
  <c r="B448" i="50"/>
  <c r="G448" i="50"/>
  <c r="A802" i="50"/>
  <c r="H802" i="50"/>
  <c r="I802" i="50"/>
  <c r="C802" i="50"/>
  <c r="E802" i="50"/>
  <c r="B802" i="50"/>
  <c r="F802" i="50"/>
  <c r="G802" i="50"/>
  <c r="G346" i="50"/>
  <c r="I346" i="50"/>
  <c r="B346" i="50"/>
  <c r="A346" i="50"/>
  <c r="H346" i="50"/>
  <c r="E346" i="50"/>
  <c r="C346" i="50"/>
  <c r="F346" i="50"/>
  <c r="B273" i="50"/>
  <c r="G273" i="50"/>
  <c r="I273" i="50"/>
  <c r="E273" i="50"/>
  <c r="C273" i="50"/>
  <c r="A273" i="50"/>
  <c r="H273" i="50"/>
  <c r="F273" i="50"/>
  <c r="G600" i="50"/>
  <c r="E600" i="50"/>
  <c r="I600" i="50"/>
  <c r="A600" i="50"/>
  <c r="B600" i="50"/>
  <c r="F600" i="50"/>
  <c r="C600" i="50"/>
  <c r="H600" i="50"/>
  <c r="C29" i="50"/>
  <c r="F29" i="50"/>
  <c r="H29" i="50"/>
  <c r="E29" i="50"/>
  <c r="B29" i="50"/>
  <c r="I29" i="50"/>
  <c r="G29" i="50"/>
  <c r="A29" i="50"/>
  <c r="B64" i="50"/>
  <c r="G64" i="50"/>
  <c r="H64" i="50"/>
  <c r="A64" i="50"/>
  <c r="E64" i="50"/>
  <c r="C64" i="50"/>
  <c r="F64" i="50"/>
  <c r="I64" i="50"/>
  <c r="F964" i="50"/>
  <c r="E964" i="50"/>
  <c r="C964" i="50"/>
  <c r="B964" i="50"/>
  <c r="I964" i="50"/>
  <c r="A964" i="50"/>
  <c r="H964" i="50"/>
  <c r="G964" i="50"/>
  <c r="A70" i="50"/>
  <c r="C70" i="50"/>
  <c r="H70" i="50"/>
  <c r="B70" i="50"/>
  <c r="E70" i="50"/>
  <c r="F70" i="50"/>
  <c r="I70" i="50"/>
  <c r="G70" i="50"/>
  <c r="I940" i="50"/>
  <c r="B940" i="50"/>
  <c r="E940" i="50"/>
  <c r="H940" i="50"/>
  <c r="A940" i="50"/>
  <c r="C940" i="50"/>
  <c r="F940" i="50"/>
  <c r="G940" i="50"/>
  <c r="H740" i="50"/>
  <c r="C740" i="50"/>
  <c r="G740" i="50"/>
  <c r="A740" i="50"/>
  <c r="F740" i="50"/>
  <c r="I740" i="50"/>
  <c r="B740" i="50"/>
  <c r="E740" i="50"/>
  <c r="F355" i="50"/>
  <c r="C355" i="50"/>
  <c r="A355" i="50"/>
  <c r="H355" i="50"/>
  <c r="I355" i="50"/>
  <c r="B355" i="50"/>
  <c r="E355" i="50"/>
  <c r="G355" i="50"/>
  <c r="E442" i="50"/>
  <c r="G442" i="50"/>
  <c r="H442" i="50"/>
  <c r="C442" i="50"/>
  <c r="F442" i="50"/>
  <c r="B442" i="50"/>
  <c r="I442" i="50"/>
  <c r="A442" i="50"/>
  <c r="I679" i="50"/>
  <c r="G679" i="50"/>
  <c r="E679" i="50"/>
  <c r="F679" i="50"/>
  <c r="C679" i="50"/>
  <c r="A679" i="50"/>
  <c r="H679" i="50"/>
  <c r="B679" i="50"/>
  <c r="A713" i="50"/>
  <c r="I713" i="50"/>
  <c r="B713" i="50"/>
  <c r="H713" i="50"/>
  <c r="C713" i="50"/>
  <c r="G713" i="50"/>
  <c r="E713" i="50"/>
  <c r="F713" i="50"/>
  <c r="C828" i="50"/>
  <c r="H828" i="50"/>
  <c r="I828" i="50"/>
  <c r="E828" i="50"/>
  <c r="B828" i="50"/>
  <c r="G828" i="50"/>
  <c r="A828" i="50"/>
  <c r="F828" i="50"/>
  <c r="I389" i="50"/>
  <c r="A389" i="50"/>
  <c r="C389" i="50"/>
  <c r="H389" i="50"/>
  <c r="F389" i="50"/>
  <c r="E389" i="50"/>
  <c r="G389" i="50"/>
  <c r="B389" i="50"/>
  <c r="B504" i="50"/>
  <c r="F504" i="50"/>
  <c r="C504" i="50"/>
  <c r="G504" i="50"/>
  <c r="H504" i="50"/>
  <c r="A504" i="50"/>
  <c r="I504" i="50"/>
  <c r="E504" i="50"/>
  <c r="A922" i="50"/>
  <c r="I922" i="50"/>
  <c r="F922" i="50"/>
  <c r="C922" i="50"/>
  <c r="G922" i="50"/>
  <c r="E922" i="50"/>
  <c r="H922" i="50"/>
  <c r="B922" i="50"/>
  <c r="H933" i="50"/>
  <c r="I933" i="50"/>
  <c r="E933" i="50"/>
  <c r="G933" i="50"/>
  <c r="B933" i="50"/>
  <c r="F933" i="50"/>
  <c r="A933" i="50"/>
  <c r="C933" i="50"/>
  <c r="G399" i="50"/>
  <c r="C399" i="50"/>
  <c r="F399" i="50"/>
  <c r="B399" i="50"/>
  <c r="E399" i="50"/>
  <c r="I399" i="50"/>
  <c r="H399" i="50"/>
  <c r="A399" i="50"/>
  <c r="H521" i="50"/>
  <c r="I521" i="50"/>
  <c r="G521" i="50"/>
  <c r="C521" i="50"/>
  <c r="A521" i="50"/>
  <c r="F521" i="50"/>
  <c r="E521" i="50"/>
  <c r="B521" i="50"/>
  <c r="F478" i="50"/>
  <c r="I478" i="50"/>
  <c r="H478" i="50"/>
  <c r="A478" i="50"/>
  <c r="B478" i="50"/>
  <c r="G478" i="50"/>
  <c r="C478" i="50"/>
  <c r="E478" i="50"/>
  <c r="A354" i="50"/>
  <c r="C354" i="50"/>
  <c r="G354" i="50"/>
  <c r="B354" i="50"/>
  <c r="E354" i="50"/>
  <c r="F354" i="50"/>
  <c r="H354" i="50"/>
  <c r="I354" i="50"/>
  <c r="F352" i="50"/>
  <c r="C352" i="50"/>
  <c r="E352" i="50"/>
  <c r="H352" i="50"/>
  <c r="G352" i="50"/>
  <c r="A352" i="50"/>
  <c r="B352" i="50"/>
  <c r="I352" i="50"/>
  <c r="G1071" i="50"/>
  <c r="E1071" i="50"/>
  <c r="I1071" i="50"/>
  <c r="A1071" i="50"/>
  <c r="H1071" i="50"/>
  <c r="B1071" i="50"/>
  <c r="F1071" i="50"/>
  <c r="C1071" i="50"/>
  <c r="A408" i="50"/>
  <c r="G408" i="50"/>
  <c r="I408" i="50"/>
  <c r="B408" i="50"/>
  <c r="E408" i="50"/>
  <c r="H408" i="50"/>
  <c r="C408" i="50"/>
  <c r="F408" i="50"/>
  <c r="C1041" i="50"/>
  <c r="G1041" i="50"/>
  <c r="I1041" i="50"/>
  <c r="F1041" i="50"/>
  <c r="A1041" i="50"/>
  <c r="B1041" i="50"/>
  <c r="E1041" i="50"/>
  <c r="H1041" i="50"/>
  <c r="B846" i="50"/>
  <c r="E846" i="50"/>
  <c r="I846" i="50"/>
  <c r="H846" i="50"/>
  <c r="A846" i="50"/>
  <c r="G846" i="50"/>
  <c r="F846" i="50"/>
  <c r="C846" i="50"/>
  <c r="I196" i="50"/>
  <c r="C196" i="50"/>
  <c r="A196" i="50"/>
  <c r="G196" i="50"/>
  <c r="F196" i="50"/>
  <c r="E196" i="50"/>
  <c r="B196" i="50"/>
  <c r="H196" i="50"/>
  <c r="C343" i="50"/>
  <c r="F343" i="50"/>
  <c r="G343" i="50"/>
  <c r="B343" i="50"/>
  <c r="H343" i="50"/>
  <c r="I343" i="50"/>
  <c r="E343" i="50"/>
  <c r="A343" i="50"/>
  <c r="G86" i="50"/>
  <c r="C86" i="50"/>
  <c r="A86" i="50"/>
  <c r="E86" i="50"/>
  <c r="H86" i="50"/>
  <c r="F86" i="50"/>
  <c r="I86" i="50"/>
  <c r="B86" i="50"/>
  <c r="A359" i="50"/>
  <c r="F359" i="50"/>
  <c r="E359" i="50"/>
  <c r="G359" i="50"/>
  <c r="I359" i="50"/>
  <c r="C359" i="50"/>
  <c r="H359" i="50"/>
  <c r="B359" i="50"/>
  <c r="I281" i="50"/>
  <c r="B281" i="50"/>
  <c r="H281" i="50"/>
  <c r="E281" i="50"/>
  <c r="C281" i="50"/>
  <c r="F281" i="50"/>
  <c r="A281" i="50"/>
  <c r="G281" i="50"/>
  <c r="H266" i="50"/>
  <c r="G266" i="50"/>
  <c r="F266" i="50"/>
  <c r="E266" i="50"/>
  <c r="I266" i="50"/>
  <c r="A266" i="50"/>
  <c r="C266" i="50"/>
  <c r="B266" i="50"/>
  <c r="G79" i="50"/>
  <c r="C79" i="50"/>
  <c r="E79" i="50"/>
  <c r="F79" i="50"/>
  <c r="A79" i="50"/>
  <c r="B79" i="50"/>
  <c r="H79" i="50"/>
  <c r="I79" i="50"/>
  <c r="I542" i="50"/>
  <c r="A542" i="50"/>
  <c r="C542" i="50"/>
  <c r="G542" i="50"/>
  <c r="E542" i="50"/>
  <c r="H542" i="50"/>
  <c r="F542" i="50"/>
  <c r="B542" i="50"/>
  <c r="H172" i="50"/>
  <c r="C172" i="50"/>
  <c r="F172" i="50"/>
  <c r="E172" i="50"/>
  <c r="I172" i="50"/>
  <c r="B172" i="50"/>
  <c r="G172" i="50"/>
  <c r="A172" i="50"/>
  <c r="A132" i="50"/>
  <c r="E132" i="50"/>
  <c r="G132" i="50"/>
  <c r="C132" i="50"/>
  <c r="F132" i="50"/>
  <c r="B132" i="50"/>
  <c r="H132" i="50"/>
  <c r="I132" i="50"/>
  <c r="I516" i="50"/>
  <c r="H516" i="50"/>
  <c r="E516" i="50"/>
  <c r="B516" i="50"/>
  <c r="G516" i="50"/>
  <c r="F516" i="50"/>
  <c r="C516" i="50"/>
  <c r="A516" i="50"/>
  <c r="B675" i="50"/>
  <c r="H675" i="50"/>
  <c r="G675" i="50"/>
  <c r="A675" i="50"/>
  <c r="I675" i="50"/>
  <c r="F675" i="50"/>
  <c r="C675" i="50"/>
  <c r="E675" i="50"/>
  <c r="C456" i="50"/>
  <c r="F456" i="50"/>
  <c r="E456" i="50"/>
  <c r="G456" i="50"/>
  <c r="A456" i="50"/>
  <c r="B456" i="50"/>
  <c r="I456" i="50"/>
  <c r="H456" i="50"/>
  <c r="A1003" i="50"/>
  <c r="F1003" i="50"/>
  <c r="E1003" i="50"/>
  <c r="I1003" i="50"/>
  <c r="H1003" i="50"/>
  <c r="B1003" i="50"/>
  <c r="C1003" i="50"/>
  <c r="G1003" i="50"/>
  <c r="A457" i="50"/>
  <c r="F457" i="50"/>
  <c r="E457" i="50"/>
  <c r="B457" i="50"/>
  <c r="C457" i="50"/>
  <c r="I457" i="50"/>
  <c r="H457" i="50"/>
  <c r="G457" i="50"/>
  <c r="G577" i="50"/>
  <c r="E577" i="50"/>
  <c r="I577" i="50"/>
  <c r="C577" i="50"/>
  <c r="F577" i="50"/>
  <c r="A577" i="50"/>
  <c r="B577" i="50"/>
  <c r="H577" i="50"/>
  <c r="F1017" i="50"/>
  <c r="A1017" i="50"/>
  <c r="E1017" i="50"/>
  <c r="H1017" i="50"/>
  <c r="G1017" i="50"/>
  <c r="C1017" i="50"/>
  <c r="B1017" i="50"/>
  <c r="I1017" i="50"/>
  <c r="I571" i="50"/>
  <c r="C571" i="50"/>
  <c r="B571" i="50"/>
  <c r="G571" i="50"/>
  <c r="E571" i="50"/>
  <c r="F571" i="50"/>
  <c r="A571" i="50"/>
  <c r="H571" i="50"/>
  <c r="B48" i="50"/>
  <c r="C48" i="50"/>
  <c r="G48" i="50"/>
  <c r="F48" i="50"/>
  <c r="A48" i="50"/>
  <c r="E48" i="50"/>
  <c r="I48" i="50"/>
  <c r="H48" i="50"/>
  <c r="B1088" i="50"/>
  <c r="A1088" i="50"/>
  <c r="F1088" i="50"/>
  <c r="H1088" i="50"/>
  <c r="I1088" i="50"/>
  <c r="G1088" i="50"/>
  <c r="E1088" i="50"/>
  <c r="C1088" i="50"/>
  <c r="AB590" i="32"/>
  <c r="AB212" i="32"/>
  <c r="AB169" i="32"/>
  <c r="AB170" i="32" s="1"/>
  <c r="H847" i="50"/>
  <c r="F847" i="50"/>
  <c r="B847" i="50"/>
  <c r="I847" i="50"/>
  <c r="E847" i="50"/>
  <c r="C847" i="50"/>
  <c r="A847" i="50"/>
  <c r="G847" i="50"/>
  <c r="F753" i="50"/>
  <c r="E753" i="50"/>
  <c r="B753" i="50"/>
  <c r="A753" i="50"/>
  <c r="H753" i="50"/>
  <c r="I753" i="50"/>
  <c r="G753" i="50"/>
  <c r="C753" i="50"/>
  <c r="B1086" i="50"/>
  <c r="C1086" i="50"/>
  <c r="G1086" i="50"/>
  <c r="A1086" i="50"/>
  <c r="E1086" i="50"/>
  <c r="I1086" i="50"/>
  <c r="H1086" i="50"/>
  <c r="F1086" i="50"/>
  <c r="C951" i="50"/>
  <c r="G951" i="50"/>
  <c r="A951" i="50"/>
  <c r="F951" i="50"/>
  <c r="I951" i="50"/>
  <c r="E951" i="50"/>
  <c r="H951" i="50"/>
  <c r="B951" i="50"/>
  <c r="F635" i="50"/>
  <c r="B635" i="50"/>
  <c r="C635" i="50"/>
  <c r="I635" i="50"/>
  <c r="H635" i="50"/>
  <c r="E635" i="50"/>
  <c r="G635" i="50"/>
  <c r="A635" i="50"/>
  <c r="F396" i="50"/>
  <c r="A396" i="50"/>
  <c r="G396" i="50"/>
  <c r="C396" i="50"/>
  <c r="B396" i="50"/>
  <c r="I396" i="50"/>
  <c r="H396" i="50"/>
  <c r="E396" i="50"/>
  <c r="B278" i="50"/>
  <c r="C278" i="50"/>
  <c r="I278" i="50"/>
  <c r="G278" i="50"/>
  <c r="H278" i="50"/>
  <c r="A278" i="50"/>
  <c r="E278" i="50"/>
  <c r="F278" i="50"/>
  <c r="F224" i="50"/>
  <c r="B224" i="50"/>
  <c r="A224" i="50"/>
  <c r="I224" i="50"/>
  <c r="H224" i="50"/>
  <c r="C224" i="50"/>
  <c r="E224" i="50"/>
  <c r="G224" i="50"/>
  <c r="A990" i="50"/>
  <c r="G990" i="50"/>
  <c r="C990" i="50"/>
  <c r="F990" i="50"/>
  <c r="I990" i="50"/>
  <c r="H990" i="50"/>
  <c r="B990" i="50"/>
  <c r="E990" i="50"/>
  <c r="C523" i="50"/>
  <c r="H523" i="50"/>
  <c r="G523" i="50"/>
  <c r="I523" i="50"/>
  <c r="B523" i="50"/>
  <c r="F523" i="50"/>
  <c r="A523" i="50"/>
  <c r="E523" i="50"/>
  <c r="G770" i="50"/>
  <c r="F770" i="50"/>
  <c r="E770" i="50"/>
  <c r="H770" i="50"/>
  <c r="I770" i="50"/>
  <c r="A770" i="50"/>
  <c r="C770" i="50"/>
  <c r="B770" i="50"/>
  <c r="I966" i="50"/>
  <c r="E966" i="50"/>
  <c r="F966" i="50"/>
  <c r="A966" i="50"/>
  <c r="G966" i="50"/>
  <c r="H966" i="50"/>
  <c r="C966" i="50"/>
  <c r="B966" i="50"/>
  <c r="G372" i="50"/>
  <c r="E372" i="50"/>
  <c r="I372" i="50"/>
  <c r="C372" i="50"/>
  <c r="A372" i="50"/>
  <c r="B372" i="50"/>
  <c r="F372" i="50"/>
  <c r="H372" i="50"/>
  <c r="I742" i="50"/>
  <c r="E742" i="50"/>
  <c r="A742" i="50"/>
  <c r="B742" i="50"/>
  <c r="H742" i="50"/>
  <c r="F742" i="50"/>
  <c r="G742" i="50"/>
  <c r="C742" i="50"/>
  <c r="E866" i="50"/>
  <c r="B866" i="50"/>
  <c r="H866" i="50"/>
  <c r="G866" i="50"/>
  <c r="F866" i="50"/>
  <c r="C866" i="50"/>
  <c r="A866" i="50"/>
  <c r="I866" i="50"/>
  <c r="B31" i="50"/>
  <c r="E31" i="50"/>
  <c r="C31" i="50"/>
  <c r="I31" i="50"/>
  <c r="F31" i="50"/>
  <c r="G31" i="50"/>
  <c r="A31" i="50"/>
  <c r="H31" i="50"/>
  <c r="A859" i="50"/>
  <c r="F859" i="50"/>
  <c r="I859" i="50"/>
  <c r="E859" i="50"/>
  <c r="G859" i="50"/>
  <c r="C859" i="50"/>
  <c r="B859" i="50"/>
  <c r="H859" i="50"/>
  <c r="G186" i="50"/>
  <c r="I186" i="50"/>
  <c r="E186" i="50"/>
  <c r="B186" i="50"/>
  <c r="H186" i="50"/>
  <c r="A186" i="50"/>
  <c r="F186" i="50"/>
  <c r="C186" i="50"/>
  <c r="C342" i="50"/>
  <c r="H342" i="50"/>
  <c r="A342" i="50"/>
  <c r="G342" i="50"/>
  <c r="F342" i="50"/>
  <c r="B342" i="50"/>
  <c r="I342" i="50"/>
  <c r="E342" i="50"/>
  <c r="I286" i="50"/>
  <c r="C286" i="50"/>
  <c r="H286" i="50"/>
  <c r="A286" i="50"/>
  <c r="E286" i="50"/>
  <c r="F286" i="50"/>
  <c r="B286" i="50"/>
  <c r="G286" i="50"/>
  <c r="F327" i="50"/>
  <c r="I327" i="50"/>
  <c r="C327" i="50"/>
  <c r="E327" i="50"/>
  <c r="B327" i="50"/>
  <c r="H327" i="50"/>
  <c r="G327" i="50"/>
  <c r="A327" i="50"/>
  <c r="C193" i="50"/>
  <c r="F193" i="50"/>
  <c r="G193" i="50"/>
  <c r="I193" i="50"/>
  <c r="H193" i="50"/>
  <c r="A193" i="50"/>
  <c r="E193" i="50"/>
  <c r="B193" i="50"/>
  <c r="A1085" i="50"/>
  <c r="H1085" i="50"/>
  <c r="F1085" i="50"/>
  <c r="C1085" i="50"/>
  <c r="I1085" i="50"/>
  <c r="B1085" i="50"/>
  <c r="E1085" i="50"/>
  <c r="G1085" i="50"/>
  <c r="F445" i="50"/>
  <c r="I445" i="50"/>
  <c r="B445" i="50"/>
  <c r="A445" i="50"/>
  <c r="C445" i="50"/>
  <c r="E445" i="50"/>
  <c r="H445" i="50"/>
  <c r="G445" i="50"/>
  <c r="E581" i="50"/>
  <c r="G581" i="50"/>
  <c r="C581" i="50"/>
  <c r="A581" i="50"/>
  <c r="F581" i="50"/>
  <c r="B581" i="50"/>
  <c r="H581" i="50"/>
  <c r="I581" i="50"/>
  <c r="C822" i="50"/>
  <c r="I822" i="50"/>
  <c r="H822" i="50"/>
  <c r="E822" i="50"/>
  <c r="A822" i="50"/>
  <c r="F822" i="50"/>
  <c r="G822" i="50"/>
  <c r="B822" i="50"/>
  <c r="C735" i="50"/>
  <c r="E735" i="50"/>
  <c r="F735" i="50"/>
  <c r="A735" i="50"/>
  <c r="H735" i="50"/>
  <c r="B735" i="50"/>
  <c r="G735" i="50"/>
  <c r="I735" i="50"/>
  <c r="E35" i="50"/>
  <c r="F35" i="50"/>
  <c r="I35" i="50"/>
  <c r="B35" i="50"/>
  <c r="H35" i="50"/>
  <c r="C35" i="50"/>
  <c r="A35" i="50"/>
  <c r="G35" i="50"/>
  <c r="C205" i="50"/>
  <c r="A205" i="50"/>
  <c r="F205" i="50"/>
  <c r="B205" i="50"/>
  <c r="H205" i="50"/>
  <c r="E205" i="50"/>
  <c r="I205" i="50"/>
  <c r="G205" i="50"/>
  <c r="F511" i="50"/>
  <c r="C511" i="50"/>
  <c r="I511" i="50"/>
  <c r="B511" i="50"/>
  <c r="G511" i="50"/>
  <c r="H511" i="50"/>
  <c r="E511" i="50"/>
  <c r="A511" i="50"/>
  <c r="C892" i="50"/>
  <c r="I892" i="50"/>
  <c r="A892" i="50"/>
  <c r="F892" i="50"/>
  <c r="G892" i="50"/>
  <c r="E892" i="50"/>
  <c r="H892" i="50"/>
  <c r="B892" i="50"/>
  <c r="E780" i="50"/>
  <c r="A780" i="50"/>
  <c r="I780" i="50"/>
  <c r="F780" i="50"/>
  <c r="G780" i="50"/>
  <c r="H780" i="50"/>
  <c r="C780" i="50"/>
  <c r="B780" i="50"/>
  <c r="G413" i="50"/>
  <c r="B413" i="50"/>
  <c r="A413" i="50"/>
  <c r="I413" i="50"/>
  <c r="F413" i="50"/>
  <c r="E413" i="50"/>
  <c r="C413" i="50"/>
  <c r="H413" i="50"/>
  <c r="C440" i="50"/>
  <c r="H440" i="50"/>
  <c r="E440" i="50"/>
  <c r="F440" i="50"/>
  <c r="G440" i="50"/>
  <c r="A440" i="50"/>
  <c r="B440" i="50"/>
  <c r="I440" i="50"/>
  <c r="F263" i="50"/>
  <c r="I263" i="50"/>
  <c r="H263" i="50"/>
  <c r="G263" i="50"/>
  <c r="B263" i="50"/>
  <c r="A263" i="50"/>
  <c r="E263" i="50"/>
  <c r="C263" i="50"/>
  <c r="A594" i="50"/>
  <c r="G594" i="50"/>
  <c r="H594" i="50"/>
  <c r="I594" i="50"/>
  <c r="B594" i="50"/>
  <c r="F594" i="50"/>
  <c r="E594" i="50"/>
  <c r="C594" i="50"/>
  <c r="B623" i="50"/>
  <c r="H623" i="50"/>
  <c r="F623" i="50"/>
  <c r="G623" i="50"/>
  <c r="E623" i="50"/>
  <c r="C623" i="50"/>
  <c r="I623" i="50"/>
  <c r="A623" i="50"/>
  <c r="H56" i="50"/>
  <c r="B56" i="50"/>
  <c r="E56" i="50"/>
  <c r="C56" i="50"/>
  <c r="A56" i="50"/>
  <c r="G56" i="50"/>
  <c r="F56" i="50"/>
  <c r="I56" i="50"/>
  <c r="A95" i="50"/>
  <c r="I95" i="50"/>
  <c r="H95" i="50"/>
  <c r="G95" i="50"/>
  <c r="F95" i="50"/>
  <c r="B95" i="50"/>
  <c r="C95" i="50"/>
  <c r="E95" i="50"/>
  <c r="H702" i="50"/>
  <c r="A702" i="50"/>
  <c r="C702" i="50"/>
  <c r="F702" i="50"/>
  <c r="B702" i="50"/>
  <c r="G702" i="50"/>
  <c r="I702" i="50"/>
  <c r="E702" i="50"/>
  <c r="E22" i="50"/>
  <c r="H22" i="50"/>
  <c r="I22" i="50"/>
  <c r="C22" i="50"/>
  <c r="B22" i="50"/>
  <c r="G22" i="50"/>
  <c r="A22" i="50"/>
  <c r="F22" i="50"/>
  <c r="C547" i="50"/>
  <c r="E547" i="50"/>
  <c r="A547" i="50"/>
  <c r="B547" i="50"/>
  <c r="G547" i="50"/>
  <c r="I547" i="50"/>
  <c r="H547" i="50"/>
  <c r="F547" i="50"/>
  <c r="I142" i="50"/>
  <c r="F142" i="50"/>
  <c r="H142" i="50"/>
  <c r="B142" i="50"/>
  <c r="G142" i="50"/>
  <c r="A142" i="50"/>
  <c r="E142" i="50"/>
  <c r="C142" i="50"/>
  <c r="E811" i="50"/>
  <c r="B811" i="50"/>
  <c r="A811" i="50"/>
  <c r="H811" i="50"/>
  <c r="I811" i="50"/>
  <c r="G811" i="50"/>
  <c r="F811" i="50"/>
  <c r="C811" i="50"/>
  <c r="H1026" i="50"/>
  <c r="E1026" i="50"/>
  <c r="C1026" i="50"/>
  <c r="G1026" i="50"/>
  <c r="I1026" i="50"/>
  <c r="B1026" i="50"/>
  <c r="A1026" i="50"/>
  <c r="F1026" i="50"/>
  <c r="I267" i="50"/>
  <c r="E267" i="50"/>
  <c r="A267" i="50"/>
  <c r="F267" i="50"/>
  <c r="H267" i="50"/>
  <c r="B267" i="50"/>
  <c r="G267" i="50"/>
  <c r="C267" i="50"/>
  <c r="C367" i="50"/>
  <c r="B367" i="50"/>
  <c r="G367" i="50"/>
  <c r="A367" i="50"/>
  <c r="F367" i="50"/>
  <c r="E367" i="50"/>
  <c r="H367" i="50"/>
  <c r="I367" i="50"/>
  <c r="A332" i="50"/>
  <c r="B332" i="50"/>
  <c r="G332" i="50"/>
  <c r="H332" i="50"/>
  <c r="E332" i="50"/>
  <c r="C332" i="50"/>
  <c r="I332" i="50"/>
  <c r="F332" i="50"/>
  <c r="F94" i="50"/>
  <c r="E94" i="50"/>
  <c r="H94" i="50"/>
  <c r="C94" i="50"/>
  <c r="B94" i="50"/>
  <c r="I94" i="50"/>
  <c r="G94" i="50"/>
  <c r="A94" i="50"/>
  <c r="I836" i="50"/>
  <c r="F836" i="50"/>
  <c r="C836" i="50"/>
  <c r="A836" i="50"/>
  <c r="E836" i="50"/>
  <c r="B836" i="50"/>
  <c r="G836" i="50"/>
  <c r="H836" i="50"/>
  <c r="G599" i="50"/>
  <c r="A599" i="50"/>
  <c r="F599" i="50"/>
  <c r="E599" i="50"/>
  <c r="C599" i="50"/>
  <c r="I599" i="50"/>
  <c r="H599" i="50"/>
  <c r="B599" i="50"/>
  <c r="I115" i="50"/>
  <c r="H115" i="50"/>
  <c r="G115" i="50"/>
  <c r="C115" i="50"/>
  <c r="A115" i="50"/>
  <c r="E115" i="50"/>
  <c r="B115" i="50"/>
  <c r="F115" i="50"/>
  <c r="I262" i="50"/>
  <c r="H262" i="50"/>
  <c r="C262" i="50"/>
  <c r="E262" i="50"/>
  <c r="G262" i="50"/>
  <c r="A262" i="50"/>
  <c r="F262" i="50"/>
  <c r="B262" i="50"/>
  <c r="G431" i="50"/>
  <c r="C431" i="50"/>
  <c r="A431" i="50"/>
  <c r="F431" i="50"/>
  <c r="B431" i="50"/>
  <c r="H431" i="50"/>
  <c r="I431" i="50"/>
  <c r="E431" i="50"/>
  <c r="H774" i="50"/>
  <c r="F774" i="50"/>
  <c r="I774" i="50"/>
  <c r="C774" i="50"/>
  <c r="G774" i="50"/>
  <c r="B774" i="50"/>
  <c r="E774" i="50"/>
  <c r="A774" i="50"/>
  <c r="H880" i="50"/>
  <c r="F880" i="50"/>
  <c r="I880" i="50"/>
  <c r="B880" i="50"/>
  <c r="G880" i="50"/>
  <c r="A880" i="50"/>
  <c r="C880" i="50"/>
  <c r="E880" i="50"/>
  <c r="H322" i="50"/>
  <c r="A322" i="50"/>
  <c r="G322" i="50"/>
  <c r="E322" i="50"/>
  <c r="I322" i="50"/>
  <c r="C322" i="50"/>
  <c r="F322" i="50"/>
  <c r="B322" i="50"/>
  <c r="F524" i="50"/>
  <c r="I524" i="50"/>
  <c r="G524" i="50"/>
  <c r="C524" i="50"/>
  <c r="B524" i="50"/>
  <c r="H524" i="50"/>
  <c r="E524" i="50"/>
  <c r="A524" i="50"/>
  <c r="F261" i="50"/>
  <c r="B261" i="50"/>
  <c r="H261" i="50"/>
  <c r="I261" i="50"/>
  <c r="G261" i="50"/>
  <c r="E261" i="50"/>
  <c r="C261" i="50"/>
  <c r="A261" i="50"/>
  <c r="E784" i="50"/>
  <c r="I784" i="50"/>
  <c r="A784" i="50"/>
  <c r="B784" i="50"/>
  <c r="F784" i="50"/>
  <c r="G784" i="50"/>
  <c r="H784" i="50"/>
  <c r="C784" i="50"/>
  <c r="E800" i="50"/>
  <c r="F800" i="50"/>
  <c r="G800" i="50"/>
  <c r="C800" i="50"/>
  <c r="H800" i="50"/>
  <c r="I800" i="50"/>
  <c r="A800" i="50"/>
  <c r="B800" i="50"/>
  <c r="G613" i="50"/>
  <c r="B613" i="50"/>
  <c r="F613" i="50"/>
  <c r="A613" i="50"/>
  <c r="I613" i="50"/>
  <c r="C613" i="50"/>
  <c r="H613" i="50"/>
  <c r="E613" i="50"/>
  <c r="E509" i="50"/>
  <c r="C509" i="50"/>
  <c r="A509" i="50"/>
  <c r="B509" i="50"/>
  <c r="G509" i="50"/>
  <c r="F509" i="50"/>
  <c r="I509" i="50"/>
  <c r="H509" i="50"/>
  <c r="F394" i="50"/>
  <c r="B394" i="50"/>
  <c r="H394" i="50"/>
  <c r="C394" i="50"/>
  <c r="E394" i="50"/>
  <c r="I394" i="50"/>
  <c r="G394" i="50"/>
  <c r="A394" i="50"/>
  <c r="B826" i="50"/>
  <c r="I826" i="50"/>
  <c r="H826" i="50"/>
  <c r="G826" i="50"/>
  <c r="E826" i="50"/>
  <c r="C826" i="50"/>
  <c r="F826" i="50"/>
  <c r="A826" i="50"/>
  <c r="F1049" i="50"/>
  <c r="B1049" i="50"/>
  <c r="I1049" i="50"/>
  <c r="E1049" i="50"/>
  <c r="C1049" i="50"/>
  <c r="A1049" i="50"/>
  <c r="H1049" i="50"/>
  <c r="G1049" i="50"/>
  <c r="F640" i="50"/>
  <c r="H640" i="50"/>
  <c r="B640" i="50"/>
  <c r="E640" i="50"/>
  <c r="G640" i="50"/>
  <c r="C640" i="50"/>
  <c r="I640" i="50"/>
  <c r="A640" i="50"/>
  <c r="C483" i="50"/>
  <c r="A483" i="50"/>
  <c r="I483" i="50"/>
  <c r="H483" i="50"/>
  <c r="G483" i="50"/>
  <c r="E483" i="50"/>
  <c r="F483" i="50"/>
  <c r="B483" i="50"/>
  <c r="I114" i="50"/>
  <c r="F114" i="50"/>
  <c r="G114" i="50"/>
  <c r="E114" i="50"/>
  <c r="B114" i="50"/>
  <c r="H114" i="50"/>
  <c r="C114" i="50"/>
  <c r="A114" i="50"/>
  <c r="H16" i="50"/>
  <c r="E16" i="50"/>
  <c r="B16" i="50"/>
  <c r="I16" i="50"/>
  <c r="A16" i="50"/>
  <c r="C16" i="50"/>
  <c r="F16" i="50"/>
  <c r="G16" i="50"/>
  <c r="B985" i="50"/>
  <c r="G985" i="50"/>
  <c r="F985" i="50"/>
  <c r="I985" i="50"/>
  <c r="C985" i="50"/>
  <c r="H985" i="50"/>
  <c r="E985" i="50"/>
  <c r="A985" i="50"/>
  <c r="A970" i="50"/>
  <c r="E970" i="50"/>
  <c r="B970" i="50"/>
  <c r="G970" i="50"/>
  <c r="F970" i="50"/>
  <c r="C970" i="50"/>
  <c r="I970" i="50"/>
  <c r="H970" i="50"/>
  <c r="E122" i="50"/>
  <c r="F122" i="50"/>
  <c r="G122" i="50"/>
  <c r="C122" i="50"/>
  <c r="I122" i="50"/>
  <c r="A122" i="50"/>
  <c r="H122" i="50"/>
  <c r="B122" i="50"/>
  <c r="H733" i="50"/>
  <c r="E733" i="50"/>
  <c r="A733" i="50"/>
  <c r="C733" i="50"/>
  <c r="G733" i="50"/>
  <c r="I733" i="50"/>
  <c r="B733" i="50"/>
  <c r="F733" i="50"/>
  <c r="H507" i="50"/>
  <c r="B507" i="50"/>
  <c r="F507" i="50"/>
  <c r="E507" i="50"/>
  <c r="G507" i="50"/>
  <c r="A507" i="50"/>
  <c r="I507" i="50"/>
  <c r="C507" i="50"/>
  <c r="F1019" i="50"/>
  <c r="G1019" i="50"/>
  <c r="I1019" i="50"/>
  <c r="H1019" i="50"/>
  <c r="B1019" i="50"/>
  <c r="C1019" i="50"/>
  <c r="E1019" i="50"/>
  <c r="A1019" i="50"/>
  <c r="F1043" i="50"/>
  <c r="H1043" i="50"/>
  <c r="E1043" i="50"/>
  <c r="I1043" i="50"/>
  <c r="B1043" i="50"/>
  <c r="A1043" i="50"/>
  <c r="C1043" i="50"/>
  <c r="G1043" i="50"/>
  <c r="E781" i="50"/>
  <c r="A781" i="50"/>
  <c r="G781" i="50"/>
  <c r="F781" i="50"/>
  <c r="I781" i="50"/>
  <c r="H781" i="50"/>
  <c r="B781" i="50"/>
  <c r="C781" i="50"/>
  <c r="E430" i="50"/>
  <c r="C430" i="50"/>
  <c r="F430" i="50"/>
  <c r="H430" i="50"/>
  <c r="G430" i="50"/>
  <c r="A430" i="50"/>
  <c r="B430" i="50"/>
  <c r="I430" i="50"/>
  <c r="B269" i="50"/>
  <c r="G269" i="50"/>
  <c r="I269" i="50"/>
  <c r="H269" i="50"/>
  <c r="E269" i="50"/>
  <c r="A269" i="50"/>
  <c r="F269" i="50"/>
  <c r="C269" i="50"/>
  <c r="E339" i="50"/>
  <c r="C339" i="50"/>
  <c r="A339" i="50"/>
  <c r="I339" i="50"/>
  <c r="G339" i="50"/>
  <c r="H339" i="50"/>
  <c r="F339" i="50"/>
  <c r="B339" i="50"/>
  <c r="B617" i="50"/>
  <c r="F617" i="50"/>
  <c r="E617" i="50"/>
  <c r="H617" i="50"/>
  <c r="G617" i="50"/>
  <c r="I617" i="50"/>
  <c r="C617" i="50"/>
  <c r="A617" i="50"/>
  <c r="E69" i="50"/>
  <c r="I69" i="50"/>
  <c r="H69" i="50"/>
  <c r="C69" i="50"/>
  <c r="F69" i="50"/>
  <c r="A69" i="50"/>
  <c r="G69" i="50"/>
  <c r="B69" i="50"/>
  <c r="F759" i="50"/>
  <c r="I759" i="50"/>
  <c r="H759" i="50"/>
  <c r="G759" i="50"/>
  <c r="C759" i="50"/>
  <c r="A759" i="50"/>
  <c r="E759" i="50"/>
  <c r="B759" i="50"/>
  <c r="A1010" i="50"/>
  <c r="H1010" i="50"/>
  <c r="I1010" i="50"/>
  <c r="C1010" i="50"/>
  <c r="B1010" i="50"/>
  <c r="E1010" i="50"/>
  <c r="F1010" i="50"/>
  <c r="G1010" i="50"/>
  <c r="F622" i="50"/>
  <c r="A622" i="50"/>
  <c r="I622" i="50"/>
  <c r="C622" i="50"/>
  <c r="E622" i="50"/>
  <c r="H622" i="50"/>
  <c r="G622" i="50"/>
  <c r="B622" i="50"/>
  <c r="I295" i="50"/>
  <c r="E295" i="50"/>
  <c r="A295" i="50"/>
  <c r="F295" i="50"/>
  <c r="C295" i="50"/>
  <c r="H295" i="50"/>
  <c r="G295" i="50"/>
  <c r="B295" i="50"/>
  <c r="H474" i="50"/>
  <c r="C474" i="50"/>
  <c r="G474" i="50"/>
  <c r="B474" i="50"/>
  <c r="A474" i="50"/>
  <c r="E474" i="50"/>
  <c r="I474" i="50"/>
  <c r="F474" i="50"/>
  <c r="I378" i="50"/>
  <c r="F378" i="50"/>
  <c r="G378" i="50"/>
  <c r="E378" i="50"/>
  <c r="C378" i="50"/>
  <c r="H378" i="50"/>
  <c r="B378" i="50"/>
  <c r="A378" i="50"/>
  <c r="A934" i="50"/>
  <c r="H934" i="50"/>
  <c r="E934" i="50"/>
  <c r="I934" i="50"/>
  <c r="C934" i="50"/>
  <c r="G934" i="50"/>
  <c r="B934" i="50"/>
  <c r="F934" i="50"/>
  <c r="G315" i="50"/>
  <c r="C315" i="50"/>
  <c r="E315" i="50"/>
  <c r="A315" i="50"/>
  <c r="B315" i="50"/>
  <c r="H315" i="50"/>
  <c r="I315" i="50"/>
  <c r="F315" i="50"/>
  <c r="E446" i="50"/>
  <c r="A446" i="50"/>
  <c r="C446" i="50"/>
  <c r="F446" i="50"/>
  <c r="B446" i="50"/>
  <c r="G446" i="50"/>
  <c r="I446" i="50"/>
  <c r="H446" i="50"/>
  <c r="E326" i="50"/>
  <c r="H326" i="50"/>
  <c r="B326" i="50"/>
  <c r="I326" i="50"/>
  <c r="G326" i="50"/>
  <c r="C326" i="50"/>
  <c r="F326" i="50"/>
  <c r="A326" i="50"/>
  <c r="I827" i="50"/>
  <c r="A827" i="50"/>
  <c r="G827" i="50"/>
  <c r="C827" i="50"/>
  <c r="E827" i="50"/>
  <c r="H827" i="50"/>
  <c r="F827" i="50"/>
  <c r="B827" i="50"/>
  <c r="H798" i="50"/>
  <c r="F798" i="50"/>
  <c r="C798" i="50"/>
  <c r="A798" i="50"/>
  <c r="E798" i="50"/>
  <c r="I798" i="50"/>
  <c r="G798" i="50"/>
  <c r="B798" i="50"/>
  <c r="C873" i="50"/>
  <c r="A873" i="50"/>
  <c r="B873" i="50"/>
  <c r="H873" i="50"/>
  <c r="G873" i="50"/>
  <c r="E873" i="50"/>
  <c r="F873" i="50"/>
  <c r="I873" i="50"/>
  <c r="I786" i="50"/>
  <c r="G786" i="50"/>
  <c r="C786" i="50"/>
  <c r="A786" i="50"/>
  <c r="F786" i="50"/>
  <c r="B786" i="50"/>
  <c r="H786" i="50"/>
  <c r="E786" i="50"/>
  <c r="C215" i="50"/>
  <c r="I215" i="50"/>
  <c r="G215" i="50"/>
  <c r="H215" i="50"/>
  <c r="F215" i="50"/>
  <c r="E215" i="50"/>
  <c r="B215" i="50"/>
  <c r="A215" i="50"/>
  <c r="F1005" i="50"/>
  <c r="E1005" i="50"/>
  <c r="G1005" i="50"/>
  <c r="C1005" i="50"/>
  <c r="H1005" i="50"/>
  <c r="B1005" i="50"/>
  <c r="A1005" i="50"/>
  <c r="I1005" i="50"/>
  <c r="B515" i="50"/>
  <c r="C515" i="50"/>
  <c r="H515" i="50"/>
  <c r="F515" i="50"/>
  <c r="E515" i="50"/>
  <c r="A515" i="50"/>
  <c r="G515" i="50"/>
  <c r="I515" i="50"/>
  <c r="B867" i="50"/>
  <c r="A867" i="50"/>
  <c r="C867" i="50"/>
  <c r="G867" i="50"/>
  <c r="E867" i="50"/>
  <c r="F867" i="50"/>
  <c r="I867" i="50"/>
  <c r="H867" i="50"/>
  <c r="F699" i="50"/>
  <c r="C699" i="50"/>
  <c r="A699" i="50"/>
  <c r="E699" i="50"/>
  <c r="I699" i="50"/>
  <c r="G699" i="50"/>
  <c r="B699" i="50"/>
  <c r="H699" i="50"/>
  <c r="A473" i="50"/>
  <c r="E473" i="50"/>
  <c r="I473" i="50"/>
  <c r="F473" i="50"/>
  <c r="H473" i="50"/>
  <c r="B473" i="50"/>
  <c r="G473" i="50"/>
  <c r="C473" i="50"/>
  <c r="A693" i="50"/>
  <c r="E693" i="50"/>
  <c r="F693" i="50"/>
  <c r="B693" i="50"/>
  <c r="C693" i="50"/>
  <c r="G693" i="50"/>
  <c r="H693" i="50"/>
  <c r="I693" i="50"/>
  <c r="A667" i="50"/>
  <c r="I667" i="50"/>
  <c r="C667" i="50"/>
  <c r="H667" i="50"/>
  <c r="E667" i="50"/>
  <c r="B667" i="50"/>
  <c r="F667" i="50"/>
  <c r="G667" i="50"/>
  <c r="B1036" i="50"/>
  <c r="C1036" i="50"/>
  <c r="G1036" i="50"/>
  <c r="H1036" i="50"/>
  <c r="F1036" i="50"/>
  <c r="E1036" i="50"/>
  <c r="I1036" i="50"/>
  <c r="A1036" i="50"/>
  <c r="F533" i="50"/>
  <c r="H533" i="50"/>
  <c r="I533" i="50"/>
  <c r="B533" i="50"/>
  <c r="E533" i="50"/>
  <c r="G533" i="50"/>
  <c r="C533" i="50"/>
  <c r="A533" i="50"/>
  <c r="G310" i="50"/>
  <c r="F310" i="50"/>
  <c r="B310" i="50"/>
  <c r="I310" i="50"/>
  <c r="H310" i="50"/>
  <c r="C310" i="50"/>
  <c r="E310" i="50"/>
  <c r="A310" i="50"/>
  <c r="B817" i="50"/>
  <c r="G817" i="50"/>
  <c r="I817" i="50"/>
  <c r="E817" i="50"/>
  <c r="F817" i="50"/>
  <c r="C817" i="50"/>
  <c r="A817" i="50"/>
  <c r="H817" i="50"/>
  <c r="F62" i="50"/>
  <c r="H62" i="50"/>
  <c r="C62" i="50"/>
  <c r="B62" i="50"/>
  <c r="E62" i="50"/>
  <c r="G62" i="50"/>
  <c r="A62" i="50"/>
  <c r="I62" i="50"/>
  <c r="I864" i="50"/>
  <c r="C864" i="50"/>
  <c r="G864" i="50"/>
  <c r="A864" i="50"/>
  <c r="F864" i="50"/>
  <c r="B864" i="50"/>
  <c r="H864" i="50"/>
  <c r="E864" i="50"/>
  <c r="B52" i="50"/>
  <c r="A52" i="50"/>
  <c r="H52" i="50"/>
  <c r="F52" i="50"/>
  <c r="C52" i="50"/>
  <c r="G52" i="50"/>
  <c r="E52" i="50"/>
  <c r="I52" i="50"/>
  <c r="E672" i="50"/>
  <c r="F672" i="50"/>
  <c r="C672" i="50"/>
  <c r="I672" i="50"/>
  <c r="G672" i="50"/>
  <c r="H672" i="50"/>
  <c r="A672" i="50"/>
  <c r="B672" i="50"/>
  <c r="A488" i="50"/>
  <c r="B488" i="50"/>
  <c r="F488" i="50"/>
  <c r="C488" i="50"/>
  <c r="I488" i="50"/>
  <c r="E488" i="50"/>
  <c r="H488" i="50"/>
  <c r="G488" i="50"/>
  <c r="F585" i="50"/>
  <c r="H585" i="50"/>
  <c r="G585" i="50"/>
  <c r="C585" i="50"/>
  <c r="B585" i="50"/>
  <c r="I585" i="50"/>
  <c r="A585" i="50"/>
  <c r="E585" i="50"/>
  <c r="E854" i="50"/>
  <c r="A854" i="50"/>
  <c r="C854" i="50"/>
  <c r="F854" i="50"/>
  <c r="B854" i="50"/>
  <c r="H854" i="50"/>
  <c r="G854" i="50"/>
  <c r="I854" i="50"/>
  <c r="I895" i="50"/>
  <c r="G895" i="50"/>
  <c r="H895" i="50"/>
  <c r="B895" i="50"/>
  <c r="F895" i="50"/>
  <c r="C895" i="50"/>
  <c r="E895" i="50"/>
  <c r="A895" i="50"/>
  <c r="C21" i="50"/>
  <c r="E21" i="50"/>
  <c r="B21" i="50"/>
  <c r="I21" i="50"/>
  <c r="A21" i="50"/>
  <c r="F21" i="50"/>
  <c r="G21" i="50"/>
  <c r="H21" i="50"/>
  <c r="H593" i="50"/>
  <c r="B593" i="50"/>
  <c r="C593" i="50"/>
  <c r="A593" i="50"/>
  <c r="E593" i="50"/>
  <c r="G593" i="50"/>
  <c r="F593" i="50"/>
  <c r="I593" i="50"/>
  <c r="B1023" i="50"/>
  <c r="A1023" i="50"/>
  <c r="I1023" i="50"/>
  <c r="E1023" i="50"/>
  <c r="H1023" i="50"/>
  <c r="G1023" i="50"/>
  <c r="C1023" i="50"/>
  <c r="F1023" i="50"/>
  <c r="E340" i="50"/>
  <c r="G340" i="50"/>
  <c r="B340" i="50"/>
  <c r="I340" i="50"/>
  <c r="F340" i="50"/>
  <c r="A340" i="50"/>
  <c r="H340" i="50"/>
  <c r="C340" i="50"/>
  <c r="H147" i="50"/>
  <c r="A147" i="50"/>
  <c r="G147" i="50"/>
  <c r="E147" i="50"/>
  <c r="C147" i="50"/>
  <c r="I147" i="50"/>
  <c r="F147" i="50"/>
  <c r="B147" i="50"/>
  <c r="F2" i="50"/>
  <c r="B2" i="50"/>
  <c r="A2" i="50"/>
  <c r="C2" i="50"/>
  <c r="I2" i="50"/>
  <c r="E2" i="50"/>
  <c r="G2" i="50"/>
  <c r="H2" i="50"/>
  <c r="A855" i="50"/>
  <c r="B855" i="50"/>
  <c r="G855" i="50"/>
  <c r="E855" i="50"/>
  <c r="H855" i="50"/>
  <c r="F855" i="50"/>
  <c r="I855" i="50"/>
  <c r="C855" i="50"/>
  <c r="A757" i="50"/>
  <c r="I757" i="50"/>
  <c r="E757" i="50"/>
  <c r="B757" i="50"/>
  <c r="H757" i="50"/>
  <c r="G757" i="50"/>
  <c r="C757" i="50"/>
  <c r="F757" i="50"/>
  <c r="C916" i="50"/>
  <c r="H916" i="50"/>
  <c r="F916" i="50"/>
  <c r="E916" i="50"/>
  <c r="I916" i="50"/>
  <c r="G916" i="50"/>
  <c r="B916" i="50"/>
  <c r="A916" i="50"/>
  <c r="I309" i="50"/>
  <c r="G309" i="50"/>
  <c r="A309" i="50"/>
  <c r="C309" i="50"/>
  <c r="B309" i="50"/>
  <c r="E309" i="50"/>
  <c r="H309" i="50"/>
  <c r="F309" i="50"/>
  <c r="B718" i="50"/>
  <c r="A718" i="50"/>
  <c r="H718" i="50"/>
  <c r="G718" i="50"/>
  <c r="I718" i="50"/>
  <c r="F718" i="50"/>
  <c r="E718" i="50"/>
  <c r="C718" i="50"/>
  <c r="B1069" i="50"/>
  <c r="E1069" i="50"/>
  <c r="I1069" i="50"/>
  <c r="F1069" i="50"/>
  <c r="C1069" i="50"/>
  <c r="H1069" i="50"/>
  <c r="A1069" i="50"/>
  <c r="G1069" i="50"/>
  <c r="F479" i="50"/>
  <c r="G479" i="50"/>
  <c r="C479" i="50"/>
  <c r="A479" i="50"/>
  <c r="I479" i="50"/>
  <c r="E479" i="50"/>
  <c r="B479" i="50"/>
  <c r="H479" i="50"/>
  <c r="F91" i="50"/>
  <c r="B91" i="50"/>
  <c r="C91" i="50"/>
  <c r="E91" i="50"/>
  <c r="A91" i="50"/>
  <c r="H91" i="50"/>
  <c r="I91" i="50"/>
  <c r="G91" i="50"/>
  <c r="G998" i="50"/>
  <c r="F998" i="50"/>
  <c r="A998" i="50"/>
  <c r="H998" i="50"/>
  <c r="C998" i="50"/>
  <c r="E998" i="50"/>
  <c r="B998" i="50"/>
  <c r="I998" i="50"/>
  <c r="I290" i="50"/>
  <c r="A290" i="50"/>
  <c r="C290" i="50"/>
  <c r="E290" i="50"/>
  <c r="G290" i="50"/>
  <c r="F290" i="50"/>
  <c r="H290" i="50"/>
  <c r="B290" i="50"/>
  <c r="G409" i="50"/>
  <c r="I409" i="50"/>
  <c r="H409" i="50"/>
  <c r="B409" i="50"/>
  <c r="E409" i="50"/>
  <c r="C409" i="50"/>
  <c r="A409" i="50"/>
  <c r="F409" i="50"/>
  <c r="G932" i="50"/>
  <c r="F932" i="50"/>
  <c r="A932" i="50"/>
  <c r="E932" i="50"/>
  <c r="B932" i="50"/>
  <c r="H932" i="50"/>
  <c r="C932" i="50"/>
  <c r="I932" i="50"/>
  <c r="C173" i="50"/>
  <c r="A173" i="50"/>
  <c r="F173" i="50"/>
  <c r="I173" i="50"/>
  <c r="E173" i="50"/>
  <c r="G173" i="50"/>
  <c r="H173" i="50"/>
  <c r="B173" i="50"/>
  <c r="AB499" i="32"/>
  <c r="AB500" i="32" s="1"/>
  <c r="AB328" i="32"/>
  <c r="AB329" i="32" s="1"/>
  <c r="AB131" i="32"/>
  <c r="AB132" i="32" s="1"/>
  <c r="AB261" i="32"/>
  <c r="AB262" i="32" s="1"/>
  <c r="AB462" i="32"/>
  <c r="E501" i="50"/>
  <c r="H501" i="50"/>
  <c r="B501" i="50"/>
  <c r="I501" i="50"/>
  <c r="G501" i="50"/>
  <c r="A501" i="50"/>
  <c r="C501" i="50"/>
  <c r="F501" i="50"/>
  <c r="G55" i="50"/>
  <c r="F55" i="50"/>
  <c r="A55" i="50"/>
  <c r="E55" i="50"/>
  <c r="B55" i="50"/>
  <c r="I55" i="50"/>
  <c r="H55" i="50"/>
  <c r="C55" i="50"/>
  <c r="E1089" i="50"/>
  <c r="H1089" i="50"/>
  <c r="I1089" i="50"/>
  <c r="A1089" i="50"/>
  <c r="C1089" i="50"/>
  <c r="F1089" i="50"/>
  <c r="B1089" i="50"/>
  <c r="G1089" i="50"/>
  <c r="H812" i="50"/>
  <c r="B812" i="50"/>
  <c r="A812" i="50"/>
  <c r="C812" i="50"/>
  <c r="I812" i="50"/>
  <c r="F812" i="50"/>
  <c r="E812" i="50"/>
  <c r="G812" i="50"/>
  <c r="F926" i="50"/>
  <c r="A926" i="50"/>
  <c r="I926" i="50"/>
  <c r="C926" i="50"/>
  <c r="B926" i="50"/>
  <c r="G926" i="50"/>
  <c r="H926" i="50"/>
  <c r="E926" i="50"/>
  <c r="F181" i="50"/>
  <c r="C181" i="50"/>
  <c r="B181" i="50"/>
  <c r="G181" i="50"/>
  <c r="E181" i="50"/>
  <c r="H181" i="50"/>
  <c r="A181" i="50"/>
  <c r="I181" i="50"/>
  <c r="H73" i="50"/>
  <c r="A73" i="50"/>
  <c r="E73" i="50"/>
  <c r="I73" i="50"/>
  <c r="C73" i="50"/>
  <c r="G73" i="50"/>
  <c r="F73" i="50"/>
  <c r="B73" i="50"/>
  <c r="H289" i="50"/>
  <c r="F289" i="50"/>
  <c r="I289" i="50"/>
  <c r="C289" i="50"/>
  <c r="A289" i="50"/>
  <c r="B289" i="50"/>
  <c r="G289" i="50"/>
  <c r="E289" i="50"/>
  <c r="F83" i="50"/>
  <c r="C83" i="50"/>
  <c r="H83" i="50"/>
  <c r="E83" i="50"/>
  <c r="G83" i="50"/>
  <c r="I83" i="50"/>
  <c r="B83" i="50"/>
  <c r="A83" i="50"/>
  <c r="F837" i="50"/>
  <c r="G837" i="50"/>
  <c r="C837" i="50"/>
  <c r="B837" i="50"/>
  <c r="I837" i="50"/>
  <c r="H837" i="50"/>
  <c r="A837" i="50"/>
  <c r="E837" i="50"/>
  <c r="I447" i="50"/>
  <c r="F447" i="50"/>
  <c r="B447" i="50"/>
  <c r="H447" i="50"/>
  <c r="E447" i="50"/>
  <c r="G447" i="50"/>
  <c r="C447" i="50"/>
  <c r="A447" i="50"/>
  <c r="B707" i="50"/>
  <c r="E707" i="50"/>
  <c r="I707" i="50"/>
  <c r="F707" i="50"/>
  <c r="C707" i="50"/>
  <c r="A707" i="50"/>
  <c r="H707" i="50"/>
  <c r="G707" i="50"/>
  <c r="B680" i="50"/>
  <c r="F680" i="50"/>
  <c r="G680" i="50"/>
  <c r="I680" i="50"/>
  <c r="H680" i="50"/>
  <c r="C680" i="50"/>
  <c r="E680" i="50"/>
  <c r="A680" i="50"/>
  <c r="B569" i="50"/>
  <c r="E569" i="50"/>
  <c r="F569" i="50"/>
  <c r="A569" i="50"/>
  <c r="G569" i="50"/>
  <c r="I569" i="50"/>
  <c r="C569" i="50"/>
  <c r="H569" i="50"/>
  <c r="E137" i="50"/>
  <c r="C137" i="50"/>
  <c r="I137" i="50"/>
  <c r="A137" i="50"/>
  <c r="B137" i="50"/>
  <c r="F137" i="50"/>
  <c r="H137" i="50"/>
  <c r="G137" i="50"/>
  <c r="F496" i="50"/>
  <c r="C496" i="50"/>
  <c r="H496" i="50"/>
  <c r="A496" i="50"/>
  <c r="G496" i="50"/>
  <c r="E496" i="50"/>
  <c r="I496" i="50"/>
  <c r="B496" i="50"/>
  <c r="I596" i="50"/>
  <c r="E596" i="50"/>
  <c r="G596" i="50"/>
  <c r="B596" i="50"/>
  <c r="A596" i="50"/>
  <c r="F596" i="50"/>
  <c r="C596" i="50"/>
  <c r="H596" i="50"/>
  <c r="E24" i="50"/>
  <c r="F24" i="50"/>
  <c r="C24" i="50"/>
  <c r="A24" i="50"/>
  <c r="I24" i="50"/>
  <c r="H24" i="50"/>
  <c r="G24" i="50"/>
  <c r="B24" i="50"/>
  <c r="C869" i="50"/>
  <c r="H869" i="50"/>
  <c r="I869" i="50"/>
  <c r="A869" i="50"/>
  <c r="B869" i="50"/>
  <c r="F869" i="50"/>
  <c r="E869" i="50"/>
  <c r="G869" i="50"/>
  <c r="A282" i="50"/>
  <c r="H282" i="50"/>
  <c r="B282" i="50"/>
  <c r="C282" i="50"/>
  <c r="I282" i="50"/>
  <c r="G282" i="50"/>
  <c r="E282" i="50"/>
  <c r="F282" i="50"/>
  <c r="G7" i="50"/>
  <c r="F7" i="50"/>
  <c r="C7" i="50"/>
  <c r="A7" i="50"/>
  <c r="E7" i="50"/>
  <c r="H7" i="50"/>
  <c r="B7" i="50"/>
  <c r="I7" i="50"/>
  <c r="I306" i="50"/>
  <c r="F306" i="50"/>
  <c r="A306" i="50"/>
  <c r="B306" i="50"/>
  <c r="H306" i="50"/>
  <c r="C306" i="50"/>
  <c r="E306" i="50"/>
  <c r="G306" i="50"/>
  <c r="A919" i="50"/>
  <c r="B919" i="50"/>
  <c r="G919" i="50"/>
  <c r="F919" i="50"/>
  <c r="C919" i="50"/>
  <c r="E919" i="50"/>
  <c r="H919" i="50"/>
  <c r="I919" i="50"/>
  <c r="E116" i="50"/>
  <c r="A116" i="50"/>
  <c r="F116" i="50"/>
  <c r="C116" i="50"/>
  <c r="H116" i="50"/>
  <c r="I116" i="50"/>
  <c r="G116" i="50"/>
  <c r="B116" i="50"/>
  <c r="I317" i="50"/>
  <c r="F317" i="50"/>
  <c r="B317" i="50"/>
  <c r="G317" i="50"/>
  <c r="C317" i="50"/>
  <c r="E317" i="50"/>
  <c r="A317" i="50"/>
  <c r="H317" i="50"/>
  <c r="I886" i="50"/>
  <c r="C886" i="50"/>
  <c r="E886" i="50"/>
  <c r="G886" i="50"/>
  <c r="F886" i="50"/>
  <c r="A886" i="50"/>
  <c r="B886" i="50"/>
  <c r="H886" i="50"/>
  <c r="C904" i="50"/>
  <c r="H904" i="50"/>
  <c r="A904" i="50"/>
  <c r="B904" i="50"/>
  <c r="I904" i="50"/>
  <c r="G904" i="50"/>
  <c r="E904" i="50"/>
  <c r="F904" i="50"/>
  <c r="A421" i="50"/>
  <c r="F421" i="50"/>
  <c r="E421" i="50"/>
  <c r="H421" i="50"/>
  <c r="G421" i="50"/>
  <c r="B421" i="50"/>
  <c r="C421" i="50"/>
  <c r="I421" i="50"/>
  <c r="G962" i="50"/>
  <c r="I962" i="50"/>
  <c r="E962" i="50"/>
  <c r="B962" i="50"/>
  <c r="H962" i="50"/>
  <c r="F962" i="50"/>
  <c r="C962" i="50"/>
  <c r="A962" i="50"/>
  <c r="G684" i="50"/>
  <c r="E684" i="50"/>
  <c r="A684" i="50"/>
  <c r="C684" i="50"/>
  <c r="F684" i="50"/>
  <c r="I684" i="50"/>
  <c r="H684" i="50"/>
  <c r="B684" i="50"/>
  <c r="B948" i="50"/>
  <c r="F948" i="50"/>
  <c r="C948" i="50"/>
  <c r="H948" i="50"/>
  <c r="G948" i="50"/>
  <c r="E948" i="50"/>
  <c r="A948" i="50"/>
  <c r="I948" i="50"/>
  <c r="C746" i="50"/>
  <c r="E746" i="50"/>
  <c r="B746" i="50"/>
  <c r="I746" i="50"/>
  <c r="F746" i="50"/>
  <c r="G746" i="50"/>
  <c r="H746" i="50"/>
  <c r="A746" i="50"/>
  <c r="B877" i="50"/>
  <c r="H877" i="50"/>
  <c r="F877" i="50"/>
  <c r="C877" i="50"/>
  <c r="A877" i="50"/>
  <c r="G877" i="50"/>
  <c r="I877" i="50"/>
  <c r="E877" i="50"/>
  <c r="C28" i="50"/>
  <c r="F28" i="50"/>
  <c r="H28" i="50"/>
  <c r="E28" i="50"/>
  <c r="B28" i="50"/>
  <c r="I28" i="50"/>
  <c r="G28" i="50"/>
  <c r="A28" i="50"/>
  <c r="B1052" i="50"/>
  <c r="I1052" i="50"/>
  <c r="C1052" i="50"/>
  <c r="E1052" i="50"/>
  <c r="H1052" i="50"/>
  <c r="F1052" i="50"/>
  <c r="G1052" i="50"/>
  <c r="A1052" i="50"/>
  <c r="F969" i="50"/>
  <c r="A969" i="50"/>
  <c r="H969" i="50"/>
  <c r="B969" i="50"/>
  <c r="E969" i="50"/>
  <c r="G969" i="50"/>
  <c r="I969" i="50"/>
  <c r="C969" i="50"/>
  <c r="B189" i="50"/>
  <c r="C189" i="50"/>
  <c r="G189" i="50"/>
  <c r="F189" i="50"/>
  <c r="E189" i="50"/>
  <c r="H189" i="50"/>
  <c r="A189" i="50"/>
  <c r="I189" i="50"/>
  <c r="G124" i="50"/>
  <c r="A124" i="50"/>
  <c r="E124" i="50"/>
  <c r="F124" i="50"/>
  <c r="B124" i="50"/>
  <c r="I124" i="50"/>
  <c r="H124" i="50"/>
  <c r="C124" i="50"/>
  <c r="B1024" i="50"/>
  <c r="C1024" i="50"/>
  <c r="A1024" i="50"/>
  <c r="F1024" i="50"/>
  <c r="H1024" i="50"/>
  <c r="E1024" i="50"/>
  <c r="I1024" i="50"/>
  <c r="G1024" i="50"/>
  <c r="G801" i="50"/>
  <c r="H801" i="50"/>
  <c r="C801" i="50"/>
  <c r="B801" i="50"/>
  <c r="A801" i="50"/>
  <c r="I801" i="50"/>
  <c r="E801" i="50"/>
  <c r="F801" i="50"/>
  <c r="A743" i="50"/>
  <c r="I743" i="50"/>
  <c r="F743" i="50"/>
  <c r="H743" i="50"/>
  <c r="B743" i="50"/>
  <c r="E743" i="50"/>
  <c r="C743" i="50"/>
  <c r="G743" i="50"/>
  <c r="G870" i="50"/>
  <c r="E870" i="50"/>
  <c r="A870" i="50"/>
  <c r="C870" i="50"/>
  <c r="H870" i="50"/>
  <c r="I870" i="50"/>
  <c r="F870" i="50"/>
  <c r="B870" i="50"/>
  <c r="C1065" i="50"/>
  <c r="H1065" i="50"/>
  <c r="I1065" i="50"/>
  <c r="G1065" i="50"/>
  <c r="F1065" i="50"/>
  <c r="E1065" i="50"/>
  <c r="A1065" i="50"/>
  <c r="B1065" i="50"/>
  <c r="H540" i="50"/>
  <c r="B540" i="50"/>
  <c r="G540" i="50"/>
  <c r="E540" i="50"/>
  <c r="F540" i="50"/>
  <c r="A540" i="50"/>
  <c r="I540" i="50"/>
  <c r="C540" i="50"/>
  <c r="F1004" i="50"/>
  <c r="C1004" i="50"/>
  <c r="G1004" i="50"/>
  <c r="A1004" i="50"/>
  <c r="E1004" i="50"/>
  <c r="I1004" i="50"/>
  <c r="B1004" i="50"/>
  <c r="H1004" i="50"/>
  <c r="F36" i="50"/>
  <c r="C36" i="50"/>
  <c r="A36" i="50"/>
  <c r="B36" i="50"/>
  <c r="I36" i="50"/>
  <c r="E36" i="50"/>
  <c r="G36" i="50"/>
  <c r="H36" i="50"/>
  <c r="E454" i="50"/>
  <c r="A454" i="50"/>
  <c r="C454" i="50"/>
  <c r="H454" i="50"/>
  <c r="I454" i="50"/>
  <c r="B454" i="50"/>
  <c r="F454" i="50"/>
  <c r="G454" i="50"/>
  <c r="I762" i="50"/>
  <c r="H762" i="50"/>
  <c r="F762" i="50"/>
  <c r="A762" i="50"/>
  <c r="C762" i="50"/>
  <c r="G762" i="50"/>
  <c r="B762" i="50"/>
  <c r="E762" i="50"/>
  <c r="B465" i="50"/>
  <c r="E465" i="50"/>
  <c r="I465" i="50"/>
  <c r="C465" i="50"/>
  <c r="G465" i="50"/>
  <c r="A465" i="50"/>
  <c r="F465" i="50"/>
  <c r="H465" i="50"/>
  <c r="E227" i="50"/>
  <c r="C227" i="50"/>
  <c r="F227" i="50"/>
  <c r="I227" i="50"/>
  <c r="G227" i="50"/>
  <c r="H227" i="50"/>
  <c r="B227" i="50"/>
  <c r="A227" i="50"/>
  <c r="A548" i="50"/>
  <c r="I548" i="50"/>
  <c r="H548" i="50"/>
  <c r="C548" i="50"/>
  <c r="E548" i="50"/>
  <c r="F548" i="50"/>
  <c r="B548" i="50"/>
  <c r="G548" i="50"/>
  <c r="I176" i="50"/>
  <c r="A176" i="50"/>
  <c r="F176" i="50"/>
  <c r="E176" i="50"/>
  <c r="B176" i="50"/>
  <c r="C176" i="50"/>
  <c r="G176" i="50"/>
  <c r="H176" i="50"/>
  <c r="I169" i="50"/>
  <c r="E169" i="50"/>
  <c r="F169" i="50"/>
  <c r="A169" i="50"/>
  <c r="H169" i="50"/>
  <c r="B169" i="50"/>
  <c r="C169" i="50"/>
  <c r="G169" i="50"/>
  <c r="B913" i="50"/>
  <c r="E913" i="50"/>
  <c r="H913" i="50"/>
  <c r="C913" i="50"/>
  <c r="I913" i="50"/>
  <c r="A913" i="50"/>
  <c r="F913" i="50"/>
  <c r="G913" i="50"/>
  <c r="H139" i="50"/>
  <c r="B139" i="50"/>
  <c r="C139" i="50"/>
  <c r="F139" i="50"/>
  <c r="G139" i="50"/>
  <c r="A139" i="50"/>
  <c r="I139" i="50"/>
  <c r="E139" i="50"/>
  <c r="E129" i="50"/>
  <c r="I129" i="50"/>
  <c r="H129" i="50"/>
  <c r="F129" i="50"/>
  <c r="A129" i="50"/>
  <c r="G129" i="50"/>
  <c r="B129" i="50"/>
  <c r="C129" i="50"/>
  <c r="C739" i="50"/>
  <c r="A739" i="50"/>
  <c r="E739" i="50"/>
  <c r="B739" i="50"/>
  <c r="G739" i="50"/>
  <c r="H739" i="50"/>
  <c r="F739" i="50"/>
  <c r="I739" i="50"/>
  <c r="F458" i="50"/>
  <c r="C458" i="50"/>
  <c r="A458" i="50"/>
  <c r="B458" i="50"/>
  <c r="I458" i="50"/>
  <c r="G458" i="50"/>
  <c r="H458" i="50"/>
  <c r="E458" i="50"/>
  <c r="F860" i="50"/>
  <c r="I860" i="50"/>
  <c r="G860" i="50"/>
  <c r="C860" i="50"/>
  <c r="B860" i="50"/>
  <c r="A860" i="50"/>
  <c r="H860" i="50"/>
  <c r="E860" i="50"/>
  <c r="E270" i="50"/>
  <c r="F270" i="50"/>
  <c r="H270" i="50"/>
  <c r="C270" i="50"/>
  <c r="G270" i="50"/>
  <c r="B270" i="50"/>
  <c r="A270" i="50"/>
  <c r="I270" i="50"/>
  <c r="C928" i="50"/>
  <c r="I928" i="50"/>
  <c r="H928" i="50"/>
  <c r="E928" i="50"/>
  <c r="B928" i="50"/>
  <c r="A928" i="50"/>
  <c r="F928" i="50"/>
  <c r="G928" i="50"/>
  <c r="H319" i="50"/>
  <c r="A319" i="50"/>
  <c r="I319" i="50"/>
  <c r="E319" i="50"/>
  <c r="C319" i="50"/>
  <c r="F319" i="50"/>
  <c r="B319" i="50"/>
  <c r="G319" i="50"/>
  <c r="I60" i="50"/>
  <c r="A60" i="50"/>
  <c r="C60" i="50"/>
  <c r="G60" i="50"/>
  <c r="B60" i="50"/>
  <c r="E60" i="50"/>
  <c r="H60" i="50"/>
  <c r="F60" i="50"/>
  <c r="G90" i="50"/>
  <c r="H90" i="50"/>
  <c r="A90" i="50"/>
  <c r="E90" i="50"/>
  <c r="B90" i="50"/>
  <c r="I90" i="50"/>
  <c r="C90" i="50"/>
  <c r="F90" i="50"/>
  <c r="B3" i="50"/>
  <c r="C3" i="50"/>
  <c r="A3" i="50"/>
  <c r="F3" i="50"/>
  <c r="I3" i="50"/>
  <c r="E3" i="50"/>
  <c r="H3" i="50"/>
  <c r="G3" i="50"/>
  <c r="A626" i="50"/>
  <c r="B626" i="50"/>
  <c r="E626" i="50"/>
  <c r="C626" i="50"/>
  <c r="F626" i="50"/>
  <c r="G626" i="50"/>
  <c r="I626" i="50"/>
  <c r="H626" i="50"/>
  <c r="G597" i="50"/>
  <c r="B597" i="50"/>
  <c r="I597" i="50"/>
  <c r="E597" i="50"/>
  <c r="H597" i="50"/>
  <c r="F597" i="50"/>
  <c r="A597" i="50"/>
  <c r="C597" i="50"/>
  <c r="G1016" i="50"/>
  <c r="F1016" i="50"/>
  <c r="I1016" i="50"/>
  <c r="C1016" i="50"/>
  <c r="B1016" i="50"/>
  <c r="A1016" i="50"/>
  <c r="H1016" i="50"/>
  <c r="E1016" i="50"/>
  <c r="I729" i="50"/>
  <c r="B729" i="50"/>
  <c r="C729" i="50"/>
  <c r="G729" i="50"/>
  <c r="A729" i="50"/>
  <c r="H729" i="50"/>
  <c r="F729" i="50"/>
  <c r="E729" i="50"/>
  <c r="H1028" i="50"/>
  <c r="I1028" i="50"/>
  <c r="C1028" i="50"/>
  <c r="E1028" i="50"/>
  <c r="A1028" i="50"/>
  <c r="B1028" i="50"/>
  <c r="F1028" i="50"/>
  <c r="G1028" i="50"/>
  <c r="A965" i="50"/>
  <c r="H965" i="50"/>
  <c r="B965" i="50"/>
  <c r="E965" i="50"/>
  <c r="F965" i="50"/>
  <c r="G965" i="50"/>
  <c r="C965" i="50"/>
  <c r="I965" i="50"/>
  <c r="E907" i="50"/>
  <c r="G907" i="50"/>
  <c r="F907" i="50"/>
  <c r="I907" i="50"/>
  <c r="C907" i="50"/>
  <c r="A907" i="50"/>
  <c r="B907" i="50"/>
  <c r="H907" i="50"/>
  <c r="F960" i="50"/>
  <c r="H960" i="50"/>
  <c r="B960" i="50"/>
  <c r="C960" i="50"/>
  <c r="G960" i="50"/>
  <c r="I960" i="50"/>
  <c r="A960" i="50"/>
  <c r="E960" i="50"/>
  <c r="H1027" i="50"/>
  <c r="C1027" i="50"/>
  <c r="I1027" i="50"/>
  <c r="G1027" i="50"/>
  <c r="B1027" i="50"/>
  <c r="A1027" i="50"/>
  <c r="E1027" i="50"/>
  <c r="F1027" i="50"/>
  <c r="E924" i="50"/>
  <c r="A924" i="50"/>
  <c r="C924" i="50"/>
  <c r="B924" i="50"/>
  <c r="I924" i="50"/>
  <c r="H924" i="50"/>
  <c r="F924" i="50"/>
  <c r="G924" i="50"/>
  <c r="I556" i="50"/>
  <c r="C556" i="50"/>
  <c r="A556" i="50"/>
  <c r="B556" i="50"/>
  <c r="H556" i="50"/>
  <c r="G556" i="50"/>
  <c r="E556" i="50"/>
  <c r="F556" i="50"/>
  <c r="C857" i="50"/>
  <c r="B857" i="50"/>
  <c r="E857" i="50"/>
  <c r="F857" i="50"/>
  <c r="I857" i="50"/>
  <c r="H857" i="50"/>
  <c r="A857" i="50"/>
  <c r="G857" i="50"/>
  <c r="G671" i="50"/>
  <c r="B671" i="50"/>
  <c r="C671" i="50"/>
  <c r="F671" i="50"/>
  <c r="E671" i="50"/>
  <c r="I671" i="50"/>
  <c r="A671" i="50"/>
  <c r="H671" i="50"/>
  <c r="H364" i="50"/>
  <c r="G364" i="50"/>
  <c r="A364" i="50"/>
  <c r="C364" i="50"/>
  <c r="I364" i="50"/>
  <c r="F364" i="50"/>
  <c r="E364" i="50"/>
  <c r="B364" i="50"/>
  <c r="B974" i="50"/>
  <c r="E974" i="50"/>
  <c r="G974" i="50"/>
  <c r="I974" i="50"/>
  <c r="C974" i="50"/>
  <c r="A974" i="50"/>
  <c r="H974" i="50"/>
  <c r="F974" i="50"/>
  <c r="A587" i="50"/>
  <c r="C587" i="50"/>
  <c r="I587" i="50"/>
  <c r="E587" i="50"/>
  <c r="B587" i="50"/>
  <c r="H587" i="50"/>
  <c r="F587" i="50"/>
  <c r="G587" i="50"/>
  <c r="F231" i="50"/>
  <c r="I231" i="50"/>
  <c r="C231" i="50"/>
  <c r="E231" i="50"/>
  <c r="G231" i="50"/>
  <c r="A231" i="50"/>
  <c r="B231" i="50"/>
  <c r="H231" i="50"/>
  <c r="F461" i="50"/>
  <c r="H461" i="50"/>
  <c r="C461" i="50"/>
  <c r="I461" i="50"/>
  <c r="B461" i="50"/>
  <c r="A461" i="50"/>
  <c r="E461" i="50"/>
  <c r="G461" i="50"/>
  <c r="E700" i="50"/>
  <c r="H700" i="50"/>
  <c r="I700" i="50"/>
  <c r="G700" i="50"/>
  <c r="C700" i="50"/>
  <c r="F700" i="50"/>
  <c r="B700" i="50"/>
  <c r="A700" i="50"/>
  <c r="A853" i="50"/>
  <c r="B853" i="50"/>
  <c r="F853" i="50"/>
  <c r="H853" i="50"/>
  <c r="C853" i="50"/>
  <c r="G853" i="50"/>
  <c r="E853" i="50"/>
  <c r="I853" i="50"/>
  <c r="H179" i="50"/>
  <c r="G179" i="50"/>
  <c r="B179" i="50"/>
  <c r="C179" i="50"/>
  <c r="F179" i="50"/>
  <c r="A179" i="50"/>
  <c r="I179" i="50"/>
  <c r="E179" i="50"/>
  <c r="H767" i="50"/>
  <c r="A767" i="50"/>
  <c r="F767" i="50"/>
  <c r="B767" i="50"/>
  <c r="I767" i="50"/>
  <c r="E767" i="50"/>
  <c r="G767" i="50"/>
  <c r="C767" i="50"/>
  <c r="E745" i="50"/>
  <c r="F745" i="50"/>
  <c r="H745" i="50"/>
  <c r="G745" i="50"/>
  <c r="A745" i="50"/>
  <c r="B745" i="50"/>
  <c r="C745" i="50"/>
  <c r="I745" i="50"/>
  <c r="B545" i="50"/>
  <c r="C545" i="50"/>
  <c r="F545" i="50"/>
  <c r="E545" i="50"/>
  <c r="A545" i="50"/>
  <c r="H545" i="50"/>
  <c r="I545" i="50"/>
  <c r="G545" i="50"/>
  <c r="F590" i="50"/>
  <c r="C590" i="50"/>
  <c r="A590" i="50"/>
  <c r="I590" i="50"/>
  <c r="G590" i="50"/>
  <c r="H590" i="50"/>
  <c r="B590" i="50"/>
  <c r="E590" i="50"/>
  <c r="H76" i="50"/>
  <c r="A76" i="50"/>
  <c r="C76" i="50"/>
  <c r="G76" i="50"/>
  <c r="F76" i="50"/>
  <c r="B76" i="50"/>
  <c r="I76" i="50"/>
  <c r="E76" i="50"/>
  <c r="H898" i="50"/>
  <c r="C898" i="50"/>
  <c r="G898" i="50"/>
  <c r="E898" i="50"/>
  <c r="A898" i="50"/>
  <c r="I898" i="50"/>
  <c r="F898" i="50"/>
  <c r="B898" i="50"/>
  <c r="A412" i="50"/>
  <c r="C412" i="50"/>
  <c r="E412" i="50"/>
  <c r="I412" i="50"/>
  <c r="H412" i="50"/>
  <c r="F412" i="50"/>
  <c r="G412" i="50"/>
  <c r="B412" i="50"/>
  <c r="G541" i="50"/>
  <c r="F541" i="50"/>
  <c r="H541" i="50"/>
  <c r="E541" i="50"/>
  <c r="A541" i="50"/>
  <c r="I541" i="50"/>
  <c r="B541" i="50"/>
  <c r="C541" i="50"/>
  <c r="C1070" i="50"/>
  <c r="H1070" i="50"/>
  <c r="G1070" i="50"/>
  <c r="A1070" i="50"/>
  <c r="B1070" i="50"/>
  <c r="F1070" i="50"/>
  <c r="E1070" i="50"/>
  <c r="I1070" i="50"/>
  <c r="I788" i="50"/>
  <c r="E788" i="50"/>
  <c r="H788" i="50"/>
  <c r="B788" i="50"/>
  <c r="F788" i="50"/>
  <c r="A788" i="50"/>
  <c r="G788" i="50"/>
  <c r="C788" i="50"/>
  <c r="C659" i="50"/>
  <c r="E659" i="50"/>
  <c r="F659" i="50"/>
  <c r="B659" i="50"/>
  <c r="I659" i="50"/>
  <c r="G659" i="50"/>
  <c r="A659" i="50"/>
  <c r="H659" i="50"/>
  <c r="F658" i="50"/>
  <c r="G658" i="50"/>
  <c r="I658" i="50"/>
  <c r="H658" i="50"/>
  <c r="E658" i="50"/>
  <c r="A658" i="50"/>
  <c r="C658" i="50"/>
  <c r="B658" i="50"/>
  <c r="F363" i="50"/>
  <c r="I363" i="50"/>
  <c r="E363" i="50"/>
  <c r="B363" i="50"/>
  <c r="A363" i="50"/>
  <c r="H363" i="50"/>
  <c r="G363" i="50"/>
  <c r="C363" i="50"/>
  <c r="G121" i="50"/>
  <c r="A121" i="50"/>
  <c r="I121" i="50"/>
  <c r="E121" i="50"/>
  <c r="B121" i="50"/>
  <c r="C121" i="50"/>
  <c r="H121" i="50"/>
  <c r="F121" i="50"/>
  <c r="A206" i="50"/>
  <c r="C206" i="50"/>
  <c r="I206" i="50"/>
  <c r="F206" i="50"/>
  <c r="E206" i="50"/>
  <c r="B206" i="50"/>
  <c r="H206" i="50"/>
  <c r="G206" i="50"/>
  <c r="F829" i="50"/>
  <c r="A829" i="50"/>
  <c r="H829" i="50"/>
  <c r="C829" i="50"/>
  <c r="I829" i="50"/>
  <c r="G829" i="50"/>
  <c r="B829" i="50"/>
  <c r="E829" i="50"/>
  <c r="B23" i="50"/>
  <c r="A23" i="50"/>
  <c r="H23" i="50"/>
  <c r="G23" i="50"/>
  <c r="F23" i="50"/>
  <c r="C23" i="50"/>
  <c r="I23" i="50"/>
  <c r="E23" i="50"/>
  <c r="E656" i="50"/>
  <c r="C656" i="50"/>
  <c r="B656" i="50"/>
  <c r="I656" i="50"/>
  <c r="H656" i="50"/>
  <c r="A656" i="50"/>
  <c r="G656" i="50"/>
  <c r="F656" i="50"/>
  <c r="I831" i="50"/>
  <c r="H831" i="50"/>
  <c r="C831" i="50"/>
  <c r="F831" i="50"/>
  <c r="B831" i="50"/>
  <c r="G831" i="50"/>
  <c r="A831" i="50"/>
  <c r="E831" i="50"/>
  <c r="C832" i="50"/>
  <c r="I832" i="50"/>
  <c r="G832" i="50"/>
  <c r="B832" i="50"/>
  <c r="F832" i="50"/>
  <c r="A832" i="50"/>
  <c r="E832" i="50"/>
  <c r="H832" i="50"/>
  <c r="I208" i="50"/>
  <c r="H208" i="50"/>
  <c r="B208" i="50"/>
  <c r="G208" i="50"/>
  <c r="E208" i="50"/>
  <c r="F208" i="50"/>
  <c r="C208" i="50"/>
  <c r="A208" i="50"/>
  <c r="I1007" i="50"/>
  <c r="G1007" i="50"/>
  <c r="B1007" i="50"/>
  <c r="H1007" i="50"/>
  <c r="E1007" i="50"/>
  <c r="A1007" i="50"/>
  <c r="C1007" i="50"/>
  <c r="F1007" i="50"/>
  <c r="E102" i="50"/>
  <c r="A102" i="50"/>
  <c r="H102" i="50"/>
  <c r="I102" i="50"/>
  <c r="G102" i="50"/>
  <c r="B102" i="50"/>
  <c r="C102" i="50"/>
  <c r="F102" i="50"/>
  <c r="I598" i="50"/>
  <c r="B598" i="50"/>
  <c r="G598" i="50"/>
  <c r="E598" i="50"/>
  <c r="A598" i="50"/>
  <c r="H598" i="50"/>
  <c r="F598" i="50"/>
  <c r="C598" i="50"/>
  <c r="G572" i="50"/>
  <c r="A572" i="50"/>
  <c r="F572" i="50"/>
  <c r="I572" i="50"/>
  <c r="C572" i="50"/>
  <c r="H572" i="50"/>
  <c r="B572" i="50"/>
  <c r="E572" i="50"/>
  <c r="I475" i="50"/>
  <c r="C475" i="50"/>
  <c r="G475" i="50"/>
  <c r="E475" i="50"/>
  <c r="F475" i="50"/>
  <c r="B475" i="50"/>
  <c r="H475" i="50"/>
  <c r="A475" i="50"/>
  <c r="E128" i="50"/>
  <c r="F128" i="50"/>
  <c r="B128" i="50"/>
  <c r="C128" i="50"/>
  <c r="G128" i="50"/>
  <c r="I128" i="50"/>
  <c r="H128" i="50"/>
  <c r="A128" i="50"/>
  <c r="F112" i="50"/>
  <c r="H112" i="50"/>
  <c r="E112" i="50"/>
  <c r="I112" i="50"/>
  <c r="A112" i="50"/>
  <c r="C112" i="50"/>
  <c r="G112" i="50"/>
  <c r="B112" i="50"/>
  <c r="H1074" i="50"/>
  <c r="F1074" i="50"/>
  <c r="B1074" i="50"/>
  <c r="E1074" i="50"/>
  <c r="A1074" i="50"/>
  <c r="I1074" i="50"/>
  <c r="G1074" i="50"/>
  <c r="C1074" i="50"/>
  <c r="C778" i="50"/>
  <c r="B778" i="50"/>
  <c r="F778" i="50"/>
  <c r="G778" i="50"/>
  <c r="H778" i="50"/>
  <c r="I778" i="50"/>
  <c r="A778" i="50"/>
  <c r="E778" i="50"/>
  <c r="I833" i="50"/>
  <c r="B833" i="50"/>
  <c r="C833" i="50"/>
  <c r="F833" i="50"/>
  <c r="H833" i="50"/>
  <c r="A833" i="50"/>
  <c r="G833" i="50"/>
  <c r="E833" i="50"/>
  <c r="C557" i="50"/>
  <c r="E557" i="50"/>
  <c r="A557" i="50"/>
  <c r="H557" i="50"/>
  <c r="F557" i="50"/>
  <c r="B557" i="50"/>
  <c r="I557" i="50"/>
  <c r="G557" i="50"/>
  <c r="H214" i="50"/>
  <c r="F214" i="50"/>
  <c r="G214" i="50"/>
  <c r="C214" i="50"/>
  <c r="E214" i="50"/>
  <c r="I214" i="50"/>
  <c r="B214" i="50"/>
  <c r="A214" i="50"/>
  <c r="E809" i="50"/>
  <c r="G809" i="50"/>
  <c r="A809" i="50"/>
  <c r="B809" i="50"/>
  <c r="H809" i="50"/>
  <c r="C809" i="50"/>
  <c r="I809" i="50"/>
  <c r="F809" i="50"/>
  <c r="C615" i="50"/>
  <c r="H615" i="50"/>
  <c r="F615" i="50"/>
  <c r="G615" i="50"/>
  <c r="B615" i="50"/>
  <c r="A615" i="50"/>
  <c r="E615" i="50"/>
  <c r="I615" i="50"/>
  <c r="A217" i="50"/>
  <c r="E217" i="50"/>
  <c r="B217" i="50"/>
  <c r="I217" i="50"/>
  <c r="C217" i="50"/>
  <c r="H217" i="50"/>
  <c r="G217" i="50"/>
  <c r="F217" i="50"/>
  <c r="F301" i="50"/>
  <c r="B301" i="50"/>
  <c r="H301" i="50"/>
  <c r="C301" i="50"/>
  <c r="A301" i="50"/>
  <c r="G301" i="50"/>
  <c r="E301" i="50"/>
  <c r="I301" i="50"/>
  <c r="B344" i="50"/>
  <c r="A344" i="50"/>
  <c r="I344" i="50"/>
  <c r="F344" i="50"/>
  <c r="G344" i="50"/>
  <c r="H344" i="50"/>
  <c r="C344" i="50"/>
  <c r="E344" i="50"/>
  <c r="G806" i="50"/>
  <c r="C806" i="50"/>
  <c r="A806" i="50"/>
  <c r="H806" i="50"/>
  <c r="I806" i="50"/>
  <c r="B806" i="50"/>
  <c r="E806" i="50"/>
  <c r="F806" i="50"/>
  <c r="A47" i="50"/>
  <c r="G47" i="50"/>
  <c r="F47" i="50"/>
  <c r="H47" i="50"/>
  <c r="I47" i="50"/>
  <c r="E47" i="50"/>
  <c r="B47" i="50"/>
  <c r="C47" i="50"/>
  <c r="I80" i="50"/>
  <c r="G80" i="50"/>
  <c r="H80" i="50"/>
  <c r="A80" i="50"/>
  <c r="B80" i="50"/>
  <c r="E80" i="50"/>
  <c r="C80" i="50"/>
  <c r="F80" i="50"/>
  <c r="B303" i="50"/>
  <c r="G303" i="50"/>
  <c r="I303" i="50"/>
  <c r="A303" i="50"/>
  <c r="E303" i="50"/>
  <c r="H303" i="50"/>
  <c r="F303" i="50"/>
  <c r="C303" i="50"/>
  <c r="B930" i="50"/>
  <c r="I930" i="50"/>
  <c r="E930" i="50"/>
  <c r="G930" i="50"/>
  <c r="F930" i="50"/>
  <c r="C930" i="50"/>
  <c r="H930" i="50"/>
  <c r="A930" i="50"/>
  <c r="B318" i="50"/>
  <c r="H318" i="50"/>
  <c r="I318" i="50"/>
  <c r="E318" i="50"/>
  <c r="A318" i="50"/>
  <c r="G318" i="50"/>
  <c r="C318" i="50"/>
  <c r="F318" i="50"/>
  <c r="G522" i="50"/>
  <c r="F522" i="50"/>
  <c r="I522" i="50"/>
  <c r="E522" i="50"/>
  <c r="A522" i="50"/>
  <c r="H522" i="50"/>
  <c r="C522" i="50"/>
  <c r="B522" i="50"/>
  <c r="C401" i="50"/>
  <c r="B401" i="50"/>
  <c r="F401" i="50"/>
  <c r="A401" i="50"/>
  <c r="G401" i="50"/>
  <c r="H401" i="50"/>
  <c r="I401" i="50"/>
  <c r="E401" i="50"/>
  <c r="A1037" i="50"/>
  <c r="H1037" i="50"/>
  <c r="E1037" i="50"/>
  <c r="I1037" i="50"/>
  <c r="G1037" i="50"/>
  <c r="F1037" i="50"/>
  <c r="B1037" i="50"/>
  <c r="C1037" i="50"/>
  <c r="C874" i="50"/>
  <c r="G874" i="50"/>
  <c r="F874" i="50"/>
  <c r="A874" i="50"/>
  <c r="B874" i="50"/>
  <c r="H874" i="50"/>
  <c r="I874" i="50"/>
  <c r="E874" i="50"/>
  <c r="H1038" i="50"/>
  <c r="F1038" i="50"/>
  <c r="I1038" i="50"/>
  <c r="C1038" i="50"/>
  <c r="E1038" i="50"/>
  <c r="A1038" i="50"/>
  <c r="B1038" i="50"/>
  <c r="G1038" i="50"/>
  <c r="A957" i="50"/>
  <c r="E957" i="50"/>
  <c r="G957" i="50"/>
  <c r="B957" i="50"/>
  <c r="I957" i="50"/>
  <c r="H957" i="50"/>
  <c r="C957" i="50"/>
  <c r="F957" i="50"/>
  <c r="H604" i="50"/>
  <c r="F604" i="50"/>
  <c r="B604" i="50"/>
  <c r="E604" i="50"/>
  <c r="G604" i="50"/>
  <c r="C604" i="50"/>
  <c r="I604" i="50"/>
  <c r="A604" i="50"/>
  <c r="AB891" i="32"/>
  <c r="AB892" i="32" s="1"/>
  <c r="A956" i="50"/>
  <c r="B956" i="50"/>
  <c r="E956" i="50"/>
  <c r="H956" i="50"/>
  <c r="C956" i="50"/>
  <c r="F956" i="50"/>
  <c r="G956" i="50"/>
  <c r="I956" i="50"/>
  <c r="F760" i="50"/>
  <c r="B760" i="50"/>
  <c r="E760" i="50"/>
  <c r="A760" i="50"/>
  <c r="I760" i="50"/>
  <c r="C760" i="50"/>
  <c r="H760" i="50"/>
  <c r="G760" i="50"/>
  <c r="G14" i="50"/>
  <c r="I14" i="50"/>
  <c r="E14" i="50"/>
  <c r="H14" i="50"/>
  <c r="B14" i="50"/>
  <c r="A14" i="50"/>
  <c r="F14" i="50"/>
  <c r="C14" i="50"/>
  <c r="A730" i="50"/>
  <c r="I730" i="50"/>
  <c r="G730" i="50"/>
  <c r="B730" i="50"/>
  <c r="E730" i="50"/>
  <c r="F730" i="50"/>
  <c r="C730" i="50"/>
  <c r="H730" i="50"/>
  <c r="G1031" i="50"/>
  <c r="I1031" i="50"/>
  <c r="F1031" i="50"/>
  <c r="E1031" i="50"/>
  <c r="B1031" i="50"/>
  <c r="C1031" i="50"/>
  <c r="A1031" i="50"/>
  <c r="H1031" i="50"/>
  <c r="B63" i="50"/>
  <c r="A63" i="50"/>
  <c r="C63" i="50"/>
  <c r="G63" i="50"/>
  <c r="I63" i="50"/>
  <c r="F63" i="50"/>
  <c r="E63" i="50"/>
  <c r="H63" i="50"/>
  <c r="A426" i="50"/>
  <c r="F426" i="50"/>
  <c r="I426" i="50"/>
  <c r="C426" i="50"/>
  <c r="B426" i="50"/>
  <c r="H426" i="50"/>
  <c r="G426" i="50"/>
  <c r="E426" i="50"/>
  <c r="G1032" i="50"/>
  <c r="F1032" i="50"/>
  <c r="B1032" i="50"/>
  <c r="A1032" i="50"/>
  <c r="C1032" i="50"/>
  <c r="E1032" i="50"/>
  <c r="H1032" i="50"/>
  <c r="I1032" i="50"/>
  <c r="B991" i="50"/>
  <c r="F991" i="50"/>
  <c r="C991" i="50"/>
  <c r="I991" i="50"/>
  <c r="E991" i="50"/>
  <c r="H991" i="50"/>
  <c r="A991" i="50"/>
  <c r="G991" i="50"/>
  <c r="G807" i="50"/>
  <c r="C807" i="50"/>
  <c r="B807" i="50"/>
  <c r="F807" i="50"/>
  <c r="I807" i="50"/>
  <c r="H807" i="50"/>
  <c r="A807" i="50"/>
  <c r="E807" i="50"/>
  <c r="G975" i="50"/>
  <c r="E975" i="50"/>
  <c r="I975" i="50"/>
  <c r="F975" i="50"/>
  <c r="B975" i="50"/>
  <c r="C975" i="50"/>
  <c r="A975" i="50"/>
  <c r="H975" i="50"/>
  <c r="G752" i="50"/>
  <c r="F752" i="50"/>
  <c r="H752" i="50"/>
  <c r="E752" i="50"/>
  <c r="A752" i="50"/>
  <c r="C752" i="50"/>
  <c r="B752" i="50"/>
  <c r="I752" i="50"/>
  <c r="I166" i="50"/>
  <c r="A166" i="50"/>
  <c r="H166" i="50"/>
  <c r="B166" i="50"/>
  <c r="C166" i="50"/>
  <c r="F166" i="50"/>
  <c r="G166" i="50"/>
  <c r="E166" i="50"/>
  <c r="H620" i="50"/>
  <c r="C620" i="50"/>
  <c r="I620" i="50"/>
  <c r="G620" i="50"/>
  <c r="F620" i="50"/>
  <c r="B620" i="50"/>
  <c r="E620" i="50"/>
  <c r="A620" i="50"/>
  <c r="F228" i="50"/>
  <c r="C228" i="50"/>
  <c r="B228" i="50"/>
  <c r="G228" i="50"/>
  <c r="A228" i="50"/>
  <c r="H228" i="50"/>
  <c r="I228" i="50"/>
  <c r="E228" i="50"/>
  <c r="C838" i="50"/>
  <c r="E838" i="50"/>
  <c r="H838" i="50"/>
  <c r="B838" i="50"/>
  <c r="A838" i="50"/>
  <c r="I838" i="50"/>
  <c r="G838" i="50"/>
  <c r="F838" i="50"/>
  <c r="I249" i="50"/>
  <c r="G249" i="50"/>
  <c r="F249" i="50"/>
  <c r="E249" i="50"/>
  <c r="B249" i="50"/>
  <c r="H249" i="50"/>
  <c r="A249" i="50"/>
  <c r="C249" i="50"/>
  <c r="G559" i="50"/>
  <c r="I559" i="50"/>
  <c r="F559" i="50"/>
  <c r="H559" i="50"/>
  <c r="A559" i="50"/>
  <c r="E559" i="50"/>
  <c r="B559" i="50"/>
  <c r="C559" i="50"/>
  <c r="C678" i="50"/>
  <c r="B678" i="50"/>
  <c r="E678" i="50"/>
  <c r="I678" i="50"/>
  <c r="G678" i="50"/>
  <c r="H678" i="50"/>
  <c r="F678" i="50"/>
  <c r="A678" i="50"/>
  <c r="A674" i="50"/>
  <c r="H674" i="50"/>
  <c r="F674" i="50"/>
  <c r="I674" i="50"/>
  <c r="C674" i="50"/>
  <c r="G674" i="50"/>
  <c r="B674" i="50"/>
  <c r="E674" i="50"/>
  <c r="F1091" i="50"/>
  <c r="A1091" i="50"/>
  <c r="G1091" i="50"/>
  <c r="B1091" i="50"/>
  <c r="I1091" i="50"/>
  <c r="E1091" i="50"/>
  <c r="H1091" i="50"/>
  <c r="C1091" i="50"/>
  <c r="G899" i="50"/>
  <c r="C899" i="50"/>
  <c r="H899" i="50"/>
  <c r="F899" i="50"/>
  <c r="I899" i="50"/>
  <c r="E899" i="50"/>
  <c r="B899" i="50"/>
  <c r="A899" i="50"/>
  <c r="I243" i="50"/>
  <c r="C243" i="50"/>
  <c r="E243" i="50"/>
  <c r="G243" i="50"/>
  <c r="B243" i="50"/>
  <c r="F243" i="50"/>
  <c r="A243" i="50"/>
  <c r="H243" i="50"/>
  <c r="G885" i="50"/>
  <c r="A885" i="50"/>
  <c r="I885" i="50"/>
  <c r="H885" i="50"/>
  <c r="F885" i="50"/>
  <c r="C885" i="50"/>
  <c r="E885" i="50"/>
  <c r="B885" i="50"/>
  <c r="I1051" i="50"/>
  <c r="G1051" i="50"/>
  <c r="B1051" i="50"/>
  <c r="F1051" i="50"/>
  <c r="H1051" i="50"/>
  <c r="E1051" i="50"/>
  <c r="A1051" i="50"/>
  <c r="C1051" i="50"/>
  <c r="G709" i="50"/>
  <c r="H709" i="50"/>
  <c r="A709" i="50"/>
  <c r="E709" i="50"/>
  <c r="B709" i="50"/>
  <c r="F709" i="50"/>
  <c r="C709" i="50"/>
  <c r="I709" i="50"/>
  <c r="E407" i="50"/>
  <c r="C407" i="50"/>
  <c r="A407" i="50"/>
  <c r="G407" i="50"/>
  <c r="B407" i="50"/>
  <c r="F407" i="50"/>
  <c r="I407" i="50"/>
  <c r="H407" i="50"/>
  <c r="I420" i="50"/>
  <c r="H420" i="50"/>
  <c r="G420" i="50"/>
  <c r="C420" i="50"/>
  <c r="E420" i="50"/>
  <c r="F420" i="50"/>
  <c r="A420" i="50"/>
  <c r="B420" i="50"/>
  <c r="G582" i="50"/>
  <c r="C582" i="50"/>
  <c r="E582" i="50"/>
  <c r="B582" i="50"/>
  <c r="I582" i="50"/>
  <c r="H582" i="50"/>
  <c r="A582" i="50"/>
  <c r="F582" i="50"/>
  <c r="B795" i="50"/>
  <c r="A795" i="50"/>
  <c r="F795" i="50"/>
  <c r="H795" i="50"/>
  <c r="C795" i="50"/>
  <c r="G795" i="50"/>
  <c r="E795" i="50"/>
  <c r="I795" i="50"/>
  <c r="E766" i="50"/>
  <c r="F766" i="50"/>
  <c r="C766" i="50"/>
  <c r="I766" i="50"/>
  <c r="B766" i="50"/>
  <c r="G766" i="50"/>
  <c r="A766" i="50"/>
  <c r="H766" i="50"/>
  <c r="H1022" i="50"/>
  <c r="G1022" i="50"/>
  <c r="E1022" i="50"/>
  <c r="A1022" i="50"/>
  <c r="B1022" i="50"/>
  <c r="C1022" i="50"/>
  <c r="I1022" i="50"/>
  <c r="F1022" i="50"/>
  <c r="H1012" i="50"/>
  <c r="G1012" i="50"/>
  <c r="C1012" i="50"/>
  <c r="F1012" i="50"/>
  <c r="E1012" i="50"/>
  <c r="B1012" i="50"/>
  <c r="I1012" i="50"/>
  <c r="A1012" i="50"/>
  <c r="C565" i="50"/>
  <c r="F565" i="50"/>
  <c r="B565" i="50"/>
  <c r="A565" i="50"/>
  <c r="I565" i="50"/>
  <c r="H565" i="50"/>
  <c r="G565" i="50"/>
  <c r="E565" i="50"/>
  <c r="H405" i="50"/>
  <c r="E405" i="50"/>
  <c r="B405" i="50"/>
  <c r="G405" i="50"/>
  <c r="F405" i="50"/>
  <c r="I405" i="50"/>
  <c r="A405" i="50"/>
  <c r="C405" i="50"/>
  <c r="F202" i="50"/>
  <c r="E202" i="50"/>
  <c r="C202" i="50"/>
  <c r="B202" i="50"/>
  <c r="H202" i="50"/>
  <c r="G202" i="50"/>
  <c r="I202" i="50"/>
  <c r="A202" i="50"/>
  <c r="E251" i="50"/>
  <c r="H251" i="50"/>
  <c r="I251" i="50"/>
  <c r="A251" i="50"/>
  <c r="C251" i="50"/>
  <c r="B251" i="50"/>
  <c r="F251" i="50"/>
  <c r="G251" i="50"/>
  <c r="I27" i="50"/>
  <c r="F27" i="50"/>
  <c r="G27" i="50"/>
  <c r="A27" i="50"/>
  <c r="H27" i="50"/>
  <c r="E27" i="50"/>
  <c r="B27" i="50"/>
  <c r="C27" i="50"/>
  <c r="E46" i="50"/>
  <c r="C46" i="50"/>
  <c r="A46" i="50"/>
  <c r="F46" i="50"/>
  <c r="I46" i="50"/>
  <c r="H46" i="50"/>
  <c r="G46" i="50"/>
  <c r="B46" i="50"/>
  <c r="E804" i="50"/>
  <c r="G804" i="50"/>
  <c r="A804" i="50"/>
  <c r="B804" i="50"/>
  <c r="I804" i="50"/>
  <c r="C804" i="50"/>
  <c r="F804" i="50"/>
  <c r="H804" i="50"/>
  <c r="A525" i="50"/>
  <c r="H525" i="50"/>
  <c r="F525" i="50"/>
  <c r="G525" i="50"/>
  <c r="E525" i="50"/>
  <c r="C525" i="50"/>
  <c r="B525" i="50"/>
  <c r="I525" i="50"/>
  <c r="I527" i="50"/>
  <c r="G527" i="50"/>
  <c r="B527" i="50"/>
  <c r="H527" i="50"/>
  <c r="E527" i="50"/>
  <c r="A527" i="50"/>
  <c r="C527" i="50"/>
  <c r="F527" i="50"/>
  <c r="H710" i="50"/>
  <c r="G710" i="50"/>
  <c r="F710" i="50"/>
  <c r="I710" i="50"/>
  <c r="C710" i="50"/>
  <c r="E710" i="50"/>
  <c r="B710" i="50"/>
  <c r="A710" i="50"/>
  <c r="I821" i="50"/>
  <c r="H821" i="50"/>
  <c r="C821" i="50"/>
  <c r="E821" i="50"/>
  <c r="G821" i="50"/>
  <c r="B821" i="50"/>
  <c r="A821" i="50"/>
  <c r="F821" i="50"/>
  <c r="A216" i="50"/>
  <c r="F216" i="50"/>
  <c r="H216" i="50"/>
  <c r="E216" i="50"/>
  <c r="B216" i="50"/>
  <c r="C216" i="50"/>
  <c r="G216" i="50"/>
  <c r="I216" i="50"/>
  <c r="E555" i="50"/>
  <c r="C555" i="50"/>
  <c r="G555" i="50"/>
  <c r="A555" i="50"/>
  <c r="B555" i="50"/>
  <c r="I555" i="50"/>
  <c r="F555" i="50"/>
  <c r="H555" i="50"/>
  <c r="E5" i="50"/>
  <c r="F5" i="50"/>
  <c r="H5" i="50"/>
  <c r="G5" i="50"/>
  <c r="B5" i="50"/>
  <c r="I5" i="50"/>
  <c r="A5" i="50"/>
  <c r="C5" i="50"/>
  <c r="E117" i="50"/>
  <c r="G117" i="50"/>
  <c r="F117" i="50"/>
  <c r="C117" i="50"/>
  <c r="B117" i="50"/>
  <c r="A117" i="50"/>
  <c r="H117" i="50"/>
  <c r="I117" i="50"/>
  <c r="F12" i="50"/>
  <c r="B12" i="50"/>
  <c r="I12" i="50"/>
  <c r="H12" i="50"/>
  <c r="C12" i="50"/>
  <c r="G12" i="50"/>
  <c r="A12" i="50"/>
  <c r="E12" i="50"/>
  <c r="H803" i="50"/>
  <c r="E803" i="50"/>
  <c r="B803" i="50"/>
  <c r="F803" i="50"/>
  <c r="C803" i="50"/>
  <c r="I803" i="50"/>
  <c r="A803" i="50"/>
  <c r="G803" i="50"/>
  <c r="B514" i="50"/>
  <c r="I514" i="50"/>
  <c r="A514" i="50"/>
  <c r="H514" i="50"/>
  <c r="C514" i="50"/>
  <c r="F514" i="50"/>
  <c r="G514" i="50"/>
  <c r="E514" i="50"/>
  <c r="A1081" i="50"/>
  <c r="I1081" i="50"/>
  <c r="E1081" i="50"/>
  <c r="C1081" i="50"/>
  <c r="B1081" i="50"/>
  <c r="G1081" i="50"/>
  <c r="F1081" i="50"/>
  <c r="H1081" i="50"/>
  <c r="C686" i="50"/>
  <c r="F686" i="50"/>
  <c r="B686" i="50"/>
  <c r="I686" i="50"/>
  <c r="E686" i="50"/>
  <c r="A686" i="50"/>
  <c r="G686" i="50"/>
  <c r="H686" i="50"/>
  <c r="B761" i="50"/>
  <c r="C761" i="50"/>
  <c r="A761" i="50"/>
  <c r="G761" i="50"/>
  <c r="H761" i="50"/>
  <c r="E761" i="50"/>
  <c r="I761" i="50"/>
  <c r="F761" i="50"/>
  <c r="E776" i="50"/>
  <c r="C776" i="50"/>
  <c r="I776" i="50"/>
  <c r="G776" i="50"/>
  <c r="A776" i="50"/>
  <c r="B776" i="50"/>
  <c r="H776" i="50"/>
  <c r="F776" i="50"/>
  <c r="I416" i="50"/>
  <c r="F416" i="50"/>
  <c r="A416" i="50"/>
  <c r="C416" i="50"/>
  <c r="B416" i="50"/>
  <c r="H416" i="50"/>
  <c r="E416" i="50"/>
  <c r="G416" i="50"/>
  <c r="B257" i="50"/>
  <c r="F257" i="50"/>
  <c r="G257" i="50"/>
  <c r="E257" i="50"/>
  <c r="A257" i="50"/>
  <c r="H257" i="50"/>
  <c r="C257" i="50"/>
  <c r="I257" i="50"/>
  <c r="B164" i="50"/>
  <c r="F164" i="50"/>
  <c r="A164" i="50"/>
  <c r="G164" i="50"/>
  <c r="I164" i="50"/>
  <c r="E164" i="50"/>
  <c r="H164" i="50"/>
  <c r="C164" i="50"/>
  <c r="C550" i="50"/>
  <c r="I550" i="50"/>
  <c r="A550" i="50"/>
  <c r="H550" i="50"/>
  <c r="B550" i="50"/>
  <c r="G550" i="50"/>
  <c r="F550" i="50"/>
  <c r="E550" i="50"/>
  <c r="A711" i="50"/>
  <c r="B711" i="50"/>
  <c r="I711" i="50"/>
  <c r="E711" i="50"/>
  <c r="F711" i="50"/>
  <c r="H711" i="50"/>
  <c r="C711" i="50"/>
  <c r="G711" i="50"/>
  <c r="G994" i="50"/>
  <c r="B994" i="50"/>
  <c r="H994" i="50"/>
  <c r="C994" i="50"/>
  <c r="E994" i="50"/>
  <c r="A994" i="50"/>
  <c r="I994" i="50"/>
  <c r="F994" i="50"/>
  <c r="A167" i="50"/>
  <c r="G167" i="50"/>
  <c r="C167" i="50"/>
  <c r="I167" i="50"/>
  <c r="B167" i="50"/>
  <c r="H167" i="50"/>
  <c r="E167" i="50"/>
  <c r="F167" i="50"/>
  <c r="I943" i="50"/>
  <c r="G943" i="50"/>
  <c r="C943" i="50"/>
  <c r="B943" i="50"/>
  <c r="A943" i="50"/>
  <c r="E943" i="50"/>
  <c r="F943" i="50"/>
  <c r="H943" i="50"/>
  <c r="F370" i="50"/>
  <c r="H370" i="50"/>
  <c r="I370" i="50"/>
  <c r="A370" i="50"/>
  <c r="G370" i="50"/>
  <c r="C370" i="50"/>
  <c r="E370" i="50"/>
  <c r="B370" i="50"/>
  <c r="C911" i="50"/>
  <c r="F911" i="50"/>
  <c r="A911" i="50"/>
  <c r="B911" i="50"/>
  <c r="H911" i="50"/>
  <c r="E911" i="50"/>
  <c r="G911" i="50"/>
  <c r="I911" i="50"/>
  <c r="B437" i="50"/>
  <c r="A437" i="50"/>
  <c r="I437" i="50"/>
  <c r="C437" i="50"/>
  <c r="F437" i="50"/>
  <c r="H437" i="50"/>
  <c r="E437" i="50"/>
  <c r="G437" i="50"/>
  <c r="E825" i="50"/>
  <c r="G825" i="50"/>
  <c r="A825" i="50"/>
  <c r="B825" i="50"/>
  <c r="I825" i="50"/>
  <c r="H825" i="50"/>
  <c r="C825" i="50"/>
  <c r="F825" i="50"/>
  <c r="B1077" i="50"/>
  <c r="I1077" i="50"/>
  <c r="A1077" i="50"/>
  <c r="G1077" i="50"/>
  <c r="E1077" i="50"/>
  <c r="H1077" i="50"/>
  <c r="C1077" i="50"/>
  <c r="F1077" i="50"/>
  <c r="B347" i="50"/>
  <c r="A347" i="50"/>
  <c r="C347" i="50"/>
  <c r="F347" i="50"/>
  <c r="G347" i="50"/>
  <c r="E347" i="50"/>
  <c r="H347" i="50"/>
  <c r="I347" i="50"/>
  <c r="B276" i="50"/>
  <c r="H276" i="50"/>
  <c r="I276" i="50"/>
  <c r="E276" i="50"/>
  <c r="G276" i="50"/>
  <c r="C276" i="50"/>
  <c r="A276" i="50"/>
  <c r="F276" i="50"/>
  <c r="F120" i="50"/>
  <c r="B120" i="50"/>
  <c r="E120" i="50"/>
  <c r="G120" i="50"/>
  <c r="I120" i="50"/>
  <c r="C120" i="50"/>
  <c r="H120" i="50"/>
  <c r="A120" i="50"/>
  <c r="C592" i="50"/>
  <c r="F592" i="50"/>
  <c r="G592" i="50"/>
  <c r="B592" i="50"/>
  <c r="E592" i="50"/>
  <c r="I592" i="50"/>
  <c r="A592" i="50"/>
  <c r="H592" i="50"/>
  <c r="B365" i="50"/>
  <c r="F365" i="50"/>
  <c r="G365" i="50"/>
  <c r="A365" i="50"/>
  <c r="C365" i="50"/>
  <c r="H365" i="50"/>
  <c r="E365" i="50"/>
  <c r="I365" i="50"/>
  <c r="I694" i="50"/>
  <c r="F694" i="50"/>
  <c r="E694" i="50"/>
  <c r="B694" i="50"/>
  <c r="A694" i="50"/>
  <c r="H694" i="50"/>
  <c r="G694" i="50"/>
  <c r="C694" i="50"/>
  <c r="A438" i="50"/>
  <c r="H438" i="50"/>
  <c r="I438" i="50"/>
  <c r="F438" i="50"/>
  <c r="E438" i="50"/>
  <c r="C438" i="50"/>
  <c r="G438" i="50"/>
  <c r="B438" i="50"/>
  <c r="G698" i="50"/>
  <c r="H698" i="50"/>
  <c r="F698" i="50"/>
  <c r="B698" i="50"/>
  <c r="C698" i="50"/>
  <c r="I698" i="50"/>
  <c r="E698" i="50"/>
  <c r="A698" i="50"/>
  <c r="A881" i="50"/>
  <c r="C881" i="50"/>
  <c r="B881" i="50"/>
  <c r="F881" i="50"/>
  <c r="H881" i="50"/>
  <c r="E881" i="50"/>
  <c r="G881" i="50"/>
  <c r="I881" i="50"/>
  <c r="C353" i="50"/>
  <c r="I353" i="50"/>
  <c r="A353" i="50"/>
  <c r="H353" i="50"/>
  <c r="G353" i="50"/>
  <c r="E353" i="50"/>
  <c r="B353" i="50"/>
  <c r="F353" i="50"/>
  <c r="B472" i="50"/>
  <c r="A472" i="50"/>
  <c r="E472" i="50"/>
  <c r="I472" i="50"/>
  <c r="H472" i="50"/>
  <c r="G472" i="50"/>
  <c r="F472" i="50"/>
  <c r="C472" i="50"/>
  <c r="H199" i="50"/>
  <c r="E199" i="50"/>
  <c r="F199" i="50"/>
  <c r="A199" i="50"/>
  <c r="B199" i="50"/>
  <c r="C199" i="50"/>
  <c r="G199" i="50"/>
  <c r="I199" i="50"/>
  <c r="C218" i="50"/>
  <c r="B218" i="50"/>
  <c r="A218" i="50"/>
  <c r="F218" i="50"/>
  <c r="G218" i="50"/>
  <c r="H218" i="50"/>
  <c r="E218" i="50"/>
  <c r="I218" i="50"/>
  <c r="C830" i="50"/>
  <c r="G830" i="50"/>
  <c r="A830" i="50"/>
  <c r="I830" i="50"/>
  <c r="E830" i="50"/>
  <c r="F830" i="50"/>
  <c r="H830" i="50"/>
  <c r="B830" i="50"/>
  <c r="C958" i="50"/>
  <c r="I958" i="50"/>
  <c r="B958" i="50"/>
  <c r="A958" i="50"/>
  <c r="F958" i="50"/>
  <c r="E958" i="50"/>
  <c r="G958" i="50"/>
  <c r="H958" i="50"/>
  <c r="A736" i="50"/>
  <c r="G736" i="50"/>
  <c r="C736" i="50"/>
  <c r="F736" i="50"/>
  <c r="H736" i="50"/>
  <c r="I736" i="50"/>
  <c r="E736" i="50"/>
  <c r="B736" i="50"/>
  <c r="G384" i="50"/>
  <c r="C384" i="50"/>
  <c r="A384" i="50"/>
  <c r="H384" i="50"/>
  <c r="B384" i="50"/>
  <c r="I384" i="50"/>
  <c r="F384" i="50"/>
  <c r="E384" i="50"/>
  <c r="B986" i="50"/>
  <c r="F986" i="50"/>
  <c r="A986" i="50"/>
  <c r="C986" i="50"/>
  <c r="H986" i="50"/>
  <c r="G986" i="50"/>
  <c r="E986" i="50"/>
  <c r="I986" i="50"/>
  <c r="A1067" i="50"/>
  <c r="G1067" i="50"/>
  <c r="C1067" i="50"/>
  <c r="E1067" i="50"/>
  <c r="B1067" i="50"/>
  <c r="F1067" i="50"/>
  <c r="I1067" i="50"/>
  <c r="H1067" i="50"/>
  <c r="I1076" i="50"/>
  <c r="H1076" i="50"/>
  <c r="C1076" i="50"/>
  <c r="F1076" i="50"/>
  <c r="G1076" i="50"/>
  <c r="A1076" i="50"/>
  <c r="E1076" i="50"/>
  <c r="B1076" i="50"/>
  <c r="E560" i="50"/>
  <c r="B560" i="50"/>
  <c r="I560" i="50"/>
  <c r="F560" i="50"/>
  <c r="H560" i="50"/>
  <c r="G560" i="50"/>
  <c r="A560" i="50"/>
  <c r="C560" i="50"/>
  <c r="G256" i="50"/>
  <c r="E256" i="50"/>
  <c r="H256" i="50"/>
  <c r="A256" i="50"/>
  <c r="F256" i="50"/>
  <c r="C256" i="50"/>
  <c r="I256" i="50"/>
  <c r="B256" i="50"/>
  <c r="H415" i="50"/>
  <c r="F415" i="50"/>
  <c r="G415" i="50"/>
  <c r="C415" i="50"/>
  <c r="A415" i="50"/>
  <c r="E415" i="50"/>
  <c r="B415" i="50"/>
  <c r="I415" i="50"/>
  <c r="G185" i="50"/>
  <c r="H185" i="50"/>
  <c r="B185" i="50"/>
  <c r="E185" i="50"/>
  <c r="F185" i="50"/>
  <c r="I185" i="50"/>
  <c r="C185" i="50"/>
  <c r="A185" i="50"/>
  <c r="H666" i="50"/>
  <c r="I666" i="50"/>
  <c r="E666" i="50"/>
  <c r="F666" i="50"/>
  <c r="G666" i="50"/>
  <c r="B666" i="50"/>
  <c r="C666" i="50"/>
  <c r="A666" i="50"/>
  <c r="G942" i="50"/>
  <c r="A942" i="50"/>
  <c r="C942" i="50"/>
  <c r="H942" i="50"/>
  <c r="E942" i="50"/>
  <c r="B942" i="50"/>
  <c r="I942" i="50"/>
  <c r="F942" i="50"/>
  <c r="I403" i="50"/>
  <c r="H403" i="50"/>
  <c r="G403" i="50"/>
  <c r="C403" i="50"/>
  <c r="A403" i="50"/>
  <c r="B403" i="50"/>
  <c r="F403" i="50"/>
  <c r="E403" i="50"/>
  <c r="F376" i="50"/>
  <c r="E376" i="50"/>
  <c r="I376" i="50"/>
  <c r="H376" i="50"/>
  <c r="G376" i="50"/>
  <c r="B376" i="50"/>
  <c r="A376" i="50"/>
  <c r="C376" i="50"/>
  <c r="B725" i="50"/>
  <c r="F725" i="50"/>
  <c r="C725" i="50"/>
  <c r="G725" i="50"/>
  <c r="I725" i="50"/>
  <c r="E725" i="50"/>
  <c r="A725" i="50"/>
  <c r="H725" i="50"/>
  <c r="G82" i="50"/>
  <c r="C82" i="50"/>
  <c r="B82" i="50"/>
  <c r="F82" i="50"/>
  <c r="H82" i="50"/>
  <c r="A82" i="50"/>
  <c r="I82" i="50"/>
  <c r="E82" i="50"/>
  <c r="G259" i="50"/>
  <c r="I259" i="50"/>
  <c r="B259" i="50"/>
  <c r="C259" i="50"/>
  <c r="A259" i="50"/>
  <c r="F259" i="50"/>
  <c r="E259" i="50"/>
  <c r="H259" i="50"/>
  <c r="H272" i="50"/>
  <c r="E272" i="50"/>
  <c r="F272" i="50"/>
  <c r="I272" i="50"/>
  <c r="C272" i="50"/>
  <c r="G272" i="50"/>
  <c r="A272" i="50"/>
  <c r="B272" i="50"/>
  <c r="A614" i="50"/>
  <c r="B614" i="50"/>
  <c r="G614" i="50"/>
  <c r="F614" i="50"/>
  <c r="E614" i="50"/>
  <c r="H614" i="50"/>
  <c r="C614" i="50"/>
  <c r="I614" i="50"/>
  <c r="A669" i="50"/>
  <c r="I669" i="50"/>
  <c r="E669" i="50"/>
  <c r="H669" i="50"/>
  <c r="G669" i="50"/>
  <c r="C669" i="50"/>
  <c r="B669" i="50"/>
  <c r="F669" i="50"/>
  <c r="F1001" i="50"/>
  <c r="A1001" i="50"/>
  <c r="H1001" i="50"/>
  <c r="E1001" i="50"/>
  <c r="B1001" i="50"/>
  <c r="I1001" i="50"/>
  <c r="C1001" i="50"/>
  <c r="G1001" i="50"/>
  <c r="F307" i="50"/>
  <c r="A307" i="50"/>
  <c r="G307" i="50"/>
  <c r="C307" i="50"/>
  <c r="E307" i="50"/>
  <c r="B307" i="50"/>
  <c r="H307" i="50"/>
  <c r="I307" i="50"/>
  <c r="E195" i="50"/>
  <c r="I195" i="50"/>
  <c r="F195" i="50"/>
  <c r="G195" i="50"/>
  <c r="A195" i="50"/>
  <c r="H195" i="50"/>
  <c r="C195" i="50"/>
  <c r="B195" i="50"/>
  <c r="C383" i="50"/>
  <c r="G383" i="50"/>
  <c r="I383" i="50"/>
  <c r="A383" i="50"/>
  <c r="H383" i="50"/>
  <c r="E383" i="50"/>
  <c r="F383" i="50"/>
  <c r="B383" i="50"/>
  <c r="G439" i="50"/>
  <c r="I439" i="50"/>
  <c r="H439" i="50"/>
  <c r="F439" i="50"/>
  <c r="B439" i="50"/>
  <c r="A439" i="50"/>
  <c r="E439" i="50"/>
  <c r="C439" i="50"/>
  <c r="F101" i="50"/>
  <c r="A101" i="50"/>
  <c r="H101" i="50"/>
  <c r="E101" i="50"/>
  <c r="I101" i="50"/>
  <c r="C101" i="50"/>
  <c r="B101" i="50"/>
  <c r="G101" i="50"/>
  <c r="G268" i="50"/>
  <c r="B268" i="50"/>
  <c r="A268" i="50"/>
  <c r="H268" i="50"/>
  <c r="E268" i="50"/>
  <c r="F268" i="50"/>
  <c r="C268" i="50"/>
  <c r="I268" i="50"/>
  <c r="A601" i="50"/>
  <c r="H601" i="50"/>
  <c r="E601" i="50"/>
  <c r="I601" i="50"/>
  <c r="G601" i="50"/>
  <c r="F601" i="50"/>
  <c r="B601" i="50"/>
  <c r="C601" i="50"/>
  <c r="C657" i="50"/>
  <c r="G657" i="50"/>
  <c r="H657" i="50"/>
  <c r="I657" i="50"/>
  <c r="B657" i="50"/>
  <c r="E657" i="50"/>
  <c r="A657" i="50"/>
  <c r="F657" i="50"/>
  <c r="G665" i="50"/>
  <c r="E665" i="50"/>
  <c r="H665" i="50"/>
  <c r="F665" i="50"/>
  <c r="B665" i="50"/>
  <c r="C665" i="50"/>
  <c r="I665" i="50"/>
  <c r="A665" i="50"/>
  <c r="H852" i="50"/>
  <c r="C852" i="50"/>
  <c r="G852" i="50"/>
  <c r="I852" i="50"/>
  <c r="E852" i="50"/>
  <c r="F852" i="50"/>
  <c r="A852" i="50"/>
  <c r="B852" i="50"/>
  <c r="I265" i="50"/>
  <c r="E265" i="50"/>
  <c r="H265" i="50"/>
  <c r="B265" i="50"/>
  <c r="C265" i="50"/>
  <c r="A265" i="50"/>
  <c r="G265" i="50"/>
  <c r="F265" i="50"/>
  <c r="G732" i="50"/>
  <c r="E732" i="50"/>
  <c r="F732" i="50"/>
  <c r="C732" i="50"/>
  <c r="A732" i="50"/>
  <c r="I732" i="50"/>
  <c r="B732" i="50"/>
  <c r="H732" i="50"/>
  <c r="H558" i="50"/>
  <c r="F558" i="50"/>
  <c r="B558" i="50"/>
  <c r="I558" i="50"/>
  <c r="C558" i="50"/>
  <c r="A558" i="50"/>
  <c r="G558" i="50"/>
  <c r="E558" i="50"/>
  <c r="A188" i="50"/>
  <c r="I188" i="50"/>
  <c r="B188" i="50"/>
  <c r="H188" i="50"/>
  <c r="C188" i="50"/>
  <c r="G188" i="50"/>
  <c r="F188" i="50"/>
  <c r="E188" i="50"/>
  <c r="F963" i="50"/>
  <c r="H963" i="50"/>
  <c r="A963" i="50"/>
  <c r="C963" i="50"/>
  <c r="I963" i="50"/>
  <c r="E963" i="50"/>
  <c r="G963" i="50"/>
  <c r="B963" i="50"/>
  <c r="H971" i="50"/>
  <c r="A971" i="50"/>
  <c r="G971" i="50"/>
  <c r="F971" i="50"/>
  <c r="E971" i="50"/>
  <c r="B971" i="50"/>
  <c r="I971" i="50"/>
  <c r="C971" i="50"/>
  <c r="A785" i="50"/>
  <c r="C785" i="50"/>
  <c r="E785" i="50"/>
  <c r="G785" i="50"/>
  <c r="H785" i="50"/>
  <c r="F785" i="50"/>
  <c r="B785" i="50"/>
  <c r="I785" i="50"/>
  <c r="C768" i="50"/>
  <c r="I768" i="50"/>
  <c r="F768" i="50"/>
  <c r="G768" i="50"/>
  <c r="B768" i="50"/>
  <c r="E768" i="50"/>
  <c r="H768" i="50"/>
  <c r="A768" i="50"/>
  <c r="I578" i="50"/>
  <c r="A578" i="50"/>
  <c r="F578" i="50"/>
  <c r="B578" i="50"/>
  <c r="G578" i="50"/>
  <c r="H578" i="50"/>
  <c r="E578" i="50"/>
  <c r="C578" i="50"/>
  <c r="F651" i="50"/>
  <c r="B651" i="50"/>
  <c r="E651" i="50"/>
  <c r="I651" i="50"/>
  <c r="C651" i="50"/>
  <c r="G651" i="50"/>
  <c r="A651" i="50"/>
  <c r="H651" i="50"/>
  <c r="F579" i="50"/>
  <c r="H579" i="50"/>
  <c r="G579" i="50"/>
  <c r="B579" i="50"/>
  <c r="I579" i="50"/>
  <c r="E579" i="50"/>
  <c r="C579" i="50"/>
  <c r="A579" i="50"/>
  <c r="G125" i="50"/>
  <c r="C125" i="50"/>
  <c r="E125" i="50"/>
  <c r="I125" i="50"/>
  <c r="F125" i="50"/>
  <c r="B125" i="50"/>
  <c r="A125" i="50"/>
  <c r="H125" i="50"/>
  <c r="G4" i="50"/>
  <c r="B4" i="50"/>
  <c r="A4" i="50"/>
  <c r="I4" i="50"/>
  <c r="H4" i="50"/>
  <c r="E4" i="50"/>
  <c r="F4" i="50"/>
  <c r="C4" i="50"/>
  <c r="E654" i="50"/>
  <c r="I654" i="50"/>
  <c r="H654" i="50"/>
  <c r="B654" i="50"/>
  <c r="C654" i="50"/>
  <c r="G654" i="50"/>
  <c r="A654" i="50"/>
  <c r="F654" i="50"/>
  <c r="A337" i="50"/>
  <c r="F337" i="50"/>
  <c r="H337" i="50"/>
  <c r="I337" i="50"/>
  <c r="E337" i="50"/>
  <c r="C337" i="50"/>
  <c r="G337" i="50"/>
  <c r="B337" i="50"/>
  <c r="H589" i="50"/>
  <c r="I589" i="50"/>
  <c r="C589" i="50"/>
  <c r="G589" i="50"/>
  <c r="B589" i="50"/>
  <c r="F589" i="50"/>
  <c r="A589" i="50"/>
  <c r="E589" i="50"/>
  <c r="B444" i="50"/>
  <c r="C444" i="50"/>
  <c r="I444" i="50"/>
  <c r="A444" i="50"/>
  <c r="F444" i="50"/>
  <c r="E444" i="50"/>
  <c r="G444" i="50"/>
  <c r="H444" i="50"/>
  <c r="E229" i="50"/>
  <c r="H229" i="50"/>
  <c r="C229" i="50"/>
  <c r="I229" i="50"/>
  <c r="G229" i="50"/>
  <c r="A229" i="50"/>
  <c r="F229" i="50"/>
  <c r="B229" i="50"/>
  <c r="G392" i="50"/>
  <c r="C392" i="50"/>
  <c r="E392" i="50"/>
  <c r="H392" i="50"/>
  <c r="F392" i="50"/>
  <c r="B392" i="50"/>
  <c r="I392" i="50"/>
  <c r="A392" i="50"/>
  <c r="B570" i="50"/>
  <c r="A570" i="50"/>
  <c r="H570" i="50"/>
  <c r="G570" i="50"/>
  <c r="F570" i="50"/>
  <c r="C570" i="50"/>
  <c r="I570" i="50"/>
  <c r="E570" i="50"/>
  <c r="C783" i="50"/>
  <c r="A783" i="50"/>
  <c r="I783" i="50"/>
  <c r="G783" i="50"/>
  <c r="H783" i="50"/>
  <c r="B783" i="50"/>
  <c r="E783" i="50"/>
  <c r="F783" i="50"/>
  <c r="C648" i="50"/>
  <c r="A648" i="50"/>
  <c r="G648" i="50"/>
  <c r="B648" i="50"/>
  <c r="E648" i="50"/>
  <c r="F648" i="50"/>
  <c r="I648" i="50"/>
  <c r="H648" i="50"/>
  <c r="G763" i="50"/>
  <c r="A763" i="50"/>
  <c r="F763" i="50"/>
  <c r="I763" i="50"/>
  <c r="C763" i="50"/>
  <c r="B763" i="50"/>
  <c r="H763" i="50"/>
  <c r="E763" i="50"/>
  <c r="B517" i="50"/>
  <c r="E517" i="50"/>
  <c r="C517" i="50"/>
  <c r="F517" i="50"/>
  <c r="I517" i="50"/>
  <c r="A517" i="50"/>
  <c r="G517" i="50"/>
  <c r="H517" i="50"/>
  <c r="F978" i="50"/>
  <c r="I978" i="50"/>
  <c r="B978" i="50"/>
  <c r="E978" i="50"/>
  <c r="A978" i="50"/>
  <c r="H978" i="50"/>
  <c r="G978" i="50"/>
  <c r="C978" i="50"/>
  <c r="F494" i="50"/>
  <c r="C494" i="50"/>
  <c r="I494" i="50"/>
  <c r="A494" i="50"/>
  <c r="E494" i="50"/>
  <c r="G494" i="50"/>
  <c r="H494" i="50"/>
  <c r="B494" i="50"/>
  <c r="C253" i="50"/>
  <c r="H253" i="50"/>
  <c r="I253" i="50"/>
  <c r="A253" i="50"/>
  <c r="F253" i="50"/>
  <c r="B253" i="50"/>
  <c r="G253" i="50"/>
  <c r="E253" i="50"/>
  <c r="H165" i="50"/>
  <c r="A165" i="50"/>
  <c r="F165" i="50"/>
  <c r="B165" i="50"/>
  <c r="C165" i="50"/>
  <c r="I165" i="50"/>
  <c r="E165" i="50"/>
  <c r="G165" i="50"/>
  <c r="F1059" i="50"/>
  <c r="G1059" i="50"/>
  <c r="A1059" i="50"/>
  <c r="I1059" i="50"/>
  <c r="H1059" i="50"/>
  <c r="C1059" i="50"/>
  <c r="B1059" i="50"/>
  <c r="E1059" i="50"/>
  <c r="F988" i="50"/>
  <c r="I988" i="50"/>
  <c r="H988" i="50"/>
  <c r="B988" i="50"/>
  <c r="C988" i="50"/>
  <c r="G988" i="50"/>
  <c r="A988" i="50"/>
  <c r="E988" i="50"/>
  <c r="I170" i="50"/>
  <c r="H170" i="50"/>
  <c r="A170" i="50"/>
  <c r="G170" i="50"/>
  <c r="E170" i="50"/>
  <c r="F170" i="50"/>
  <c r="B170" i="50"/>
  <c r="C170" i="50"/>
  <c r="B486" i="50"/>
  <c r="I486" i="50"/>
  <c r="C486" i="50"/>
  <c r="H486" i="50"/>
  <c r="E486" i="50"/>
  <c r="A486" i="50"/>
  <c r="F486" i="50"/>
  <c r="G486" i="50"/>
  <c r="H41" i="50"/>
  <c r="E41" i="50"/>
  <c r="A41" i="50"/>
  <c r="B41" i="50"/>
  <c r="C41" i="50"/>
  <c r="F41" i="50"/>
  <c r="G41" i="50"/>
  <c r="I41" i="50"/>
  <c r="G887" i="50"/>
  <c r="A887" i="50"/>
  <c r="B887" i="50"/>
  <c r="I887" i="50"/>
  <c r="E887" i="50"/>
  <c r="H887" i="50"/>
  <c r="C887" i="50"/>
  <c r="F887" i="50"/>
  <c r="H947" i="50"/>
  <c r="A947" i="50"/>
  <c r="B947" i="50"/>
  <c r="E947" i="50"/>
  <c r="F947" i="50"/>
  <c r="C947" i="50"/>
  <c r="G947" i="50"/>
  <c r="I947" i="50"/>
  <c r="F500" i="50"/>
  <c r="H500" i="50"/>
  <c r="C500" i="50"/>
  <c r="B500" i="50"/>
  <c r="I500" i="50"/>
  <c r="A500" i="50"/>
  <c r="E500" i="50"/>
  <c r="G500" i="50"/>
  <c r="E871" i="50"/>
  <c r="C871" i="50"/>
  <c r="F871" i="50"/>
  <c r="H871" i="50"/>
  <c r="I871" i="50"/>
  <c r="G871" i="50"/>
  <c r="B871" i="50"/>
  <c r="A871" i="50"/>
  <c r="B105" i="50"/>
  <c r="A105" i="50"/>
  <c r="I105" i="50"/>
  <c r="H105" i="50"/>
  <c r="G105" i="50"/>
  <c r="E105" i="50"/>
  <c r="C105" i="50"/>
  <c r="F105" i="50"/>
  <c r="F681" i="50"/>
  <c r="H681" i="50"/>
  <c r="C681" i="50"/>
  <c r="A681" i="50"/>
  <c r="G681" i="50"/>
  <c r="B681" i="50"/>
  <c r="I681" i="50"/>
  <c r="E681" i="50"/>
  <c r="A1006" i="50"/>
  <c r="G1006" i="50"/>
  <c r="E1006" i="50"/>
  <c r="H1006" i="50"/>
  <c r="F1006" i="50"/>
  <c r="C1006" i="50"/>
  <c r="B1006" i="50"/>
  <c r="I1006" i="50"/>
  <c r="B356" i="50"/>
  <c r="H356" i="50"/>
  <c r="I356" i="50"/>
  <c r="C356" i="50"/>
  <c r="G356" i="50"/>
  <c r="F356" i="50"/>
  <c r="E356" i="50"/>
  <c r="A356" i="50"/>
  <c r="F1018" i="50"/>
  <c r="B1018" i="50"/>
  <c r="C1018" i="50"/>
  <c r="G1018" i="50"/>
  <c r="I1018" i="50"/>
  <c r="H1018" i="50"/>
  <c r="A1018" i="50"/>
  <c r="E1018" i="50"/>
  <c r="G153" i="50"/>
  <c r="H153" i="50"/>
  <c r="I153" i="50"/>
  <c r="F153" i="50"/>
  <c r="B153" i="50"/>
  <c r="A153" i="50"/>
  <c r="E153" i="50"/>
  <c r="C153" i="50"/>
  <c r="F758" i="50"/>
  <c r="A758" i="50"/>
  <c r="B758" i="50"/>
  <c r="C758" i="50"/>
  <c r="H758" i="50"/>
  <c r="E758" i="50"/>
  <c r="G758" i="50"/>
  <c r="I758" i="50"/>
  <c r="B1035" i="50"/>
  <c r="F1035" i="50"/>
  <c r="A1035" i="50"/>
  <c r="E1035" i="50"/>
  <c r="C1035" i="50"/>
  <c r="I1035" i="50"/>
  <c r="H1035" i="50"/>
  <c r="G1035" i="50"/>
  <c r="H668" i="50"/>
  <c r="I668" i="50"/>
  <c r="A668" i="50"/>
  <c r="E668" i="50"/>
  <c r="F668" i="50"/>
  <c r="B668" i="50"/>
  <c r="G668" i="50"/>
  <c r="C668" i="50"/>
  <c r="A645" i="50"/>
  <c r="H645" i="50"/>
  <c r="C645" i="50"/>
  <c r="B645" i="50"/>
  <c r="G645" i="50"/>
  <c r="F645" i="50"/>
  <c r="I645" i="50"/>
  <c r="E645" i="50"/>
  <c r="A293" i="50"/>
  <c r="E293" i="50"/>
  <c r="C293" i="50"/>
  <c r="I293" i="50"/>
  <c r="B293" i="50"/>
  <c r="F293" i="50"/>
  <c r="G293" i="50"/>
  <c r="H293" i="50"/>
  <c r="F26" i="50"/>
  <c r="H26" i="50"/>
  <c r="I26" i="50"/>
  <c r="C26" i="50"/>
  <c r="A26" i="50"/>
  <c r="B26" i="50"/>
  <c r="E26" i="50"/>
  <c r="G26" i="50"/>
  <c r="F433" i="50"/>
  <c r="C433" i="50"/>
  <c r="I433" i="50"/>
  <c r="E433" i="50"/>
  <c r="A433" i="50"/>
  <c r="H433" i="50"/>
  <c r="B433" i="50"/>
  <c r="G433" i="50"/>
  <c r="F628" i="50"/>
  <c r="C628" i="50"/>
  <c r="B628" i="50"/>
  <c r="G628" i="50"/>
  <c r="E628" i="50"/>
  <c r="H628" i="50"/>
  <c r="I628" i="50"/>
  <c r="A628" i="50"/>
  <c r="A842" i="50"/>
  <c r="B842" i="50"/>
  <c r="H842" i="50"/>
  <c r="G842" i="50"/>
  <c r="I842" i="50"/>
  <c r="F842" i="50"/>
  <c r="C842" i="50"/>
  <c r="E842" i="50"/>
  <c r="A379" i="50"/>
  <c r="F379" i="50"/>
  <c r="I379" i="50"/>
  <c r="B379" i="50"/>
  <c r="H379" i="50"/>
  <c r="C379" i="50"/>
  <c r="G379" i="50"/>
  <c r="E379" i="50"/>
  <c r="H1053" i="50"/>
  <c r="F1053" i="50"/>
  <c r="I1053" i="50"/>
  <c r="C1053" i="50"/>
  <c r="B1053" i="50"/>
  <c r="E1053" i="50"/>
  <c r="A1053" i="50"/>
  <c r="G1053" i="50"/>
  <c r="I731" i="50"/>
  <c r="A731" i="50"/>
  <c r="G731" i="50"/>
  <c r="C731" i="50"/>
  <c r="E731" i="50"/>
  <c r="B731" i="50"/>
  <c r="F731" i="50"/>
  <c r="H731" i="50"/>
  <c r="I1050" i="50"/>
  <c r="H1050" i="50"/>
  <c r="A1050" i="50"/>
  <c r="F1050" i="50"/>
  <c r="C1050" i="50"/>
  <c r="G1050" i="50"/>
  <c r="B1050" i="50"/>
  <c r="E1050" i="50"/>
  <c r="G935" i="50"/>
  <c r="F935" i="50"/>
  <c r="E935" i="50"/>
  <c r="A935" i="50"/>
  <c r="C935" i="50"/>
  <c r="B935" i="50"/>
  <c r="I935" i="50"/>
  <c r="H935" i="50"/>
  <c r="B248" i="50"/>
  <c r="H248" i="50"/>
  <c r="A248" i="50"/>
  <c r="G248" i="50"/>
  <c r="F248" i="50"/>
  <c r="E248" i="50"/>
  <c r="I248" i="50"/>
  <c r="C248" i="50"/>
  <c r="H642" i="50"/>
  <c r="G642" i="50"/>
  <c r="C642" i="50"/>
  <c r="I642" i="50"/>
  <c r="B642" i="50"/>
  <c r="A642" i="50"/>
  <c r="F642" i="50"/>
  <c r="E642" i="50"/>
  <c r="G49" i="50"/>
  <c r="I49" i="50"/>
  <c r="A49" i="50"/>
  <c r="F49" i="50"/>
  <c r="B49" i="50"/>
  <c r="E49" i="50"/>
  <c r="C49" i="50"/>
  <c r="H49" i="50"/>
  <c r="F109" i="50"/>
  <c r="B109" i="50"/>
  <c r="E109" i="50"/>
  <c r="I109" i="50"/>
  <c r="H109" i="50"/>
  <c r="A109" i="50"/>
  <c r="C109" i="50"/>
  <c r="G109" i="50"/>
  <c r="F1025" i="50"/>
  <c r="E1025" i="50"/>
  <c r="G1025" i="50"/>
  <c r="H1025" i="50"/>
  <c r="A1025" i="50"/>
  <c r="I1025" i="50"/>
  <c r="B1025" i="50"/>
  <c r="C1025" i="50"/>
  <c r="C653" i="50"/>
  <c r="E653" i="50"/>
  <c r="F653" i="50"/>
  <c r="B653" i="50"/>
  <c r="G653" i="50"/>
  <c r="H653" i="50"/>
  <c r="I653" i="50"/>
  <c r="A653" i="50"/>
  <c r="B131" i="50"/>
  <c r="C131" i="50"/>
  <c r="G131" i="50"/>
  <c r="H131" i="50"/>
  <c r="A131" i="50"/>
  <c r="I131" i="50"/>
  <c r="F131" i="50"/>
  <c r="E131" i="50"/>
  <c r="H238" i="50"/>
  <c r="C238" i="50"/>
  <c r="A238" i="50"/>
  <c r="F238" i="50"/>
  <c r="I238" i="50"/>
  <c r="G238" i="50"/>
  <c r="B238" i="50"/>
  <c r="E238" i="50"/>
  <c r="H118" i="50"/>
  <c r="I118" i="50"/>
  <c r="A118" i="50"/>
  <c r="B118" i="50"/>
  <c r="F118" i="50"/>
  <c r="E118" i="50"/>
  <c r="G118" i="50"/>
  <c r="C118" i="50"/>
  <c r="G277" i="50"/>
  <c r="C277" i="50"/>
  <c r="H277" i="50"/>
  <c r="F277" i="50"/>
  <c r="I277" i="50"/>
  <c r="E277" i="50"/>
  <c r="A277" i="50"/>
  <c r="B277" i="50"/>
  <c r="F685" i="50"/>
  <c r="I685" i="50"/>
  <c r="B685" i="50"/>
  <c r="G685" i="50"/>
  <c r="H685" i="50"/>
  <c r="C685" i="50"/>
  <c r="E685" i="50"/>
  <c r="A685" i="50"/>
  <c r="E274" i="50"/>
  <c r="F274" i="50"/>
  <c r="I274" i="50"/>
  <c r="H274" i="50"/>
  <c r="A274" i="50"/>
  <c r="C274" i="50"/>
  <c r="B274" i="50"/>
  <c r="G274" i="50"/>
  <c r="G382" i="50"/>
  <c r="A382" i="50"/>
  <c r="H382" i="50"/>
  <c r="E382" i="50"/>
  <c r="C382" i="50"/>
  <c r="I382" i="50"/>
  <c r="B382" i="50"/>
  <c r="F382" i="50"/>
  <c r="G915" i="50"/>
  <c r="F915" i="50"/>
  <c r="C915" i="50"/>
  <c r="A915" i="50"/>
  <c r="B915" i="50"/>
  <c r="H915" i="50"/>
  <c r="I915" i="50"/>
  <c r="E915" i="50"/>
  <c r="F377" i="50"/>
  <c r="H377" i="50"/>
  <c r="B377" i="50"/>
  <c r="E377" i="50"/>
  <c r="I377" i="50"/>
  <c r="C377" i="50"/>
  <c r="G377" i="50"/>
  <c r="A377" i="50"/>
  <c r="H689" i="50"/>
  <c r="E689" i="50"/>
  <c r="A689" i="50"/>
  <c r="C689" i="50"/>
  <c r="G689" i="50"/>
  <c r="F689" i="50"/>
  <c r="B689" i="50"/>
  <c r="I689" i="50"/>
  <c r="G449" i="50"/>
  <c r="I449" i="50"/>
  <c r="B449" i="50"/>
  <c r="E449" i="50"/>
  <c r="H449" i="50"/>
  <c r="C449" i="50"/>
  <c r="A449" i="50"/>
  <c r="F449" i="50"/>
  <c r="B210" i="50"/>
  <c r="E210" i="50"/>
  <c r="F210" i="50"/>
  <c r="C210" i="50"/>
  <c r="G210" i="50"/>
  <c r="I210" i="50"/>
  <c r="H210" i="50"/>
  <c r="A210" i="50"/>
  <c r="I1064" i="50"/>
  <c r="G1064" i="50"/>
  <c r="A1064" i="50"/>
  <c r="E1064" i="50"/>
  <c r="H1064" i="50"/>
  <c r="F1064" i="50"/>
  <c r="B1064" i="50"/>
  <c r="C1064" i="50"/>
  <c r="I204" i="50"/>
  <c r="H204" i="50"/>
  <c r="E204" i="50"/>
  <c r="B204" i="50"/>
  <c r="F204" i="50"/>
  <c r="G204" i="50"/>
  <c r="C204" i="50"/>
  <c r="A204" i="50"/>
  <c r="G100" i="50"/>
  <c r="E100" i="50"/>
  <c r="I100" i="50"/>
  <c r="C100" i="50"/>
  <c r="H100" i="50"/>
  <c r="F100" i="50"/>
  <c r="A100" i="50"/>
  <c r="B100" i="50"/>
  <c r="G982" i="50"/>
  <c r="I982" i="50"/>
  <c r="H982" i="50"/>
  <c r="A982" i="50"/>
  <c r="F982" i="50"/>
  <c r="B982" i="50"/>
  <c r="E982" i="50"/>
  <c r="C982" i="50"/>
  <c r="F564" i="50"/>
  <c r="A564" i="50"/>
  <c r="E564" i="50"/>
  <c r="C564" i="50"/>
  <c r="H564" i="50"/>
  <c r="G564" i="50"/>
  <c r="B564" i="50"/>
  <c r="I564" i="50"/>
  <c r="A631" i="50"/>
  <c r="E631" i="50"/>
  <c r="I631" i="50"/>
  <c r="B631" i="50"/>
  <c r="F631" i="50"/>
  <c r="H631" i="50"/>
  <c r="G631" i="50"/>
  <c r="C631" i="50"/>
  <c r="E493" i="50"/>
  <c r="G493" i="50"/>
  <c r="F493" i="50"/>
  <c r="C493" i="50"/>
  <c r="I493" i="50"/>
  <c r="B493" i="50"/>
  <c r="A493" i="50"/>
  <c r="H493" i="50"/>
  <c r="F793" i="50"/>
  <c r="H793" i="50"/>
  <c r="I793" i="50"/>
  <c r="A793" i="50"/>
  <c r="G793" i="50"/>
  <c r="B793" i="50"/>
  <c r="E793" i="50"/>
  <c r="C793" i="50"/>
  <c r="E608" i="50"/>
  <c r="I608" i="50"/>
  <c r="A608" i="50"/>
  <c r="H608" i="50"/>
  <c r="G608" i="50"/>
  <c r="C608" i="50"/>
  <c r="F608" i="50"/>
  <c r="B608" i="50"/>
  <c r="E630" i="50"/>
  <c r="F630" i="50"/>
  <c r="B630" i="50"/>
  <c r="G630" i="50"/>
  <c r="I630" i="50"/>
  <c r="A630" i="50"/>
  <c r="H630" i="50"/>
  <c r="C630" i="50"/>
  <c r="E900" i="50"/>
  <c r="A900" i="50"/>
  <c r="B900" i="50"/>
  <c r="G900" i="50"/>
  <c r="I900" i="50"/>
  <c r="F900" i="50"/>
  <c r="C900" i="50"/>
  <c r="H900" i="50"/>
  <c r="G747" i="50"/>
  <c r="B747" i="50"/>
  <c r="I747" i="50"/>
  <c r="C747" i="50"/>
  <c r="F747" i="50"/>
  <c r="E747" i="50"/>
  <c r="H747" i="50"/>
  <c r="A747" i="50"/>
  <c r="F209" i="50"/>
  <c r="E209" i="50"/>
  <c r="I209" i="50"/>
  <c r="H209" i="50"/>
  <c r="B209" i="50"/>
  <c r="G209" i="50"/>
  <c r="A209" i="50"/>
  <c r="C209" i="50"/>
  <c r="B968" i="50"/>
  <c r="I968" i="50"/>
  <c r="H968" i="50"/>
  <c r="G968" i="50"/>
  <c r="C968" i="50"/>
  <c r="E968" i="50"/>
  <c r="F968" i="50"/>
  <c r="A968" i="50"/>
  <c r="E603" i="50"/>
  <c r="G603" i="50"/>
  <c r="H603" i="50"/>
  <c r="C603" i="50"/>
  <c r="A603" i="50"/>
  <c r="F603" i="50"/>
  <c r="B603" i="50"/>
  <c r="I603" i="50"/>
  <c r="F398" i="50"/>
  <c r="G398" i="50"/>
  <c r="A398" i="50"/>
  <c r="C398" i="50"/>
  <c r="B398" i="50"/>
  <c r="H398" i="50"/>
  <c r="E398" i="50"/>
  <c r="I398" i="50"/>
  <c r="C226" i="50"/>
  <c r="G226" i="50"/>
  <c r="F226" i="50"/>
  <c r="B226" i="50"/>
  <c r="A226" i="50"/>
  <c r="I226" i="50"/>
  <c r="E226" i="50"/>
  <c r="H226" i="50"/>
  <c r="C297" i="50"/>
  <c r="G297" i="50"/>
  <c r="F297" i="50"/>
  <c r="B297" i="50"/>
  <c r="E297" i="50"/>
  <c r="I297" i="50"/>
  <c r="A297" i="50"/>
  <c r="H297" i="50"/>
  <c r="I554" i="50"/>
  <c r="H554" i="50"/>
  <c r="C554" i="50"/>
  <c r="A554" i="50"/>
  <c r="B554" i="50"/>
  <c r="F554" i="50"/>
  <c r="G554" i="50"/>
  <c r="E554" i="50"/>
  <c r="B163" i="50"/>
  <c r="A163" i="50"/>
  <c r="F163" i="50"/>
  <c r="C163" i="50"/>
  <c r="G163" i="50"/>
  <c r="H163" i="50"/>
  <c r="E163" i="50"/>
  <c r="I163" i="50"/>
  <c r="B183" i="50"/>
  <c r="I183" i="50"/>
  <c r="A183" i="50"/>
  <c r="G183" i="50"/>
  <c r="C183" i="50"/>
  <c r="E183" i="50"/>
  <c r="H183" i="50"/>
  <c r="F183" i="50"/>
  <c r="H567" i="50"/>
  <c r="G567" i="50"/>
  <c r="B567" i="50"/>
  <c r="I567" i="50"/>
  <c r="A567" i="50"/>
  <c r="F567" i="50"/>
  <c r="C567" i="50"/>
  <c r="E567" i="50"/>
  <c r="B435" i="50"/>
  <c r="G435" i="50"/>
  <c r="A435" i="50"/>
  <c r="E435" i="50"/>
  <c r="H435" i="50"/>
  <c r="I435" i="50"/>
  <c r="F435" i="50"/>
  <c r="C435" i="50"/>
  <c r="B851" i="50"/>
  <c r="H851" i="50"/>
  <c r="F851" i="50"/>
  <c r="E851" i="50"/>
  <c r="I851" i="50"/>
  <c r="C851" i="50"/>
  <c r="G851" i="50"/>
  <c r="A851" i="50"/>
  <c r="C6" i="50"/>
  <c r="F6" i="50"/>
  <c r="G6" i="50"/>
  <c r="H6" i="50"/>
  <c r="I6" i="50"/>
  <c r="B6" i="50"/>
  <c r="A6" i="50"/>
  <c r="E6" i="50"/>
  <c r="E154" i="50"/>
  <c r="F154" i="50"/>
  <c r="B154" i="50"/>
  <c r="A154" i="50"/>
  <c r="G154" i="50"/>
  <c r="C154" i="50"/>
  <c r="H154" i="50"/>
  <c r="I154" i="50"/>
  <c r="H450" i="50"/>
  <c r="C450" i="50"/>
  <c r="G450" i="50"/>
  <c r="B450" i="50"/>
  <c r="F450" i="50"/>
  <c r="I450" i="50"/>
  <c r="E450" i="50"/>
  <c r="A450" i="50"/>
  <c r="F664" i="50"/>
  <c r="E664" i="50"/>
  <c r="C664" i="50"/>
  <c r="A664" i="50"/>
  <c r="H664" i="50"/>
  <c r="B664" i="50"/>
  <c r="I664" i="50"/>
  <c r="G664" i="50"/>
  <c r="H81" i="50"/>
  <c r="F81" i="50"/>
  <c r="A81" i="50"/>
  <c r="G81" i="50"/>
  <c r="C81" i="50"/>
  <c r="E81" i="50"/>
  <c r="I81" i="50"/>
  <c r="B81" i="50"/>
  <c r="G820" i="50"/>
  <c r="F820" i="50"/>
  <c r="I820" i="50"/>
  <c r="E820" i="50"/>
  <c r="C820" i="50"/>
  <c r="A820" i="50"/>
  <c r="B820" i="50"/>
  <c r="H820" i="50"/>
  <c r="F546" i="50"/>
  <c r="G546" i="50"/>
  <c r="E546" i="50"/>
  <c r="B546" i="50"/>
  <c r="I546" i="50"/>
  <c r="H546" i="50"/>
  <c r="A546" i="50"/>
  <c r="C546" i="50"/>
  <c r="B863" i="50"/>
  <c r="A863" i="50"/>
  <c r="G863" i="50"/>
  <c r="I863" i="50"/>
  <c r="E863" i="50"/>
  <c r="H863" i="50"/>
  <c r="F863" i="50"/>
  <c r="C863" i="50"/>
  <c r="E74" i="50"/>
  <c r="F74" i="50"/>
  <c r="B74" i="50"/>
  <c r="A74" i="50"/>
  <c r="I74" i="50"/>
  <c r="C74" i="50"/>
  <c r="H74" i="50"/>
  <c r="G74" i="50"/>
  <c r="E175" i="50"/>
  <c r="C175" i="50"/>
  <c r="F175" i="50"/>
  <c r="I175" i="50"/>
  <c r="B175" i="50"/>
  <c r="A175" i="50"/>
  <c r="G175" i="50"/>
  <c r="H175" i="50"/>
  <c r="A945" i="50"/>
  <c r="E945" i="50"/>
  <c r="F945" i="50"/>
  <c r="B945" i="50"/>
  <c r="C945" i="50"/>
  <c r="I945" i="50"/>
  <c r="G945" i="50"/>
  <c r="H945" i="50"/>
  <c r="C159" i="50"/>
  <c r="A159" i="50"/>
  <c r="F159" i="50"/>
  <c r="I159" i="50"/>
  <c r="H159" i="50"/>
  <c r="E159" i="50"/>
  <c r="G159" i="50"/>
  <c r="B159" i="50"/>
  <c r="I371" i="50"/>
  <c r="E371" i="50"/>
  <c r="C371" i="50"/>
  <c r="G371" i="50"/>
  <c r="B371" i="50"/>
  <c r="A371" i="50"/>
  <c r="F371" i="50"/>
  <c r="H371" i="50"/>
  <c r="B1013" i="50"/>
  <c r="H1013" i="50"/>
  <c r="G1013" i="50"/>
  <c r="I1013" i="50"/>
  <c r="C1013" i="50"/>
  <c r="F1013" i="50"/>
  <c r="E1013" i="50"/>
  <c r="A1013" i="50"/>
  <c r="A464" i="50"/>
  <c r="F464" i="50"/>
  <c r="G464" i="50"/>
  <c r="B464" i="50"/>
  <c r="I464" i="50"/>
  <c r="H464" i="50"/>
  <c r="E464" i="50"/>
  <c r="C464" i="50"/>
  <c r="E650" i="50"/>
  <c r="A650" i="50"/>
  <c r="C650" i="50"/>
  <c r="I650" i="50"/>
  <c r="F650" i="50"/>
  <c r="G650" i="50"/>
  <c r="B650" i="50"/>
  <c r="H650" i="50"/>
  <c r="A981" i="50"/>
  <c r="F981" i="50"/>
  <c r="I981" i="50"/>
  <c r="H981" i="50"/>
  <c r="E981" i="50"/>
  <c r="B981" i="50"/>
  <c r="G981" i="50"/>
  <c r="C981" i="50"/>
  <c r="B387" i="50"/>
  <c r="I387" i="50"/>
  <c r="G387" i="50"/>
  <c r="F387" i="50"/>
  <c r="C387" i="50"/>
  <c r="H387" i="50"/>
  <c r="E387" i="50"/>
  <c r="A387" i="50"/>
  <c r="G487" i="50"/>
  <c r="I487" i="50"/>
  <c r="F487" i="50"/>
  <c r="H487" i="50"/>
  <c r="C487" i="50"/>
  <c r="B487" i="50"/>
  <c r="A487" i="50"/>
  <c r="E487" i="50"/>
  <c r="H459" i="50"/>
  <c r="F459" i="50"/>
  <c r="E459" i="50"/>
  <c r="C459" i="50"/>
  <c r="A459" i="50"/>
  <c r="B459" i="50"/>
  <c r="G459" i="50"/>
  <c r="I459" i="50"/>
  <c r="A93" i="50"/>
  <c r="I93" i="50"/>
  <c r="C93" i="50"/>
  <c r="F93" i="50"/>
  <c r="B93" i="50"/>
  <c r="E93" i="50"/>
  <c r="H93" i="50"/>
  <c r="G93" i="50"/>
  <c r="C1068" i="50"/>
  <c r="F1068" i="50"/>
  <c r="B1068" i="50"/>
  <c r="E1068" i="50"/>
  <c r="A1068" i="50"/>
  <c r="G1068" i="50"/>
  <c r="I1068" i="50"/>
  <c r="H1068" i="50"/>
  <c r="C54" i="50"/>
  <c r="H54" i="50"/>
  <c r="A54" i="50"/>
  <c r="E54" i="50"/>
  <c r="G54" i="50"/>
  <c r="B54" i="50"/>
  <c r="F54" i="50"/>
  <c r="I54" i="50"/>
  <c r="H703" i="50"/>
  <c r="B703" i="50"/>
  <c r="F703" i="50"/>
  <c r="A703" i="50"/>
  <c r="G703" i="50"/>
  <c r="C703" i="50"/>
  <c r="E703" i="50"/>
  <c r="I703" i="50"/>
  <c r="B1000" i="50"/>
  <c r="G1000" i="50"/>
  <c r="C1000" i="50"/>
  <c r="H1000" i="50"/>
  <c r="F1000" i="50"/>
  <c r="A1000" i="50"/>
  <c r="I1000" i="50"/>
  <c r="E1000" i="50"/>
  <c r="H792" i="50"/>
  <c r="B792" i="50"/>
  <c r="G792" i="50"/>
  <c r="A792" i="50"/>
  <c r="E792" i="50"/>
  <c r="C792" i="50"/>
  <c r="I792" i="50"/>
  <c r="F792" i="50"/>
  <c r="H750" i="50"/>
  <c r="E750" i="50"/>
  <c r="I750" i="50"/>
  <c r="F750" i="50"/>
  <c r="B750" i="50"/>
  <c r="G750" i="50"/>
  <c r="C750" i="50"/>
  <c r="A750" i="50"/>
  <c r="H410" i="50"/>
  <c r="A410" i="50"/>
  <c r="I410" i="50"/>
  <c r="G410" i="50"/>
  <c r="C410" i="50"/>
  <c r="F410" i="50"/>
  <c r="E410" i="50"/>
  <c r="B410" i="50"/>
  <c r="G324" i="50"/>
  <c r="F324" i="50"/>
  <c r="H324" i="50"/>
  <c r="E324" i="50"/>
  <c r="C324" i="50"/>
  <c r="A324" i="50"/>
  <c r="B324" i="50"/>
  <c r="I324" i="50"/>
  <c r="F889" i="50"/>
  <c r="H889" i="50"/>
  <c r="E889" i="50"/>
  <c r="A889" i="50"/>
  <c r="B889" i="50"/>
  <c r="I889" i="50"/>
  <c r="C889" i="50"/>
  <c r="G889" i="50"/>
  <c r="F252" i="50"/>
  <c r="G252" i="50"/>
  <c r="I252" i="50"/>
  <c r="H252" i="50"/>
  <c r="C252" i="50"/>
  <c r="A252" i="50"/>
  <c r="B252" i="50"/>
  <c r="E252" i="50"/>
  <c r="C779" i="50"/>
  <c r="H779" i="50"/>
  <c r="I779" i="50"/>
  <c r="A779" i="50"/>
  <c r="E779" i="50"/>
  <c r="B779" i="50"/>
  <c r="G779" i="50"/>
  <c r="F779" i="50"/>
  <c r="B182" i="50"/>
  <c r="A182" i="50"/>
  <c r="G182" i="50"/>
  <c r="H182" i="50"/>
  <c r="F182" i="50"/>
  <c r="C182" i="50"/>
  <c r="I182" i="50"/>
  <c r="E182" i="50"/>
  <c r="F602" i="50"/>
  <c r="B602" i="50"/>
  <c r="I602" i="50"/>
  <c r="E602" i="50"/>
  <c r="H602" i="50"/>
  <c r="G602" i="50"/>
  <c r="A602" i="50"/>
  <c r="C602" i="50"/>
  <c r="H549" i="50"/>
  <c r="I549" i="50"/>
  <c r="F549" i="50"/>
  <c r="B549" i="50"/>
  <c r="C549" i="50"/>
  <c r="E549" i="50"/>
  <c r="G549" i="50"/>
  <c r="A549" i="50"/>
  <c r="C1062" i="50"/>
  <c r="G1062" i="50"/>
  <c r="E1062" i="50"/>
  <c r="F1062" i="50"/>
  <c r="I1062" i="50"/>
  <c r="B1062" i="50"/>
  <c r="A1062" i="50"/>
  <c r="H1062" i="50"/>
  <c r="E469" i="50"/>
  <c r="A469" i="50"/>
  <c r="I469" i="50"/>
  <c r="G469" i="50"/>
  <c r="C469" i="50"/>
  <c r="H469" i="50"/>
  <c r="F469" i="50"/>
  <c r="B469" i="50"/>
  <c r="B561" i="50"/>
  <c r="F561" i="50"/>
  <c r="E561" i="50"/>
  <c r="C561" i="50"/>
  <c r="I561" i="50"/>
  <c r="A561" i="50"/>
  <c r="G561" i="50"/>
  <c r="H561" i="50"/>
  <c r="F471" i="50"/>
  <c r="E471" i="50"/>
  <c r="H471" i="50"/>
  <c r="B471" i="50"/>
  <c r="I471" i="50"/>
  <c r="G471" i="50"/>
  <c r="A471" i="50"/>
  <c r="C471" i="50"/>
  <c r="C1009" i="50"/>
  <c r="B1009" i="50"/>
  <c r="F1009" i="50"/>
  <c r="I1009" i="50"/>
  <c r="E1009" i="50"/>
  <c r="A1009" i="50"/>
  <c r="G1009" i="50"/>
  <c r="H1009" i="50"/>
  <c r="F726" i="50"/>
  <c r="H726" i="50"/>
  <c r="B726" i="50"/>
  <c r="A726" i="50"/>
  <c r="E726" i="50"/>
  <c r="I726" i="50"/>
  <c r="C726" i="50"/>
  <c r="G726" i="50"/>
  <c r="G443" i="50"/>
  <c r="C443" i="50"/>
  <c r="H443" i="50"/>
  <c r="F443" i="50"/>
  <c r="B443" i="50"/>
  <c r="A443" i="50"/>
  <c r="E443" i="50"/>
  <c r="I443" i="50"/>
  <c r="I771" i="50"/>
  <c r="B771" i="50"/>
  <c r="E771" i="50"/>
  <c r="C771" i="50"/>
  <c r="F771" i="50"/>
  <c r="H771" i="50"/>
  <c r="G771" i="50"/>
  <c r="A771" i="50"/>
  <c r="F856" i="50"/>
  <c r="B856" i="50"/>
  <c r="C856" i="50"/>
  <c r="G856" i="50"/>
  <c r="E856" i="50"/>
  <c r="A856" i="50"/>
  <c r="I856" i="50"/>
  <c r="H856" i="50"/>
  <c r="A336" i="50"/>
  <c r="I336" i="50"/>
  <c r="G336" i="50"/>
  <c r="E336" i="50"/>
  <c r="B336" i="50"/>
  <c r="C336" i="50"/>
  <c r="F336" i="50"/>
  <c r="H336" i="50"/>
  <c r="H619" i="50"/>
  <c r="E619" i="50"/>
  <c r="G619" i="50"/>
  <c r="A619" i="50"/>
  <c r="C619" i="50"/>
  <c r="I619" i="50"/>
  <c r="F619" i="50"/>
  <c r="B619" i="50"/>
  <c r="I697" i="50"/>
  <c r="F697" i="50"/>
  <c r="H697" i="50"/>
  <c r="G697" i="50"/>
  <c r="E697" i="50"/>
  <c r="A697" i="50"/>
  <c r="C697" i="50"/>
  <c r="B697" i="50"/>
  <c r="H97" i="50"/>
  <c r="A97" i="50"/>
  <c r="F97" i="50"/>
  <c r="B97" i="50"/>
  <c r="C97" i="50"/>
  <c r="G97" i="50"/>
  <c r="I97" i="50"/>
  <c r="E97" i="50"/>
  <c r="E716" i="50"/>
  <c r="A716" i="50"/>
  <c r="H716" i="50"/>
  <c r="I716" i="50"/>
  <c r="G716" i="50"/>
  <c r="C716" i="50"/>
  <c r="F716" i="50"/>
  <c r="B716" i="50"/>
  <c r="C950" i="50"/>
  <c r="F950" i="50"/>
  <c r="G950" i="50"/>
  <c r="A950" i="50"/>
  <c r="I950" i="50"/>
  <c r="H950" i="50"/>
  <c r="B950" i="50"/>
  <c r="E950" i="50"/>
  <c r="E1021" i="50"/>
  <c r="H1021" i="50"/>
  <c r="G1021" i="50"/>
  <c r="F1021" i="50"/>
  <c r="A1021" i="50"/>
  <c r="B1021" i="50"/>
  <c r="I1021" i="50"/>
  <c r="C1021" i="50"/>
  <c r="B305" i="50"/>
  <c r="I305" i="50"/>
  <c r="H305" i="50"/>
  <c r="G305" i="50"/>
  <c r="E305" i="50"/>
  <c r="A305" i="50"/>
  <c r="F305" i="50"/>
  <c r="C305" i="50"/>
  <c r="H536" i="50"/>
  <c r="E536" i="50"/>
  <c r="A536" i="50"/>
  <c r="B536" i="50"/>
  <c r="C536" i="50"/>
  <c r="I536" i="50"/>
  <c r="G536" i="50"/>
  <c r="F536" i="50"/>
  <c r="E328" i="50"/>
  <c r="F328" i="50"/>
  <c r="H328" i="50"/>
  <c r="G328" i="50"/>
  <c r="I328" i="50"/>
  <c r="B328" i="50"/>
  <c r="A328" i="50"/>
  <c r="C328" i="50"/>
  <c r="C351" i="50"/>
  <c r="G351" i="50"/>
  <c r="A351" i="50"/>
  <c r="B351" i="50"/>
  <c r="E351" i="50"/>
  <c r="I351" i="50"/>
  <c r="F351" i="50"/>
  <c r="H351" i="50"/>
  <c r="E126" i="50"/>
  <c r="C126" i="50"/>
  <c r="A126" i="50"/>
  <c r="F126" i="50"/>
  <c r="G126" i="50"/>
  <c r="H126" i="50"/>
  <c r="I126" i="50"/>
  <c r="B126" i="50"/>
  <c r="C30" i="50"/>
  <c r="B30" i="50"/>
  <c r="A30" i="50"/>
  <c r="G30" i="50"/>
  <c r="F30" i="50"/>
  <c r="I30" i="50"/>
  <c r="H30" i="50"/>
  <c r="E30" i="50"/>
  <c r="G824" i="50"/>
  <c r="E824" i="50"/>
  <c r="I824" i="50"/>
  <c r="F824" i="50"/>
  <c r="B824" i="50"/>
  <c r="H824" i="50"/>
  <c r="A824" i="50"/>
  <c r="C824" i="50"/>
  <c r="B972" i="50"/>
  <c r="A972" i="50"/>
  <c r="G972" i="50"/>
  <c r="H972" i="50"/>
  <c r="F972" i="50"/>
  <c r="E972" i="50"/>
  <c r="I972" i="50"/>
  <c r="C972" i="50"/>
  <c r="I361" i="50"/>
  <c r="E361" i="50"/>
  <c r="B361" i="50"/>
  <c r="C361" i="50"/>
  <c r="H361" i="50"/>
  <c r="G361" i="50"/>
  <c r="A361" i="50"/>
  <c r="F361" i="50"/>
  <c r="B840" i="50"/>
  <c r="C840" i="50"/>
  <c r="H840" i="50"/>
  <c r="E840" i="50"/>
  <c r="G840" i="50"/>
  <c r="F840" i="50"/>
  <c r="I840" i="50"/>
  <c r="A840" i="50"/>
  <c r="AB560" i="32"/>
  <c r="AB561" i="32" s="1"/>
  <c r="AB562" i="32" s="1"/>
  <c r="AB482" i="32"/>
  <c r="AB632" i="32"/>
  <c r="AB1010" i="32"/>
  <c r="AB1011" i="32" s="1"/>
  <c r="AB1012" i="32" s="1"/>
  <c r="AB897" i="32"/>
  <c r="AB898" i="32" s="1"/>
  <c r="AB899" i="32" s="1"/>
  <c r="AB900" i="32" s="1"/>
  <c r="AB412" i="32"/>
  <c r="AB570" i="32"/>
  <c r="AB571" i="32" s="1"/>
  <c r="AB550" i="32"/>
  <c r="AB551" i="32" s="1"/>
  <c r="AB939" i="32"/>
  <c r="AB940" i="32" s="1"/>
  <c r="AB388" i="32"/>
  <c r="AB81" i="32"/>
  <c r="AB82" i="32" s="1"/>
  <c r="AB89" i="32"/>
  <c r="AB90" i="32" s="1"/>
  <c r="AB72" i="32"/>
  <c r="AB738" i="32"/>
  <c r="AB739" i="32" s="1"/>
  <c r="AB39" i="32"/>
  <c r="AB40" i="32" s="1"/>
  <c r="AB31" i="32"/>
  <c r="AB32" i="32" s="1"/>
  <c r="AB1029" i="32"/>
  <c r="AB1030" i="32" s="1"/>
  <c r="AB949" i="32"/>
  <c r="AB950" i="32" s="1"/>
  <c r="AB780" i="32"/>
  <c r="AB781" i="32" s="1"/>
  <c r="AB782" i="32" s="1"/>
  <c r="AB367" i="32"/>
  <c r="AB368" i="32" s="1"/>
  <c r="AB369" i="32" s="1"/>
  <c r="AB370" i="32" s="1"/>
  <c r="AB798" i="32"/>
  <c r="AB1078" i="32"/>
  <c r="AB1079" i="32" s="1"/>
  <c r="AB239" i="32"/>
  <c r="AB240" i="32" s="1"/>
  <c r="AB249" i="32"/>
  <c r="AB320" i="32"/>
  <c r="AB868" i="32"/>
  <c r="AB869" i="32" s="1"/>
  <c r="AB988" i="32"/>
  <c r="AB989" i="32" s="1"/>
  <c r="AB1038" i="32"/>
  <c r="AB1039" i="32" s="1"/>
  <c r="AB1061" i="32"/>
  <c r="AB1062" i="32" s="1"/>
  <c r="AB491" i="32"/>
  <c r="AB492" i="32" s="1"/>
  <c r="AB420" i="32" l="1"/>
  <c r="S24" i="32"/>
  <c r="T24" i="32" s="1"/>
  <c r="U14" i="32" s="1"/>
  <c r="L115" i="32"/>
  <c r="O116" i="32" s="1"/>
  <c r="N115" i="32"/>
  <c r="P115" i="32"/>
  <c r="U37" i="32"/>
  <c r="AB49" i="32"/>
  <c r="AB50" i="32" s="1"/>
  <c r="Q11" i="51"/>
  <c r="V12" i="51"/>
  <c r="X13" i="51" s="1"/>
  <c r="AB878" i="32"/>
  <c r="AB690" i="32"/>
  <c r="AB691" i="32" s="1"/>
  <c r="AB692" i="32" s="1"/>
  <c r="AB842" i="32"/>
  <c r="AB990" i="32"/>
  <c r="AB991" i="32" s="1"/>
  <c r="AB992" i="32" s="1"/>
  <c r="AB501" i="32"/>
  <c r="AB502" i="32" s="1"/>
  <c r="AB681" i="32"/>
  <c r="AB682" i="32" s="1"/>
  <c r="AB552" i="32"/>
  <c r="AB670" i="32"/>
  <c r="AB671" i="32" s="1"/>
  <c r="AB672" i="32" s="1"/>
  <c r="AB330" i="32"/>
  <c r="AB331" i="32" s="1"/>
  <c r="AB332" i="32" s="1"/>
  <c r="AB401" i="32"/>
  <c r="AB402" i="32" s="1"/>
  <c r="AB1020" i="32"/>
  <c r="AB1021" i="32" s="1"/>
  <c r="AB1022" i="32" s="1"/>
  <c r="AB870" i="32"/>
  <c r="AB871" i="32" s="1"/>
  <c r="AB872" i="32" s="1"/>
  <c r="AB1031" i="32"/>
  <c r="AB1032" i="32" s="1"/>
  <c r="AB171" i="32"/>
  <c r="AB172" i="32" s="1"/>
  <c r="AB591" i="32"/>
  <c r="AB592" i="32" s="1"/>
  <c r="AB700" i="32"/>
  <c r="AB701" i="32" s="1"/>
  <c r="AB790" i="32"/>
  <c r="AB791" i="32" s="1"/>
  <c r="AB41" i="32"/>
  <c r="AB1040" i="32"/>
  <c r="AB1041" i="32" s="1"/>
  <c r="AB1042" i="32" s="1"/>
  <c r="AB1080" i="32"/>
  <c r="AB1081" i="32" s="1"/>
  <c r="AB1082" i="32" s="1"/>
  <c r="AB371" i="32"/>
  <c r="AB372" i="32" s="1"/>
  <c r="AB572" i="32"/>
  <c r="AB901" i="32"/>
  <c r="AB902" i="32" s="1"/>
  <c r="AB321" i="32"/>
  <c r="AB322" i="32" s="1"/>
  <c r="AB941" i="32"/>
  <c r="AB942" i="32" s="1"/>
  <c r="AB951" i="32"/>
  <c r="AB952" i="32" s="1"/>
  <c r="AB389" i="32"/>
  <c r="AB390" i="32" s="1"/>
  <c r="AB91" i="32"/>
  <c r="AB92" i="32" s="1"/>
  <c r="AB421" i="32"/>
  <c r="AB422" i="32" s="1"/>
  <c r="AB250" i="32"/>
  <c r="AB740" i="32"/>
  <c r="AB741" i="32" s="1"/>
  <c r="AB799" i="32"/>
  <c r="AB800" i="32" s="1"/>
  <c r="AB241" i="32"/>
  <c r="AB242" i="32" s="1"/>
  <c r="U55" i="32" l="1"/>
  <c r="U46" i="32"/>
  <c r="U35" i="32"/>
  <c r="U32" i="32"/>
  <c r="U51" i="32"/>
  <c r="U44" i="32"/>
  <c r="U47" i="32"/>
  <c r="U57" i="32"/>
  <c r="U42" i="32"/>
  <c r="U13" i="32"/>
  <c r="U27" i="32"/>
  <c r="U23" i="32"/>
  <c r="U39" i="32"/>
  <c r="U19" i="32"/>
  <c r="U36" i="32"/>
  <c r="U24" i="32"/>
  <c r="U29" i="32"/>
  <c r="U52" i="32"/>
  <c r="U16" i="32"/>
  <c r="U11" i="32"/>
  <c r="U60" i="32"/>
  <c r="U18" i="32"/>
  <c r="U7" i="32"/>
  <c r="U38" i="32"/>
  <c r="U56" i="32"/>
  <c r="U6" i="32"/>
  <c r="U48" i="32"/>
  <c r="U58" i="32"/>
  <c r="U40" i="32"/>
  <c r="U33" i="32"/>
  <c r="U28" i="32"/>
  <c r="U4" i="32"/>
  <c r="U30" i="32"/>
  <c r="U31" i="32"/>
  <c r="U9" i="32"/>
  <c r="U21" i="32"/>
  <c r="U26" i="32"/>
  <c r="U3" i="32"/>
  <c r="U15" i="32"/>
  <c r="U2" i="32"/>
  <c r="O31" i="41" s="1"/>
  <c r="U8" i="32"/>
  <c r="U10" i="32"/>
  <c r="U49" i="32"/>
  <c r="U41" i="32"/>
  <c r="U17" i="32"/>
  <c r="U45" i="32"/>
  <c r="U25" i="32"/>
  <c r="U20" i="32"/>
  <c r="U34" i="32"/>
  <c r="U54" i="32"/>
  <c r="U59" i="32"/>
  <c r="U43" i="32"/>
  <c r="U53" i="32"/>
  <c r="U5" i="32"/>
  <c r="U50" i="32"/>
  <c r="U22" i="32"/>
  <c r="U12" i="32"/>
  <c r="Q116" i="32"/>
  <c r="Q117" i="32" s="1"/>
  <c r="L116" i="32"/>
  <c r="O117" i="32" s="1"/>
  <c r="P116" i="32"/>
  <c r="N116" i="32"/>
  <c r="Q12" i="51"/>
  <c r="AB879" i="32"/>
  <c r="Y13" i="51"/>
  <c r="U14" i="51" s="1"/>
  <c r="AB51" i="32"/>
  <c r="AB52" i="32" s="1"/>
  <c r="AB702" i="32"/>
  <c r="AB792" i="32"/>
  <c r="AB391" i="32"/>
  <c r="AB392" i="32" s="1"/>
  <c r="AB42" i="32"/>
  <c r="AB251" i="32"/>
  <c r="AB801" i="32"/>
  <c r="AB802" i="32" s="1"/>
  <c r="AB742" i="32"/>
  <c r="O30" i="41" l="1"/>
  <c r="P117" i="32"/>
  <c r="L117" i="32" s="1"/>
  <c r="N117" i="32"/>
  <c r="Q13" i="51"/>
  <c r="AB880" i="32"/>
  <c r="AB881" i="32" s="1"/>
  <c r="V14" i="51"/>
  <c r="X15" i="51" s="1"/>
  <c r="AB252" i="32"/>
  <c r="M11" i="32" l="1"/>
  <c r="M51" i="32"/>
  <c r="M6" i="32"/>
  <c r="M38" i="32"/>
  <c r="M35" i="32"/>
  <c r="M17" i="32"/>
  <c r="M34" i="32"/>
  <c r="M21" i="32"/>
  <c r="M45" i="32"/>
  <c r="M32" i="32"/>
  <c r="M53" i="32"/>
  <c r="M15" i="32"/>
  <c r="M46" i="32"/>
  <c r="M30" i="32"/>
  <c r="M12" i="32"/>
  <c r="M13" i="32"/>
  <c r="M52" i="32"/>
  <c r="M55" i="32"/>
  <c r="M39" i="32"/>
  <c r="M16" i="32"/>
  <c r="M27" i="32"/>
  <c r="M37" i="32"/>
  <c r="M22" i="32"/>
  <c r="M47" i="32"/>
  <c r="M5" i="32"/>
  <c r="M43" i="32"/>
  <c r="M48" i="32"/>
  <c r="M4" i="32"/>
  <c r="M58" i="32"/>
  <c r="M59" i="32"/>
  <c r="M40" i="32"/>
  <c r="M20" i="32"/>
  <c r="M57" i="32"/>
  <c r="M42" i="32"/>
  <c r="M60" i="32"/>
  <c r="M29" i="32"/>
  <c r="M36" i="32"/>
  <c r="M14" i="32"/>
  <c r="M56" i="32"/>
  <c r="M10" i="32"/>
  <c r="M26" i="32"/>
  <c r="M33" i="32"/>
  <c r="M3" i="32"/>
  <c r="M25" i="32"/>
  <c r="M7" i="32"/>
  <c r="M31" i="32"/>
  <c r="M8" i="32"/>
  <c r="M18" i="32"/>
  <c r="M2" i="32"/>
  <c r="M50" i="32"/>
  <c r="M44" i="32"/>
  <c r="M28" i="32"/>
  <c r="M19" i="32"/>
  <c r="M54" i="32"/>
  <c r="M41" i="32"/>
  <c r="M9" i="32"/>
  <c r="M49" i="32"/>
  <c r="M24" i="32"/>
  <c r="M23" i="32"/>
  <c r="O118" i="32"/>
  <c r="Q118" i="32"/>
  <c r="Q14" i="51"/>
  <c r="Y15" i="51"/>
  <c r="U16" i="51" s="1"/>
  <c r="AB882" i="32"/>
  <c r="D97" i="52" s="1"/>
  <c r="D87" i="52"/>
  <c r="A87" i="52" s="1"/>
  <c r="D43" i="52"/>
  <c r="F43" i="52" s="1"/>
  <c r="D111" i="52"/>
  <c r="D14" i="52"/>
  <c r="D104" i="52"/>
  <c r="D61" i="52"/>
  <c r="D46" i="52"/>
  <c r="D66" i="52"/>
  <c r="D98" i="52"/>
  <c r="D13" i="52"/>
  <c r="D82" i="52"/>
  <c r="D48" i="52"/>
  <c r="D81" i="52"/>
  <c r="D113" i="52"/>
  <c r="D99" i="52"/>
  <c r="D51" i="52"/>
  <c r="D118" i="52"/>
  <c r="D15" i="52"/>
  <c r="D27" i="52"/>
  <c r="D96" i="52"/>
  <c r="D19" i="52"/>
  <c r="D75" i="52"/>
  <c r="D21" i="52"/>
  <c r="D29" i="52"/>
  <c r="D50" i="52"/>
  <c r="D73" i="52"/>
  <c r="D114" i="52"/>
  <c r="D35" i="52"/>
  <c r="D100" i="52"/>
  <c r="D74" i="52"/>
  <c r="D69" i="52"/>
  <c r="B87" i="52"/>
  <c r="D112" i="52"/>
  <c r="D93" i="52"/>
  <c r="D60" i="52"/>
  <c r="D41" i="52"/>
  <c r="D24" i="52"/>
  <c r="D120" i="52"/>
  <c r="D102" i="52"/>
  <c r="D115" i="52"/>
  <c r="D110" i="52"/>
  <c r="D92" i="52"/>
  <c r="D84" i="52"/>
  <c r="D10" i="52"/>
  <c r="D95" i="52"/>
  <c r="D70" i="52"/>
  <c r="D47" i="52"/>
  <c r="D80" i="52"/>
  <c r="D119" i="52"/>
  <c r="D77" i="52"/>
  <c r="D121" i="52"/>
  <c r="D94" i="52"/>
  <c r="D116" i="52"/>
  <c r="D16" i="52"/>
  <c r="D58" i="52"/>
  <c r="D8" i="52"/>
  <c r="D76" i="52"/>
  <c r="D28" i="52"/>
  <c r="D105" i="52"/>
  <c r="D65" i="52"/>
  <c r="D68" i="52"/>
  <c r="D44" i="52"/>
  <c r="D85" i="52"/>
  <c r="D36" i="52"/>
  <c r="D12" i="52"/>
  <c r="D108" i="52"/>
  <c r="D91" i="52"/>
  <c r="D26" i="52"/>
  <c r="D49" i="52"/>
  <c r="D54" i="52"/>
  <c r="D89" i="52"/>
  <c r="D42" i="52"/>
  <c r="D106" i="52"/>
  <c r="D5" i="52"/>
  <c r="D45" i="52"/>
  <c r="D9" i="52"/>
  <c r="D79" i="52"/>
  <c r="D40" i="52"/>
  <c r="D67" i="52"/>
  <c r="D103" i="52"/>
  <c r="D3" i="52"/>
  <c r="D117" i="52"/>
  <c r="D101" i="52"/>
  <c r="D86" i="52"/>
  <c r="D23" i="52"/>
  <c r="D83" i="52"/>
  <c r="C97" i="52" l="1"/>
  <c r="A97" i="52"/>
  <c r="B97" i="52"/>
  <c r="D59" i="52"/>
  <c r="D39" i="52"/>
  <c r="D88" i="52"/>
  <c r="D20" i="52"/>
  <c r="C20" i="52" s="1"/>
  <c r="D17" i="52"/>
  <c r="C17" i="52" s="1"/>
  <c r="D31" i="52"/>
  <c r="D22" i="52"/>
  <c r="D72" i="52"/>
  <c r="D32" i="52"/>
  <c r="D33" i="52"/>
  <c r="D57" i="52"/>
  <c r="D109" i="52"/>
  <c r="A109" i="52" s="1"/>
  <c r="D38" i="52"/>
  <c r="A38" i="52" s="1"/>
  <c r="D6" i="52"/>
  <c r="D107" i="52"/>
  <c r="E107" i="52" s="1"/>
  <c r="D90" i="52"/>
  <c r="D18" i="52"/>
  <c r="D34" i="52"/>
  <c r="D55" i="52"/>
  <c r="D25" i="52"/>
  <c r="E25" i="52" s="1"/>
  <c r="D7" i="52"/>
  <c r="B7" i="52" s="1"/>
  <c r="D56" i="52"/>
  <c r="D63" i="52"/>
  <c r="D52" i="52"/>
  <c r="D64" i="52"/>
  <c r="D37" i="52"/>
  <c r="D71" i="52"/>
  <c r="C71" i="52" s="1"/>
  <c r="D30" i="52"/>
  <c r="A30" i="52" s="1"/>
  <c r="D4" i="52"/>
  <c r="A4" i="52" s="1"/>
  <c r="D78" i="52"/>
  <c r="D11" i="52"/>
  <c r="D62" i="52"/>
  <c r="D53" i="52"/>
  <c r="E19" i="21"/>
  <c r="E12" i="21"/>
  <c r="I22" i="51"/>
  <c r="AE49" i="39"/>
  <c r="I18" i="51"/>
  <c r="E17" i="21"/>
  <c r="I14" i="51"/>
  <c r="E13" i="21"/>
  <c r="E16" i="21"/>
  <c r="I19" i="51"/>
  <c r="I12" i="51"/>
  <c r="E14" i="21"/>
  <c r="I13" i="51"/>
  <c r="I20" i="51"/>
  <c r="I15" i="51"/>
  <c r="I17" i="51"/>
  <c r="E15" i="21"/>
  <c r="E22" i="21"/>
  <c r="I21" i="51"/>
  <c r="I16" i="51"/>
  <c r="E20" i="21"/>
  <c r="J6" i="51"/>
  <c r="E18" i="21"/>
  <c r="I11" i="51"/>
  <c r="E11" i="21"/>
  <c r="J7" i="51"/>
  <c r="E21" i="21"/>
  <c r="F97" i="52"/>
  <c r="G97" i="52"/>
  <c r="E97" i="52"/>
  <c r="P118" i="32"/>
  <c r="N118" i="32"/>
  <c r="V16" i="51"/>
  <c r="X17" i="51" s="1"/>
  <c r="Q15" i="51"/>
  <c r="E43" i="52"/>
  <c r="K43" i="52" s="1"/>
  <c r="G87" i="52"/>
  <c r="E87" i="52"/>
  <c r="M87" i="52" s="1"/>
  <c r="C87" i="52"/>
  <c r="F87" i="52"/>
  <c r="F107" i="52"/>
  <c r="A107" i="52"/>
  <c r="G107" i="52"/>
  <c r="B43" i="52"/>
  <c r="G43" i="52"/>
  <c r="C43" i="52"/>
  <c r="A43" i="52"/>
  <c r="B107" i="52"/>
  <c r="C107" i="52"/>
  <c r="E117" i="52"/>
  <c r="F117" i="52"/>
  <c r="B117" i="52"/>
  <c r="G117" i="52"/>
  <c r="C117" i="52"/>
  <c r="A117" i="52"/>
  <c r="E92" i="52"/>
  <c r="A92" i="52"/>
  <c r="B92" i="52"/>
  <c r="G92" i="52"/>
  <c r="C92" i="52"/>
  <c r="F92" i="52"/>
  <c r="A6" i="52"/>
  <c r="B6" i="52"/>
  <c r="F6" i="52"/>
  <c r="G6" i="52"/>
  <c r="C6" i="52"/>
  <c r="E6" i="52"/>
  <c r="B106" i="52"/>
  <c r="G106" i="52"/>
  <c r="C106" i="52"/>
  <c r="A106" i="52"/>
  <c r="E106" i="52"/>
  <c r="F106" i="52"/>
  <c r="G12" i="52"/>
  <c r="C12" i="52"/>
  <c r="E12" i="52"/>
  <c r="A12" i="52"/>
  <c r="B12" i="52"/>
  <c r="F12" i="52"/>
  <c r="F76" i="52"/>
  <c r="B76" i="52"/>
  <c r="E76" i="52"/>
  <c r="A76" i="52"/>
  <c r="G76" i="52"/>
  <c r="C76" i="52"/>
  <c r="G119" i="52"/>
  <c r="A119" i="52"/>
  <c r="F119" i="52"/>
  <c r="E119" i="52"/>
  <c r="B119" i="52"/>
  <c r="C119" i="52"/>
  <c r="G84" i="52"/>
  <c r="A84" i="52"/>
  <c r="F84" i="52"/>
  <c r="C84" i="52"/>
  <c r="B84" i="52"/>
  <c r="E84" i="52"/>
  <c r="E31" i="52"/>
  <c r="A31" i="52"/>
  <c r="F31" i="52"/>
  <c r="B31" i="52"/>
  <c r="G31" i="52"/>
  <c r="C31" i="52"/>
  <c r="G22" i="52"/>
  <c r="B22" i="52"/>
  <c r="A22" i="52"/>
  <c r="C22" i="52"/>
  <c r="E22" i="52"/>
  <c r="F22" i="52"/>
  <c r="F63" i="52"/>
  <c r="G63" i="52"/>
  <c r="A63" i="52"/>
  <c r="B63" i="52"/>
  <c r="E63" i="52"/>
  <c r="C63" i="52"/>
  <c r="E52" i="52"/>
  <c r="B52" i="52"/>
  <c r="C52" i="52"/>
  <c r="F52" i="52"/>
  <c r="G52" i="52"/>
  <c r="A52" i="52"/>
  <c r="A48" i="52"/>
  <c r="F48" i="52"/>
  <c r="B48" i="52"/>
  <c r="G48" i="52"/>
  <c r="E48" i="52"/>
  <c r="C48" i="52"/>
  <c r="G11" i="52"/>
  <c r="E11" i="52"/>
  <c r="C11" i="52"/>
  <c r="A11" i="52"/>
  <c r="F11" i="52"/>
  <c r="B11" i="52"/>
  <c r="E62" i="52"/>
  <c r="C62" i="52"/>
  <c r="B62" i="52"/>
  <c r="A62" i="52"/>
  <c r="F62" i="52"/>
  <c r="G62" i="52"/>
  <c r="B53" i="52"/>
  <c r="A53" i="52"/>
  <c r="G53" i="52"/>
  <c r="F53" i="52"/>
  <c r="E53" i="52"/>
  <c r="C53" i="52"/>
  <c r="G111" i="52"/>
  <c r="C111" i="52"/>
  <c r="B111" i="52"/>
  <c r="A111" i="52"/>
  <c r="F111" i="52"/>
  <c r="E111" i="52"/>
  <c r="C5" i="52"/>
  <c r="A5" i="52"/>
  <c r="G5" i="52"/>
  <c r="E5" i="52"/>
  <c r="B5" i="52"/>
  <c r="F5" i="52"/>
  <c r="G35" i="52"/>
  <c r="F35" i="52"/>
  <c r="A35" i="52"/>
  <c r="E35" i="52"/>
  <c r="C35" i="52"/>
  <c r="B35" i="52"/>
  <c r="E71" i="52"/>
  <c r="B71" i="52"/>
  <c r="F71" i="52"/>
  <c r="A71" i="52"/>
  <c r="G71" i="52"/>
  <c r="C103" i="52"/>
  <c r="B103" i="52"/>
  <c r="A103" i="52"/>
  <c r="F103" i="52"/>
  <c r="E103" i="52"/>
  <c r="G103" i="52"/>
  <c r="B42" i="52"/>
  <c r="F42" i="52"/>
  <c r="A42" i="52"/>
  <c r="E42" i="52"/>
  <c r="G42" i="52"/>
  <c r="C42" i="52"/>
  <c r="E36" i="52"/>
  <c r="B36" i="52"/>
  <c r="A36" i="52"/>
  <c r="C36" i="52"/>
  <c r="G36" i="52"/>
  <c r="F36" i="52"/>
  <c r="E8" i="52"/>
  <c r="F8" i="52"/>
  <c r="A8" i="52"/>
  <c r="B8" i="52"/>
  <c r="G8" i="52"/>
  <c r="C8" i="52"/>
  <c r="E80" i="52"/>
  <c r="B80" i="52"/>
  <c r="C80" i="52"/>
  <c r="A80" i="52"/>
  <c r="F80" i="52"/>
  <c r="G80" i="52"/>
  <c r="E110" i="52"/>
  <c r="C110" i="52"/>
  <c r="G110" i="52"/>
  <c r="F110" i="52"/>
  <c r="B110" i="52"/>
  <c r="A110" i="52"/>
  <c r="F60" i="52"/>
  <c r="B60" i="52"/>
  <c r="E60" i="52"/>
  <c r="A60" i="52"/>
  <c r="C60" i="52"/>
  <c r="G60" i="52"/>
  <c r="G114" i="52"/>
  <c r="F114" i="52"/>
  <c r="E114" i="52"/>
  <c r="A114" i="52"/>
  <c r="B114" i="52"/>
  <c r="C114" i="52"/>
  <c r="C19" i="52"/>
  <c r="G19" i="52"/>
  <c r="F19" i="52"/>
  <c r="A19" i="52"/>
  <c r="E19" i="52"/>
  <c r="B19" i="52"/>
  <c r="A64" i="52"/>
  <c r="G64" i="52"/>
  <c r="C64" i="52"/>
  <c r="E64" i="52"/>
  <c r="B64" i="52"/>
  <c r="F64" i="52"/>
  <c r="C82" i="52"/>
  <c r="F82" i="52"/>
  <c r="E82" i="52"/>
  <c r="G82" i="52"/>
  <c r="A82" i="52"/>
  <c r="B82" i="52"/>
  <c r="B66" i="52"/>
  <c r="G66" i="52"/>
  <c r="A66" i="52"/>
  <c r="C66" i="52"/>
  <c r="F66" i="52"/>
  <c r="E66" i="52"/>
  <c r="A104" i="52"/>
  <c r="G104" i="52"/>
  <c r="F104" i="52"/>
  <c r="B104" i="52"/>
  <c r="E104" i="52"/>
  <c r="C104" i="52"/>
  <c r="G55" i="52"/>
  <c r="C55" i="52"/>
  <c r="A55" i="52"/>
  <c r="F55" i="52"/>
  <c r="E55" i="52"/>
  <c r="B55" i="52"/>
  <c r="A28" i="52"/>
  <c r="C28" i="52"/>
  <c r="E28" i="52"/>
  <c r="F28" i="52"/>
  <c r="G28" i="52"/>
  <c r="B28" i="52"/>
  <c r="E51" i="52"/>
  <c r="G51" i="52"/>
  <c r="C51" i="52"/>
  <c r="B51" i="52"/>
  <c r="F51" i="52"/>
  <c r="A51" i="52"/>
  <c r="B67" i="52"/>
  <c r="A67" i="52"/>
  <c r="C67" i="52"/>
  <c r="F67" i="52"/>
  <c r="E67" i="52"/>
  <c r="G67" i="52"/>
  <c r="E89" i="52"/>
  <c r="C89" i="52"/>
  <c r="B89" i="52"/>
  <c r="F89" i="52"/>
  <c r="A89" i="52"/>
  <c r="G89" i="52"/>
  <c r="B85" i="52"/>
  <c r="G85" i="52"/>
  <c r="E85" i="52"/>
  <c r="A85" i="52"/>
  <c r="F85" i="52"/>
  <c r="C85" i="52"/>
  <c r="E58" i="52"/>
  <c r="G58" i="52"/>
  <c r="F58" i="52"/>
  <c r="A58" i="52"/>
  <c r="C58" i="52"/>
  <c r="B58" i="52"/>
  <c r="C47" i="52"/>
  <c r="G47" i="52"/>
  <c r="E47" i="52"/>
  <c r="F47" i="52"/>
  <c r="A47" i="52"/>
  <c r="B47" i="52"/>
  <c r="G115" i="52"/>
  <c r="A115" i="52"/>
  <c r="C115" i="52"/>
  <c r="F115" i="52"/>
  <c r="E115" i="52"/>
  <c r="B115" i="52"/>
  <c r="E93" i="52"/>
  <c r="G93" i="52"/>
  <c r="A93" i="52"/>
  <c r="B93" i="52"/>
  <c r="F93" i="52"/>
  <c r="C93" i="52"/>
  <c r="E73" i="52"/>
  <c r="C73" i="52"/>
  <c r="F73" i="52"/>
  <c r="G73" i="52"/>
  <c r="B73" i="52"/>
  <c r="A73" i="52"/>
  <c r="A96" i="52"/>
  <c r="C96" i="52"/>
  <c r="G96" i="52"/>
  <c r="B96" i="52"/>
  <c r="E96" i="52"/>
  <c r="F96" i="52"/>
  <c r="C78" i="52"/>
  <c r="B78" i="52"/>
  <c r="A78" i="52"/>
  <c r="F78" i="52"/>
  <c r="E78" i="52"/>
  <c r="G78" i="52"/>
  <c r="E13" i="52"/>
  <c r="A13" i="52"/>
  <c r="F13" i="52"/>
  <c r="C13" i="52"/>
  <c r="B13" i="52"/>
  <c r="G13" i="52"/>
  <c r="E46" i="52"/>
  <c r="B46" i="52"/>
  <c r="F46" i="52"/>
  <c r="A46" i="52"/>
  <c r="G46" i="52"/>
  <c r="C46" i="52"/>
  <c r="E14" i="52"/>
  <c r="F14" i="52"/>
  <c r="B14" i="52"/>
  <c r="G14" i="52"/>
  <c r="C14" i="52"/>
  <c r="A14" i="52"/>
  <c r="C4" i="52"/>
  <c r="E77" i="52"/>
  <c r="A77" i="52"/>
  <c r="C77" i="52"/>
  <c r="F77" i="52"/>
  <c r="G77" i="52"/>
  <c r="B77" i="52"/>
  <c r="E37" i="52"/>
  <c r="B37" i="52"/>
  <c r="C37" i="52"/>
  <c r="F37" i="52"/>
  <c r="G37" i="52"/>
  <c r="A37" i="52"/>
  <c r="F3" i="52"/>
  <c r="B3" i="52"/>
  <c r="C3" i="52"/>
  <c r="A3" i="52"/>
  <c r="G3" i="52"/>
  <c r="E3" i="52"/>
  <c r="E83" i="52"/>
  <c r="B83" i="52"/>
  <c r="A83" i="52"/>
  <c r="C83" i="52"/>
  <c r="G83" i="52"/>
  <c r="F83" i="52"/>
  <c r="C40" i="52"/>
  <c r="B40" i="52"/>
  <c r="E40" i="52"/>
  <c r="F40" i="52"/>
  <c r="G40" i="52"/>
  <c r="A40" i="52"/>
  <c r="E54" i="52"/>
  <c r="F54" i="52"/>
  <c r="A54" i="52"/>
  <c r="C54" i="52"/>
  <c r="B54" i="52"/>
  <c r="G54" i="52"/>
  <c r="E44" i="52"/>
  <c r="A44" i="52"/>
  <c r="G44" i="52"/>
  <c r="B44" i="52"/>
  <c r="C44" i="52"/>
  <c r="F44" i="52"/>
  <c r="F16" i="52"/>
  <c r="C16" i="52"/>
  <c r="E16" i="52"/>
  <c r="G16" i="52"/>
  <c r="B16" i="52"/>
  <c r="A16" i="52"/>
  <c r="E70" i="52"/>
  <c r="A70" i="52"/>
  <c r="F70" i="52"/>
  <c r="G70" i="52"/>
  <c r="B70" i="52"/>
  <c r="C70" i="52"/>
  <c r="G56" i="52"/>
  <c r="B56" i="52"/>
  <c r="C56" i="52"/>
  <c r="F56" i="52"/>
  <c r="E56" i="52"/>
  <c r="A56" i="52"/>
  <c r="E69" i="52"/>
  <c r="B69" i="52"/>
  <c r="G69" i="52"/>
  <c r="F69" i="52"/>
  <c r="A69" i="52"/>
  <c r="C69" i="52"/>
  <c r="G50" i="52"/>
  <c r="C50" i="52"/>
  <c r="E50" i="52"/>
  <c r="B50" i="52"/>
  <c r="F50" i="52"/>
  <c r="A50" i="52"/>
  <c r="E27" i="52"/>
  <c r="C27" i="52"/>
  <c r="F27" i="52"/>
  <c r="B27" i="52"/>
  <c r="G27" i="52"/>
  <c r="A27" i="52"/>
  <c r="E99" i="52"/>
  <c r="F99" i="52"/>
  <c r="A99" i="52"/>
  <c r="B99" i="52"/>
  <c r="C99" i="52"/>
  <c r="G99" i="52"/>
  <c r="E39" i="52"/>
  <c r="F39" i="52"/>
  <c r="C39" i="52"/>
  <c r="G39" i="52"/>
  <c r="A39" i="52"/>
  <c r="B39" i="52"/>
  <c r="E88" i="52"/>
  <c r="B88" i="52"/>
  <c r="F88" i="52"/>
  <c r="G88" i="52"/>
  <c r="A88" i="52"/>
  <c r="C88" i="52"/>
  <c r="C41" i="52"/>
  <c r="G41" i="52"/>
  <c r="E41" i="52"/>
  <c r="F41" i="52"/>
  <c r="B41" i="52"/>
  <c r="A41" i="52"/>
  <c r="C23" i="52"/>
  <c r="A23" i="52"/>
  <c r="G23" i="52"/>
  <c r="B23" i="52"/>
  <c r="E23" i="52"/>
  <c r="F23" i="52"/>
  <c r="E116" i="52"/>
  <c r="C116" i="52"/>
  <c r="B116" i="52"/>
  <c r="A116" i="52"/>
  <c r="G116" i="52"/>
  <c r="F116" i="52"/>
  <c r="A17" i="52"/>
  <c r="E102" i="52"/>
  <c r="B102" i="52"/>
  <c r="A102" i="52"/>
  <c r="F102" i="52"/>
  <c r="C102" i="52"/>
  <c r="G102" i="52"/>
  <c r="C112" i="52"/>
  <c r="F112" i="52"/>
  <c r="E112" i="52"/>
  <c r="B112" i="52"/>
  <c r="G112" i="52"/>
  <c r="A112" i="52"/>
  <c r="E74" i="52"/>
  <c r="C74" i="52"/>
  <c r="B74" i="52"/>
  <c r="A74" i="52"/>
  <c r="G74" i="52"/>
  <c r="F74" i="52"/>
  <c r="B29" i="52"/>
  <c r="A29" i="52"/>
  <c r="F29" i="52"/>
  <c r="G29" i="52"/>
  <c r="E29" i="52"/>
  <c r="C29" i="52"/>
  <c r="C15" i="52"/>
  <c r="F15" i="52"/>
  <c r="B15" i="52"/>
  <c r="A15" i="52"/>
  <c r="E15" i="52"/>
  <c r="G15" i="52"/>
  <c r="F113" i="52"/>
  <c r="C113" i="52"/>
  <c r="G113" i="52"/>
  <c r="A113" i="52"/>
  <c r="E113" i="52"/>
  <c r="B113" i="52"/>
  <c r="F109" i="52"/>
  <c r="C109" i="52"/>
  <c r="E38" i="52"/>
  <c r="B25" i="52"/>
  <c r="A81" i="52"/>
  <c r="B81" i="52"/>
  <c r="E81" i="52"/>
  <c r="F81" i="52"/>
  <c r="G81" i="52"/>
  <c r="C81" i="52"/>
  <c r="B49" i="52"/>
  <c r="F49" i="52"/>
  <c r="E49" i="52"/>
  <c r="A49" i="52"/>
  <c r="C49" i="52"/>
  <c r="G49" i="52"/>
  <c r="C86" i="52"/>
  <c r="B86" i="52"/>
  <c r="F86" i="52"/>
  <c r="G86" i="52"/>
  <c r="E86" i="52"/>
  <c r="A86" i="52"/>
  <c r="A9" i="52"/>
  <c r="C9" i="52"/>
  <c r="E9" i="52"/>
  <c r="B9" i="52"/>
  <c r="F9" i="52"/>
  <c r="G9" i="52"/>
  <c r="B26" i="52"/>
  <c r="F26" i="52"/>
  <c r="E26" i="52"/>
  <c r="C26" i="52"/>
  <c r="A26" i="52"/>
  <c r="G26" i="52"/>
  <c r="E65" i="52"/>
  <c r="F65" i="52"/>
  <c r="B65" i="52"/>
  <c r="A65" i="52"/>
  <c r="G65" i="52"/>
  <c r="C65" i="52"/>
  <c r="F94" i="52"/>
  <c r="C94" i="52"/>
  <c r="E94" i="52"/>
  <c r="B94" i="52"/>
  <c r="G94" i="52"/>
  <c r="A94" i="52"/>
  <c r="E95" i="52"/>
  <c r="F95" i="52"/>
  <c r="B95" i="52"/>
  <c r="G95" i="52"/>
  <c r="A95" i="52"/>
  <c r="C95" i="52"/>
  <c r="B120" i="52"/>
  <c r="C120" i="52"/>
  <c r="G120" i="52"/>
  <c r="F120" i="52"/>
  <c r="E120" i="52"/>
  <c r="A120" i="52"/>
  <c r="G72" i="52"/>
  <c r="E72" i="52"/>
  <c r="C72" i="52"/>
  <c r="F72" i="52"/>
  <c r="A72" i="52"/>
  <c r="B72" i="52"/>
  <c r="F32" i="52"/>
  <c r="B32" i="52"/>
  <c r="C32" i="52"/>
  <c r="G32" i="52"/>
  <c r="E32" i="52"/>
  <c r="A32" i="52"/>
  <c r="B33" i="52"/>
  <c r="C33" i="52"/>
  <c r="A33" i="52"/>
  <c r="G33" i="52"/>
  <c r="E33" i="52"/>
  <c r="F33" i="52"/>
  <c r="G59" i="52"/>
  <c r="E59" i="52"/>
  <c r="C59" i="52"/>
  <c r="F59" i="52"/>
  <c r="B59" i="52"/>
  <c r="A59" i="52"/>
  <c r="E98" i="52"/>
  <c r="A98" i="52"/>
  <c r="G98" i="52"/>
  <c r="B98" i="52"/>
  <c r="C98" i="52"/>
  <c r="F98" i="52"/>
  <c r="F61" i="52"/>
  <c r="C61" i="52"/>
  <c r="A61" i="52"/>
  <c r="G61" i="52"/>
  <c r="E61" i="52"/>
  <c r="B61" i="52"/>
  <c r="E20" i="52"/>
  <c r="J107" i="52"/>
  <c r="O107" i="52"/>
  <c r="K107" i="52"/>
  <c r="H107" i="52"/>
  <c r="Q107" i="52"/>
  <c r="P107" i="52"/>
  <c r="M107" i="52"/>
  <c r="I107" i="52"/>
  <c r="L107" i="52"/>
  <c r="N107" i="52"/>
  <c r="E108" i="52"/>
  <c r="C108" i="52"/>
  <c r="B108" i="52"/>
  <c r="F108" i="52"/>
  <c r="A108" i="52"/>
  <c r="G108" i="52"/>
  <c r="G75" i="52"/>
  <c r="C75" i="52"/>
  <c r="B75" i="52"/>
  <c r="F75" i="52"/>
  <c r="E75" i="52"/>
  <c r="A75" i="52"/>
  <c r="E79" i="52"/>
  <c r="C79" i="52"/>
  <c r="B79" i="52"/>
  <c r="A79" i="52"/>
  <c r="G79" i="52"/>
  <c r="F79" i="52"/>
  <c r="C68" i="52"/>
  <c r="G68" i="52"/>
  <c r="A68" i="52"/>
  <c r="E68" i="52"/>
  <c r="F68" i="52"/>
  <c r="B68" i="52"/>
  <c r="B101" i="52"/>
  <c r="C101" i="52"/>
  <c r="G101" i="52"/>
  <c r="F101" i="52"/>
  <c r="E101" i="52"/>
  <c r="A101" i="52"/>
  <c r="C45" i="52"/>
  <c r="E45" i="52"/>
  <c r="F45" i="52"/>
  <c r="B45" i="52"/>
  <c r="A45" i="52"/>
  <c r="G45" i="52"/>
  <c r="B91" i="52"/>
  <c r="A91" i="52"/>
  <c r="G91" i="52"/>
  <c r="F91" i="52"/>
  <c r="C91" i="52"/>
  <c r="E91" i="52"/>
  <c r="G105" i="52"/>
  <c r="B105" i="52"/>
  <c r="E105" i="52"/>
  <c r="C105" i="52"/>
  <c r="A105" i="52"/>
  <c r="F105" i="52"/>
  <c r="E121" i="52"/>
  <c r="C121" i="52"/>
  <c r="F121" i="52"/>
  <c r="G121" i="52"/>
  <c r="B121" i="52"/>
  <c r="A121" i="52"/>
  <c r="G10" i="52"/>
  <c r="C10" i="52"/>
  <c r="E10" i="52"/>
  <c r="F10" i="52"/>
  <c r="A10" i="52"/>
  <c r="B10" i="52"/>
  <c r="N97" i="52"/>
  <c r="H97" i="52"/>
  <c r="P97" i="52"/>
  <c r="L97" i="52"/>
  <c r="I97" i="52"/>
  <c r="K97" i="52"/>
  <c r="J97" i="52"/>
  <c r="M97" i="52"/>
  <c r="O97" i="52"/>
  <c r="Q97" i="52"/>
  <c r="E24" i="52"/>
  <c r="A24" i="52"/>
  <c r="G24" i="52"/>
  <c r="C24" i="52"/>
  <c r="F24" i="52"/>
  <c r="B24" i="52"/>
  <c r="J87" i="52"/>
  <c r="Q87" i="52"/>
  <c r="H87" i="52"/>
  <c r="A100" i="52"/>
  <c r="C100" i="52"/>
  <c r="B100" i="52"/>
  <c r="E100" i="52"/>
  <c r="G100" i="52"/>
  <c r="F100" i="52"/>
  <c r="E21" i="52"/>
  <c r="C21" i="52"/>
  <c r="G21" i="52"/>
  <c r="B21" i="52"/>
  <c r="A21" i="52"/>
  <c r="F21" i="52"/>
  <c r="C118" i="52"/>
  <c r="G118" i="52"/>
  <c r="F118" i="52"/>
  <c r="B118" i="52"/>
  <c r="E118" i="52"/>
  <c r="A118" i="52"/>
  <c r="E57" i="52"/>
  <c r="A57" i="52"/>
  <c r="C57" i="52"/>
  <c r="B57" i="52"/>
  <c r="G57" i="52"/>
  <c r="F57" i="52"/>
  <c r="E18" i="52"/>
  <c r="C18" i="52"/>
  <c r="B18" i="52"/>
  <c r="F18" i="52"/>
  <c r="A18" i="52"/>
  <c r="G18" i="52"/>
  <c r="A34" i="52"/>
  <c r="F34" i="52"/>
  <c r="C34" i="52"/>
  <c r="G34" i="52"/>
  <c r="E34" i="52"/>
  <c r="B34" i="52"/>
  <c r="C7" i="52" l="1"/>
  <c r="C25" i="52"/>
  <c r="C38" i="52"/>
  <c r="E7" i="52"/>
  <c r="E4" i="52"/>
  <c r="P4" i="52" s="1"/>
  <c r="F30" i="52"/>
  <c r="F22" i="21"/>
  <c r="B22" i="21"/>
  <c r="I22" i="21"/>
  <c r="K22" i="21"/>
  <c r="G22" i="21"/>
  <c r="H22" i="21"/>
  <c r="O22" i="21"/>
  <c r="D22" i="21"/>
  <c r="A22" i="21" s="1"/>
  <c r="N22" i="21"/>
  <c r="M22" i="21"/>
  <c r="C22" i="21"/>
  <c r="J22" i="21"/>
  <c r="L22" i="21"/>
  <c r="AD15" i="51"/>
  <c r="J19" i="51"/>
  <c r="O12" i="21"/>
  <c r="F12" i="21"/>
  <c r="G12" i="21"/>
  <c r="C12" i="21"/>
  <c r="D12" i="21"/>
  <c r="A12" i="21" s="1"/>
  <c r="J12" i="21"/>
  <c r="B12" i="21"/>
  <c r="H12" i="21"/>
  <c r="I12" i="21"/>
  <c r="L12" i="21"/>
  <c r="N12" i="21"/>
  <c r="K12" i="21"/>
  <c r="M12" i="21"/>
  <c r="G17" i="52"/>
  <c r="G4" i="52"/>
  <c r="B30" i="52"/>
  <c r="D21" i="21"/>
  <c r="A21" i="21" s="1"/>
  <c r="N21" i="21"/>
  <c r="H21" i="21"/>
  <c r="B21" i="21"/>
  <c r="G21" i="21"/>
  <c r="J21" i="21"/>
  <c r="I21" i="21"/>
  <c r="M21" i="21"/>
  <c r="F21" i="21"/>
  <c r="C21" i="21"/>
  <c r="O21" i="21"/>
  <c r="L21" i="21"/>
  <c r="K21" i="21"/>
  <c r="AF8" i="51"/>
  <c r="J12" i="51"/>
  <c r="F25" i="52"/>
  <c r="B38" i="52"/>
  <c r="E17" i="52"/>
  <c r="I17" i="52" s="1"/>
  <c r="G7" i="52"/>
  <c r="E30" i="52"/>
  <c r="I11" i="21"/>
  <c r="K11" i="21" s="1"/>
  <c r="B11" i="21"/>
  <c r="D11" i="21"/>
  <c r="A11" i="21" s="1"/>
  <c r="F11" i="21"/>
  <c r="A23" i="21"/>
  <c r="G11" i="21"/>
  <c r="H11" i="21"/>
  <c r="J11" i="21" s="1"/>
  <c r="C11" i="21"/>
  <c r="I15" i="21"/>
  <c r="C15" i="21"/>
  <c r="H15" i="21"/>
  <c r="J15" i="21"/>
  <c r="D15" i="21"/>
  <c r="A15" i="21" s="1"/>
  <c r="F15" i="21"/>
  <c r="M15" i="21"/>
  <c r="G15" i="21"/>
  <c r="L15" i="21"/>
  <c r="K15" i="21"/>
  <c r="O15" i="21"/>
  <c r="N15" i="21"/>
  <c r="B15" i="21"/>
  <c r="C16" i="21"/>
  <c r="D16" i="21"/>
  <c r="A16" i="21" s="1"/>
  <c r="H16" i="21"/>
  <c r="M16" i="21"/>
  <c r="K16" i="21"/>
  <c r="F16" i="21"/>
  <c r="O16" i="21"/>
  <c r="B16" i="21"/>
  <c r="N16" i="21"/>
  <c r="G16" i="21"/>
  <c r="J16" i="21"/>
  <c r="L16" i="21"/>
  <c r="I16" i="21"/>
  <c r="C19" i="21"/>
  <c r="F19" i="21"/>
  <c r="O19" i="21"/>
  <c r="N19" i="21"/>
  <c r="M19" i="21"/>
  <c r="J19" i="21"/>
  <c r="H19" i="21"/>
  <c r="I19" i="21"/>
  <c r="L19" i="21"/>
  <c r="G19" i="21"/>
  <c r="K19" i="21"/>
  <c r="D19" i="21"/>
  <c r="A19" i="21" s="1"/>
  <c r="B19" i="21"/>
  <c r="J16" i="51"/>
  <c r="AF12" i="51"/>
  <c r="G38" i="52"/>
  <c r="B109" i="52"/>
  <c r="A20" i="52"/>
  <c r="A25" i="52"/>
  <c r="F38" i="52"/>
  <c r="F17" i="52"/>
  <c r="F7" i="52"/>
  <c r="G30" i="52"/>
  <c r="B27" i="51"/>
  <c r="J11" i="51"/>
  <c r="AD7" i="51"/>
  <c r="AD13" i="51"/>
  <c r="J17" i="51"/>
  <c r="F13" i="21"/>
  <c r="K13" i="21"/>
  <c r="M13" i="21"/>
  <c r="G13" i="21"/>
  <c r="O13" i="21"/>
  <c r="C13" i="21"/>
  <c r="J13" i="21"/>
  <c r="N13" i="21"/>
  <c r="H13" i="21"/>
  <c r="L13" i="21"/>
  <c r="B13" i="21"/>
  <c r="D13" i="21"/>
  <c r="A13" i="21" s="1"/>
  <c r="I13" i="21"/>
  <c r="M14" i="21"/>
  <c r="D14" i="21"/>
  <c r="A14" i="21" s="1"/>
  <c r="L14" i="21"/>
  <c r="H14" i="21"/>
  <c r="O14" i="21"/>
  <c r="J14" i="21"/>
  <c r="B14" i="21"/>
  <c r="N14" i="21"/>
  <c r="C14" i="21"/>
  <c r="K14" i="21"/>
  <c r="I14" i="21"/>
  <c r="F14" i="21"/>
  <c r="G14" i="21"/>
  <c r="B20" i="52"/>
  <c r="G25" i="52"/>
  <c r="G109" i="52"/>
  <c r="A7" i="52"/>
  <c r="F4" i="52"/>
  <c r="C30" i="52"/>
  <c r="L18" i="21"/>
  <c r="M18" i="21"/>
  <c r="J18" i="21"/>
  <c r="K18" i="21"/>
  <c r="I18" i="21"/>
  <c r="D18" i="21"/>
  <c r="A18" i="21" s="1"/>
  <c r="H18" i="21"/>
  <c r="O18" i="21"/>
  <c r="N18" i="21"/>
  <c r="B18" i="21"/>
  <c r="F18" i="21"/>
  <c r="C18" i="21"/>
  <c r="G18" i="21"/>
  <c r="J15" i="51"/>
  <c r="AD11" i="51"/>
  <c r="AF10" i="51"/>
  <c r="J14" i="51"/>
  <c r="C90" i="52"/>
  <c r="A90" i="52"/>
  <c r="G90" i="52"/>
  <c r="E90" i="52"/>
  <c r="B90" i="52"/>
  <c r="F90" i="52"/>
  <c r="AD17" i="51"/>
  <c r="J21" i="51"/>
  <c r="J22" i="51"/>
  <c r="AF18" i="51"/>
  <c r="B17" i="52"/>
  <c r="G20" i="52"/>
  <c r="F20" i="52"/>
  <c r="E109" i="52"/>
  <c r="I109" i="52" s="1"/>
  <c r="B4" i="52"/>
  <c r="J20" i="51"/>
  <c r="AF16" i="51"/>
  <c r="K17" i="21"/>
  <c r="O17" i="21"/>
  <c r="L17" i="21"/>
  <c r="J17" i="21"/>
  <c r="F17" i="21"/>
  <c r="M17" i="21"/>
  <c r="B17" i="21"/>
  <c r="I17" i="21"/>
  <c r="G17" i="21"/>
  <c r="N17" i="21"/>
  <c r="C17" i="21"/>
  <c r="H17" i="21"/>
  <c r="D17" i="21"/>
  <c r="A17" i="21" s="1"/>
  <c r="G20" i="21"/>
  <c r="I20" i="21"/>
  <c r="D20" i="21"/>
  <c r="A20" i="21" s="1"/>
  <c r="C20" i="21"/>
  <c r="B20" i="21"/>
  <c r="M20" i="21"/>
  <c r="J20" i="21"/>
  <c r="O20" i="21"/>
  <c r="N20" i="21"/>
  <c r="L20" i="21"/>
  <c r="H20" i="21"/>
  <c r="F20" i="21"/>
  <c r="K20" i="21"/>
  <c r="J13" i="51"/>
  <c r="AD9" i="51"/>
  <c r="J18" i="51"/>
  <c r="AF14" i="51"/>
  <c r="Q43" i="52"/>
  <c r="H43" i="52"/>
  <c r="M43" i="52"/>
  <c r="L43" i="52"/>
  <c r="I43" i="52"/>
  <c r="P43" i="52"/>
  <c r="N43" i="52"/>
  <c r="L118" i="32"/>
  <c r="Q16" i="51"/>
  <c r="Y17" i="51"/>
  <c r="U18" i="51" s="1"/>
  <c r="O87" i="52"/>
  <c r="K87" i="52"/>
  <c r="P87" i="52"/>
  <c r="N87" i="52"/>
  <c r="L87" i="52"/>
  <c r="I87" i="52"/>
  <c r="O43" i="52"/>
  <c r="J43" i="52"/>
  <c r="H105" i="52"/>
  <c r="O105" i="52"/>
  <c r="Q105" i="52"/>
  <c r="M105" i="52"/>
  <c r="J105" i="52"/>
  <c r="K105" i="52"/>
  <c r="L105" i="52"/>
  <c r="P105" i="52"/>
  <c r="I105" i="52"/>
  <c r="N105" i="52"/>
  <c r="O33" i="52"/>
  <c r="M33" i="52"/>
  <c r="H33" i="52"/>
  <c r="N33" i="52"/>
  <c r="Q33" i="52"/>
  <c r="I33" i="52"/>
  <c r="L33" i="52"/>
  <c r="J33" i="52"/>
  <c r="K33" i="52"/>
  <c r="P33" i="52"/>
  <c r="K74" i="52"/>
  <c r="P74" i="52"/>
  <c r="L74" i="52"/>
  <c r="M74" i="52"/>
  <c r="O74" i="52"/>
  <c r="Q74" i="52"/>
  <c r="H74" i="52"/>
  <c r="N74" i="52"/>
  <c r="I74" i="52"/>
  <c r="J74" i="52"/>
  <c r="M27" i="52"/>
  <c r="J27" i="52"/>
  <c r="P27" i="52"/>
  <c r="Q27" i="52"/>
  <c r="H27" i="52"/>
  <c r="N27" i="52"/>
  <c r="K27" i="52"/>
  <c r="O27" i="52"/>
  <c r="I27" i="52"/>
  <c r="L27" i="52"/>
  <c r="L54" i="52"/>
  <c r="N54" i="52"/>
  <c r="J54" i="52"/>
  <c r="O54" i="52"/>
  <c r="I54" i="52"/>
  <c r="K54" i="52"/>
  <c r="M54" i="52"/>
  <c r="P54" i="52"/>
  <c r="Q54" i="52"/>
  <c r="H54" i="52"/>
  <c r="I37" i="52"/>
  <c r="O37" i="52"/>
  <c r="N37" i="52"/>
  <c r="K37" i="52"/>
  <c r="M37" i="52"/>
  <c r="H37" i="52"/>
  <c r="J37" i="52"/>
  <c r="Q37" i="52"/>
  <c r="P37" i="52"/>
  <c r="L37" i="52"/>
  <c r="J46" i="52"/>
  <c r="L46" i="52"/>
  <c r="Q46" i="52"/>
  <c r="O46" i="52"/>
  <c r="N46" i="52"/>
  <c r="H46" i="52"/>
  <c r="P46" i="52"/>
  <c r="K46" i="52"/>
  <c r="M46" i="52"/>
  <c r="I46" i="52"/>
  <c r="M96" i="52"/>
  <c r="L96" i="52"/>
  <c r="J96" i="52"/>
  <c r="Q96" i="52"/>
  <c r="K96" i="52"/>
  <c r="I96" i="52"/>
  <c r="P96" i="52"/>
  <c r="O96" i="52"/>
  <c r="H96" i="52"/>
  <c r="N96" i="52"/>
  <c r="L93" i="52"/>
  <c r="H93" i="52"/>
  <c r="I93" i="52"/>
  <c r="P93" i="52"/>
  <c r="N93" i="52"/>
  <c r="J93" i="52"/>
  <c r="M93" i="52"/>
  <c r="K93" i="52"/>
  <c r="O93" i="52"/>
  <c r="Q93" i="52"/>
  <c r="H67" i="52"/>
  <c r="P67" i="52"/>
  <c r="O67" i="52"/>
  <c r="I67" i="52"/>
  <c r="K67" i="52"/>
  <c r="N67" i="52"/>
  <c r="J67" i="52"/>
  <c r="Q67" i="52"/>
  <c r="L67" i="52"/>
  <c r="M67" i="52"/>
  <c r="I51" i="52"/>
  <c r="L51" i="52"/>
  <c r="O51" i="52"/>
  <c r="P51" i="52"/>
  <c r="H51" i="52"/>
  <c r="M51" i="52"/>
  <c r="N51" i="52"/>
  <c r="J51" i="52"/>
  <c r="K51" i="52"/>
  <c r="Q51" i="52"/>
  <c r="O55" i="52"/>
  <c r="H55" i="52"/>
  <c r="J55" i="52"/>
  <c r="P55" i="52"/>
  <c r="K55" i="52"/>
  <c r="Q55" i="52"/>
  <c r="N55" i="52"/>
  <c r="L55" i="52"/>
  <c r="I55" i="52"/>
  <c r="M55" i="52"/>
  <c r="M8" i="52"/>
  <c r="K8" i="52"/>
  <c r="O8" i="52"/>
  <c r="I8" i="52"/>
  <c r="N8" i="52"/>
  <c r="Q8" i="52"/>
  <c r="L8" i="52"/>
  <c r="J8" i="52"/>
  <c r="H8" i="52"/>
  <c r="P8" i="52"/>
  <c r="K71" i="52"/>
  <c r="I71" i="52"/>
  <c r="O71" i="52"/>
  <c r="L71" i="52"/>
  <c r="M71" i="52"/>
  <c r="P71" i="52"/>
  <c r="Q71" i="52"/>
  <c r="J71" i="52"/>
  <c r="H71" i="52"/>
  <c r="N71" i="52"/>
  <c r="K75" i="52"/>
  <c r="H75" i="52"/>
  <c r="O75" i="52"/>
  <c r="I75" i="52"/>
  <c r="Q75" i="52"/>
  <c r="P75" i="52"/>
  <c r="M75" i="52"/>
  <c r="J75" i="52"/>
  <c r="L75" i="52"/>
  <c r="N75" i="52"/>
  <c r="O120" i="52"/>
  <c r="J120" i="52"/>
  <c r="N120" i="52"/>
  <c r="H120" i="52"/>
  <c r="I120" i="52"/>
  <c r="K120" i="52"/>
  <c r="P120" i="52"/>
  <c r="Q120" i="52"/>
  <c r="M120" i="52"/>
  <c r="L120" i="52"/>
  <c r="P9" i="52"/>
  <c r="N9" i="52"/>
  <c r="Q9" i="52"/>
  <c r="K9" i="52"/>
  <c r="J9" i="52"/>
  <c r="O9" i="52"/>
  <c r="M9" i="52"/>
  <c r="L9" i="52"/>
  <c r="I9" i="52"/>
  <c r="H9" i="52"/>
  <c r="O113" i="52"/>
  <c r="H113" i="52"/>
  <c r="K113" i="52"/>
  <c r="P113" i="52"/>
  <c r="M113" i="52"/>
  <c r="J113" i="52"/>
  <c r="I113" i="52"/>
  <c r="N113" i="52"/>
  <c r="L113" i="52"/>
  <c r="Q113" i="52"/>
  <c r="J23" i="52"/>
  <c r="I23" i="52"/>
  <c r="K23" i="52"/>
  <c r="P23" i="52"/>
  <c r="N23" i="52"/>
  <c r="O23" i="52"/>
  <c r="M23" i="52"/>
  <c r="Q23" i="52"/>
  <c r="H23" i="52"/>
  <c r="L23" i="52"/>
  <c r="K41" i="52"/>
  <c r="P41" i="52"/>
  <c r="Q41" i="52"/>
  <c r="O41" i="52"/>
  <c r="H41" i="52"/>
  <c r="J41" i="52"/>
  <c r="I41" i="52"/>
  <c r="N41" i="52"/>
  <c r="M41" i="52"/>
  <c r="L41" i="52"/>
  <c r="M64" i="52"/>
  <c r="J64" i="52"/>
  <c r="O64" i="52"/>
  <c r="L64" i="52"/>
  <c r="N64" i="52"/>
  <c r="K64" i="52"/>
  <c r="P64" i="52"/>
  <c r="I64" i="52"/>
  <c r="Q64" i="52"/>
  <c r="H64" i="52"/>
  <c r="M42" i="52"/>
  <c r="L42" i="52"/>
  <c r="O42" i="52"/>
  <c r="I42" i="52"/>
  <c r="K42" i="52"/>
  <c r="P42" i="52"/>
  <c r="N42" i="52"/>
  <c r="J42" i="52"/>
  <c r="H42" i="52"/>
  <c r="Q42" i="52"/>
  <c r="N5" i="52"/>
  <c r="O5" i="52"/>
  <c r="H5" i="52"/>
  <c r="K5" i="52"/>
  <c r="Q5" i="52"/>
  <c r="J5" i="52"/>
  <c r="P5" i="52"/>
  <c r="I5" i="52"/>
  <c r="L5" i="52"/>
  <c r="M5" i="52"/>
  <c r="N15" i="52"/>
  <c r="L15" i="52"/>
  <c r="K15" i="52"/>
  <c r="Q15" i="52"/>
  <c r="M15" i="52"/>
  <c r="J15" i="52"/>
  <c r="I15" i="52"/>
  <c r="O15" i="52"/>
  <c r="H15" i="52"/>
  <c r="P15" i="52"/>
  <c r="K100" i="52"/>
  <c r="P100" i="52"/>
  <c r="J100" i="52"/>
  <c r="I100" i="52"/>
  <c r="H100" i="52"/>
  <c r="Q100" i="52"/>
  <c r="L100" i="52"/>
  <c r="N100" i="52"/>
  <c r="M100" i="52"/>
  <c r="O100" i="52"/>
  <c r="K91" i="52"/>
  <c r="L91" i="52"/>
  <c r="H91" i="52"/>
  <c r="Q91" i="52"/>
  <c r="P91" i="52"/>
  <c r="N91" i="52"/>
  <c r="J91" i="52"/>
  <c r="I91" i="52"/>
  <c r="M91" i="52"/>
  <c r="O91" i="52"/>
  <c r="I99" i="52"/>
  <c r="Q99" i="52"/>
  <c r="L99" i="52"/>
  <c r="O99" i="52"/>
  <c r="N99" i="52"/>
  <c r="M99" i="52"/>
  <c r="P99" i="52"/>
  <c r="J99" i="52"/>
  <c r="K99" i="52"/>
  <c r="H99" i="52"/>
  <c r="Q16" i="52"/>
  <c r="M16" i="52"/>
  <c r="H16" i="52"/>
  <c r="I16" i="52"/>
  <c r="N16" i="52"/>
  <c r="K16" i="52"/>
  <c r="J16" i="52"/>
  <c r="P16" i="52"/>
  <c r="L16" i="52"/>
  <c r="O16" i="52"/>
  <c r="N44" i="52"/>
  <c r="J44" i="52"/>
  <c r="M44" i="52"/>
  <c r="O44" i="52"/>
  <c r="K44" i="52"/>
  <c r="L44" i="52"/>
  <c r="H44" i="52"/>
  <c r="I44" i="52"/>
  <c r="P44" i="52"/>
  <c r="Q44" i="52"/>
  <c r="O14" i="52"/>
  <c r="N14" i="52"/>
  <c r="L14" i="52"/>
  <c r="Q14" i="52"/>
  <c r="H14" i="52"/>
  <c r="M14" i="52"/>
  <c r="I14" i="52"/>
  <c r="K14" i="52"/>
  <c r="P14" i="52"/>
  <c r="J14" i="52"/>
  <c r="M78" i="52"/>
  <c r="L78" i="52"/>
  <c r="H78" i="52"/>
  <c r="O78" i="52"/>
  <c r="K78" i="52"/>
  <c r="Q78" i="52"/>
  <c r="N78" i="52"/>
  <c r="I78" i="52"/>
  <c r="J78" i="52"/>
  <c r="P78" i="52"/>
  <c r="J73" i="52"/>
  <c r="P73" i="52"/>
  <c r="L73" i="52"/>
  <c r="Q73" i="52"/>
  <c r="K73" i="52"/>
  <c r="N73" i="52"/>
  <c r="M73" i="52"/>
  <c r="O73" i="52"/>
  <c r="I73" i="52"/>
  <c r="H73" i="52"/>
  <c r="P115" i="52"/>
  <c r="J115" i="52"/>
  <c r="L115" i="52"/>
  <c r="K115" i="52"/>
  <c r="O115" i="52"/>
  <c r="M115" i="52"/>
  <c r="N115" i="52"/>
  <c r="H115" i="52"/>
  <c r="I115" i="52"/>
  <c r="Q115" i="52"/>
  <c r="H47" i="52"/>
  <c r="K47" i="52"/>
  <c r="M47" i="52"/>
  <c r="L47" i="52"/>
  <c r="P47" i="52"/>
  <c r="J47" i="52"/>
  <c r="Q47" i="52"/>
  <c r="O47" i="52"/>
  <c r="I47" i="52"/>
  <c r="N47" i="52"/>
  <c r="P58" i="52"/>
  <c r="O58" i="52"/>
  <c r="L58" i="52"/>
  <c r="H58" i="52"/>
  <c r="K58" i="52"/>
  <c r="M58" i="52"/>
  <c r="J58" i="52"/>
  <c r="Q58" i="52"/>
  <c r="N58" i="52"/>
  <c r="I58" i="52"/>
  <c r="L80" i="52"/>
  <c r="H80" i="52"/>
  <c r="J80" i="52"/>
  <c r="I80" i="52"/>
  <c r="N80" i="52"/>
  <c r="P80" i="52"/>
  <c r="O80" i="52"/>
  <c r="Q80" i="52"/>
  <c r="M80" i="52"/>
  <c r="K80" i="52"/>
  <c r="O52" i="52"/>
  <c r="Q52" i="52"/>
  <c r="M52" i="52"/>
  <c r="K52" i="52"/>
  <c r="L52" i="52"/>
  <c r="J52" i="52"/>
  <c r="I52" i="52"/>
  <c r="N52" i="52"/>
  <c r="H52" i="52"/>
  <c r="P52" i="52"/>
  <c r="N22" i="52"/>
  <c r="K22" i="52"/>
  <c r="P22" i="52"/>
  <c r="L22" i="52"/>
  <c r="H22" i="52"/>
  <c r="I22" i="52"/>
  <c r="O22" i="52"/>
  <c r="M22" i="52"/>
  <c r="Q22" i="52"/>
  <c r="J22" i="52"/>
  <c r="P12" i="52"/>
  <c r="Q12" i="52"/>
  <c r="L12" i="52"/>
  <c r="O12" i="52"/>
  <c r="I12" i="52"/>
  <c r="H12" i="52"/>
  <c r="J12" i="52"/>
  <c r="N12" i="52"/>
  <c r="M12" i="52"/>
  <c r="K12" i="52"/>
  <c r="N101" i="52"/>
  <c r="I101" i="52"/>
  <c r="H101" i="52"/>
  <c r="P101" i="52"/>
  <c r="O101" i="52"/>
  <c r="K101" i="52"/>
  <c r="Q101" i="52"/>
  <c r="J101" i="52"/>
  <c r="M101" i="52"/>
  <c r="L101" i="52"/>
  <c r="N65" i="52"/>
  <c r="I65" i="52"/>
  <c r="O65" i="52"/>
  <c r="Q65" i="52"/>
  <c r="J65" i="52"/>
  <c r="K65" i="52"/>
  <c r="M65" i="52"/>
  <c r="H65" i="52"/>
  <c r="P65" i="52"/>
  <c r="L65" i="52"/>
  <c r="M116" i="52"/>
  <c r="J116" i="52"/>
  <c r="L116" i="52"/>
  <c r="O116" i="52"/>
  <c r="H116" i="52"/>
  <c r="I116" i="52"/>
  <c r="K116" i="52"/>
  <c r="N116" i="52"/>
  <c r="Q116" i="52"/>
  <c r="P116" i="52"/>
  <c r="P34" i="52"/>
  <c r="M34" i="52"/>
  <c r="H34" i="52"/>
  <c r="J34" i="52"/>
  <c r="O34" i="52"/>
  <c r="N34" i="52"/>
  <c r="Q34" i="52"/>
  <c r="K34" i="52"/>
  <c r="L34" i="52"/>
  <c r="I34" i="52"/>
  <c r="J57" i="52"/>
  <c r="O57" i="52"/>
  <c r="M57" i="52"/>
  <c r="L57" i="52"/>
  <c r="N57" i="52"/>
  <c r="I57" i="52"/>
  <c r="Q57" i="52"/>
  <c r="H57" i="52"/>
  <c r="P57" i="52"/>
  <c r="K57" i="52"/>
  <c r="K10" i="52"/>
  <c r="I10" i="52"/>
  <c r="Q10" i="52"/>
  <c r="L10" i="52"/>
  <c r="M10" i="52"/>
  <c r="J10" i="52"/>
  <c r="H10" i="52"/>
  <c r="O10" i="52"/>
  <c r="N10" i="52"/>
  <c r="P10" i="52"/>
  <c r="O121" i="52"/>
  <c r="N121" i="52"/>
  <c r="Q121" i="52"/>
  <c r="I121" i="52"/>
  <c r="L121" i="52"/>
  <c r="K121" i="52"/>
  <c r="H121" i="52"/>
  <c r="M121" i="52"/>
  <c r="J121" i="52"/>
  <c r="P121" i="52"/>
  <c r="O108" i="52"/>
  <c r="N108" i="52"/>
  <c r="L108" i="52"/>
  <c r="Q108" i="52"/>
  <c r="K108" i="52"/>
  <c r="M108" i="52"/>
  <c r="H108" i="52"/>
  <c r="P108" i="52"/>
  <c r="I108" i="52"/>
  <c r="J108" i="52"/>
  <c r="Q95" i="52"/>
  <c r="K95" i="52"/>
  <c r="I95" i="52"/>
  <c r="M95" i="52"/>
  <c r="L95" i="52"/>
  <c r="P95" i="52"/>
  <c r="H95" i="52"/>
  <c r="J95" i="52"/>
  <c r="N95" i="52"/>
  <c r="O95" i="52"/>
  <c r="L26" i="52"/>
  <c r="I26" i="52"/>
  <c r="Q26" i="52"/>
  <c r="K26" i="52"/>
  <c r="N26" i="52"/>
  <c r="O26" i="52"/>
  <c r="H26" i="52"/>
  <c r="M26" i="52"/>
  <c r="P26" i="52"/>
  <c r="J26" i="52"/>
  <c r="H81" i="52"/>
  <c r="L81" i="52"/>
  <c r="P81" i="52"/>
  <c r="K81" i="52"/>
  <c r="I81" i="52"/>
  <c r="Q81" i="52"/>
  <c r="M81" i="52"/>
  <c r="J81" i="52"/>
  <c r="O81" i="52"/>
  <c r="N81" i="52"/>
  <c r="O25" i="52"/>
  <c r="H25" i="52"/>
  <c r="N25" i="52"/>
  <c r="L25" i="52"/>
  <c r="P25" i="52"/>
  <c r="M25" i="52"/>
  <c r="J25" i="52"/>
  <c r="Q25" i="52"/>
  <c r="K25" i="52"/>
  <c r="I25" i="52"/>
  <c r="K109" i="52"/>
  <c r="J112" i="52"/>
  <c r="N112" i="52"/>
  <c r="Q112" i="52"/>
  <c r="M112" i="52"/>
  <c r="I112" i="52"/>
  <c r="L112" i="52"/>
  <c r="P112" i="52"/>
  <c r="H112" i="52"/>
  <c r="K112" i="52"/>
  <c r="O112" i="52"/>
  <c r="P102" i="52"/>
  <c r="L102" i="52"/>
  <c r="O102" i="52"/>
  <c r="H102" i="52"/>
  <c r="K102" i="52"/>
  <c r="M102" i="52"/>
  <c r="N102" i="52"/>
  <c r="J102" i="52"/>
  <c r="Q102" i="52"/>
  <c r="I102" i="52"/>
  <c r="I66" i="52"/>
  <c r="H66" i="52"/>
  <c r="O66" i="52"/>
  <c r="K66" i="52"/>
  <c r="Q66" i="52"/>
  <c r="L66" i="52"/>
  <c r="P66" i="52"/>
  <c r="J66" i="52"/>
  <c r="M66" i="52"/>
  <c r="N66" i="52"/>
  <c r="N35" i="52"/>
  <c r="P35" i="52"/>
  <c r="J35" i="52"/>
  <c r="Q35" i="52"/>
  <c r="O35" i="52"/>
  <c r="H35" i="52"/>
  <c r="M35" i="52"/>
  <c r="K35" i="52"/>
  <c r="L35" i="52"/>
  <c r="I35" i="52"/>
  <c r="O11" i="52"/>
  <c r="J11" i="52"/>
  <c r="L11" i="52"/>
  <c r="Q11" i="52"/>
  <c r="K11" i="52"/>
  <c r="M11" i="52"/>
  <c r="I11" i="52"/>
  <c r="N11" i="52"/>
  <c r="P11" i="52"/>
  <c r="H11" i="52"/>
  <c r="H6" i="52"/>
  <c r="L6" i="52"/>
  <c r="P6" i="52"/>
  <c r="Q6" i="52"/>
  <c r="O6" i="52"/>
  <c r="N6" i="52"/>
  <c r="J6" i="52"/>
  <c r="K6" i="52"/>
  <c r="M6" i="52"/>
  <c r="I6" i="52"/>
  <c r="J98" i="52"/>
  <c r="I98" i="52"/>
  <c r="M98" i="52"/>
  <c r="N98" i="52"/>
  <c r="H98" i="52"/>
  <c r="O98" i="52"/>
  <c r="K98" i="52"/>
  <c r="P98" i="52"/>
  <c r="Q98" i="52"/>
  <c r="L98" i="52"/>
  <c r="N45" i="52"/>
  <c r="J45" i="52"/>
  <c r="I45" i="52"/>
  <c r="K45" i="52"/>
  <c r="Q45" i="52"/>
  <c r="L45" i="52"/>
  <c r="O45" i="52"/>
  <c r="P45" i="52"/>
  <c r="H45" i="52"/>
  <c r="M45" i="52"/>
  <c r="H59" i="52"/>
  <c r="K59" i="52"/>
  <c r="M59" i="52"/>
  <c r="N59" i="52"/>
  <c r="I59" i="52"/>
  <c r="J59" i="52"/>
  <c r="L59" i="52"/>
  <c r="Q59" i="52"/>
  <c r="O59" i="52"/>
  <c r="P59" i="52"/>
  <c r="K39" i="52"/>
  <c r="I39" i="52"/>
  <c r="M39" i="52"/>
  <c r="J39" i="52"/>
  <c r="H39" i="52"/>
  <c r="Q39" i="52"/>
  <c r="P39" i="52"/>
  <c r="N39" i="52"/>
  <c r="L39" i="52"/>
  <c r="O39" i="52"/>
  <c r="H50" i="52"/>
  <c r="Q50" i="52"/>
  <c r="O50" i="52"/>
  <c r="P50" i="52"/>
  <c r="N50" i="52"/>
  <c r="K50" i="52"/>
  <c r="L50" i="52"/>
  <c r="M50" i="52"/>
  <c r="I50" i="52"/>
  <c r="J50" i="52"/>
  <c r="P69" i="52"/>
  <c r="I69" i="52"/>
  <c r="H69" i="52"/>
  <c r="M69" i="52"/>
  <c r="L69" i="52"/>
  <c r="O69" i="52"/>
  <c r="J69" i="52"/>
  <c r="N69" i="52"/>
  <c r="K69" i="52"/>
  <c r="Q69" i="52"/>
  <c r="L7" i="52"/>
  <c r="N7" i="52"/>
  <c r="P7" i="52"/>
  <c r="Q7" i="52"/>
  <c r="K7" i="52"/>
  <c r="J7" i="52"/>
  <c r="M7" i="52"/>
  <c r="H7" i="52"/>
  <c r="O7" i="52"/>
  <c r="I7" i="52"/>
  <c r="J40" i="52"/>
  <c r="K40" i="52"/>
  <c r="Q40" i="52"/>
  <c r="H40" i="52"/>
  <c r="I40" i="52"/>
  <c r="L40" i="52"/>
  <c r="N40" i="52"/>
  <c r="M40" i="52"/>
  <c r="P40" i="52"/>
  <c r="O40" i="52"/>
  <c r="K83" i="52"/>
  <c r="P83" i="52"/>
  <c r="O83" i="52"/>
  <c r="Q83" i="52"/>
  <c r="M83" i="52"/>
  <c r="I83" i="52"/>
  <c r="H83" i="52"/>
  <c r="N83" i="52"/>
  <c r="J83" i="52"/>
  <c r="L83" i="52"/>
  <c r="Q4" i="52"/>
  <c r="M4" i="52"/>
  <c r="K4" i="52"/>
  <c r="L4" i="52"/>
  <c r="J4" i="52"/>
  <c r="Q28" i="52"/>
  <c r="J28" i="52"/>
  <c r="L28" i="52"/>
  <c r="M28" i="52"/>
  <c r="K28" i="52"/>
  <c r="P28" i="52"/>
  <c r="I28" i="52"/>
  <c r="O28" i="52"/>
  <c r="N28" i="52"/>
  <c r="H28" i="52"/>
  <c r="I82" i="52"/>
  <c r="Q82" i="52"/>
  <c r="P82" i="52"/>
  <c r="H82" i="52"/>
  <c r="K82" i="52"/>
  <c r="L82" i="52"/>
  <c r="M82" i="52"/>
  <c r="N82" i="52"/>
  <c r="O82" i="52"/>
  <c r="J82" i="52"/>
  <c r="N60" i="52"/>
  <c r="O60" i="52"/>
  <c r="M60" i="52"/>
  <c r="K60" i="52"/>
  <c r="L60" i="52"/>
  <c r="P60" i="52"/>
  <c r="Q60" i="52"/>
  <c r="J60" i="52"/>
  <c r="H60" i="52"/>
  <c r="I60" i="52"/>
  <c r="N110" i="52"/>
  <c r="H110" i="52"/>
  <c r="J110" i="52"/>
  <c r="O110" i="52"/>
  <c r="L110" i="52"/>
  <c r="M110" i="52"/>
  <c r="K110" i="52"/>
  <c r="Q110" i="52"/>
  <c r="I110" i="52"/>
  <c r="P110" i="52"/>
  <c r="Q53" i="52"/>
  <c r="O53" i="52"/>
  <c r="K53" i="52"/>
  <c r="J53" i="52"/>
  <c r="L53" i="52"/>
  <c r="P53" i="52"/>
  <c r="N53" i="52"/>
  <c r="M53" i="52"/>
  <c r="I53" i="52"/>
  <c r="H53" i="52"/>
  <c r="N63" i="52"/>
  <c r="P63" i="52"/>
  <c r="M63" i="52"/>
  <c r="L63" i="52"/>
  <c r="I63" i="52"/>
  <c r="K63" i="52"/>
  <c r="J63" i="52"/>
  <c r="Q63" i="52"/>
  <c r="O63" i="52"/>
  <c r="H63" i="52"/>
  <c r="H31" i="52"/>
  <c r="M31" i="52"/>
  <c r="I31" i="52"/>
  <c r="N31" i="52"/>
  <c r="K31" i="52"/>
  <c r="J31" i="52"/>
  <c r="Q31" i="52"/>
  <c r="O31" i="52"/>
  <c r="L31" i="52"/>
  <c r="P31" i="52"/>
  <c r="M76" i="52"/>
  <c r="Q76" i="52"/>
  <c r="L76" i="52"/>
  <c r="H76" i="52"/>
  <c r="N76" i="52"/>
  <c r="O76" i="52"/>
  <c r="P76" i="52"/>
  <c r="J76" i="52"/>
  <c r="I76" i="52"/>
  <c r="K76" i="52"/>
  <c r="O117" i="52"/>
  <c r="K117" i="52"/>
  <c r="P117" i="52"/>
  <c r="N117" i="52"/>
  <c r="I117" i="52"/>
  <c r="M117" i="52"/>
  <c r="Q117" i="52"/>
  <c r="H117" i="52"/>
  <c r="J117" i="52"/>
  <c r="L117" i="52"/>
  <c r="P79" i="52"/>
  <c r="L79" i="52"/>
  <c r="M79" i="52"/>
  <c r="K79" i="52"/>
  <c r="O79" i="52"/>
  <c r="N79" i="52"/>
  <c r="Q79" i="52"/>
  <c r="J79" i="52"/>
  <c r="H79" i="52"/>
  <c r="I79" i="52"/>
  <c r="J30" i="52"/>
  <c r="I30" i="52"/>
  <c r="L30" i="52"/>
  <c r="N30" i="52"/>
  <c r="Q30" i="52"/>
  <c r="O30" i="52"/>
  <c r="M30" i="52"/>
  <c r="K30" i="52"/>
  <c r="P30" i="52"/>
  <c r="H30" i="52"/>
  <c r="J18" i="52"/>
  <c r="K18" i="52"/>
  <c r="I18" i="52"/>
  <c r="M18" i="52"/>
  <c r="Q18" i="52"/>
  <c r="L18" i="52"/>
  <c r="N18" i="52"/>
  <c r="P18" i="52"/>
  <c r="O18" i="52"/>
  <c r="H18" i="52"/>
  <c r="N118" i="52"/>
  <c r="P118" i="52"/>
  <c r="O118" i="52"/>
  <c r="Q118" i="52"/>
  <c r="M118" i="52"/>
  <c r="J118" i="52"/>
  <c r="K118" i="52"/>
  <c r="H118" i="52"/>
  <c r="I118" i="52"/>
  <c r="L118" i="52"/>
  <c r="N24" i="52"/>
  <c r="Q24" i="52"/>
  <c r="K24" i="52"/>
  <c r="J24" i="52"/>
  <c r="I24" i="52"/>
  <c r="L24" i="52"/>
  <c r="P24" i="52"/>
  <c r="H24" i="52"/>
  <c r="O24" i="52"/>
  <c r="M24" i="52"/>
  <c r="R107" i="52"/>
  <c r="O61" i="52"/>
  <c r="J61" i="52"/>
  <c r="L61" i="52"/>
  <c r="I61" i="52"/>
  <c r="H61" i="52"/>
  <c r="K61" i="52"/>
  <c r="N61" i="52"/>
  <c r="P61" i="52"/>
  <c r="M61" i="52"/>
  <c r="Q61" i="52"/>
  <c r="L32" i="52"/>
  <c r="M32" i="52"/>
  <c r="O32" i="52"/>
  <c r="N32" i="52"/>
  <c r="Q32" i="52"/>
  <c r="J32" i="52"/>
  <c r="H32" i="52"/>
  <c r="I32" i="52"/>
  <c r="P32" i="52"/>
  <c r="K32" i="52"/>
  <c r="O86" i="52"/>
  <c r="N86" i="52"/>
  <c r="P86" i="52"/>
  <c r="H86" i="52"/>
  <c r="J86" i="52"/>
  <c r="Q86" i="52"/>
  <c r="I86" i="52"/>
  <c r="L86" i="52"/>
  <c r="K86" i="52"/>
  <c r="M86" i="52"/>
  <c r="O49" i="52"/>
  <c r="P49" i="52"/>
  <c r="N49" i="52"/>
  <c r="H49" i="52"/>
  <c r="L49" i="52"/>
  <c r="Q49" i="52"/>
  <c r="M49" i="52"/>
  <c r="K49" i="52"/>
  <c r="J49" i="52"/>
  <c r="I49" i="52"/>
  <c r="O38" i="52"/>
  <c r="M38" i="52"/>
  <c r="I38" i="52"/>
  <c r="J38" i="52"/>
  <c r="L38" i="52"/>
  <c r="K38" i="52"/>
  <c r="H38" i="52"/>
  <c r="N38" i="52"/>
  <c r="Q38" i="52"/>
  <c r="P38" i="52"/>
  <c r="K29" i="52"/>
  <c r="O29" i="52"/>
  <c r="I29" i="52"/>
  <c r="P29" i="52"/>
  <c r="Q29" i="52"/>
  <c r="L29" i="52"/>
  <c r="N29" i="52"/>
  <c r="M29" i="52"/>
  <c r="J29" i="52"/>
  <c r="H29" i="52"/>
  <c r="H3" i="52"/>
  <c r="M3" i="52"/>
  <c r="O3" i="52"/>
  <c r="J3" i="52"/>
  <c r="N3" i="52"/>
  <c r="K3" i="52"/>
  <c r="P3" i="52"/>
  <c r="Q3" i="52"/>
  <c r="I3" i="52"/>
  <c r="L3" i="52"/>
  <c r="H111" i="52"/>
  <c r="P111" i="52"/>
  <c r="N111" i="52"/>
  <c r="L111" i="52"/>
  <c r="I111" i="52"/>
  <c r="O111" i="52"/>
  <c r="Q111" i="52"/>
  <c r="M111" i="52"/>
  <c r="K111" i="52"/>
  <c r="J111" i="52"/>
  <c r="I84" i="52"/>
  <c r="M84" i="52"/>
  <c r="P84" i="52"/>
  <c r="L84" i="52"/>
  <c r="N84" i="52"/>
  <c r="O84" i="52"/>
  <c r="K84" i="52"/>
  <c r="J84" i="52"/>
  <c r="H84" i="52"/>
  <c r="Q84" i="52"/>
  <c r="O119" i="52"/>
  <c r="K119" i="52"/>
  <c r="P119" i="52"/>
  <c r="Q119" i="52"/>
  <c r="H119" i="52"/>
  <c r="I119" i="52"/>
  <c r="M119" i="52"/>
  <c r="L119" i="52"/>
  <c r="N119" i="52"/>
  <c r="J119" i="52"/>
  <c r="K21" i="52"/>
  <c r="Q21" i="52"/>
  <c r="J21" i="52"/>
  <c r="L21" i="52"/>
  <c r="I21" i="52"/>
  <c r="H21" i="52"/>
  <c r="O21" i="52"/>
  <c r="P21" i="52"/>
  <c r="M21" i="52"/>
  <c r="N21" i="52"/>
  <c r="I94" i="52"/>
  <c r="J94" i="52"/>
  <c r="L94" i="52"/>
  <c r="N94" i="52"/>
  <c r="O94" i="52"/>
  <c r="K94" i="52"/>
  <c r="M94" i="52"/>
  <c r="H94" i="52"/>
  <c r="P94" i="52"/>
  <c r="Q94" i="52"/>
  <c r="R97" i="52"/>
  <c r="K68" i="52"/>
  <c r="L68" i="52"/>
  <c r="J68" i="52"/>
  <c r="I68" i="52"/>
  <c r="N68" i="52"/>
  <c r="P68" i="52"/>
  <c r="M68" i="52"/>
  <c r="H68" i="52"/>
  <c r="O68" i="52"/>
  <c r="Q68" i="52"/>
  <c r="N20" i="52"/>
  <c r="I20" i="52"/>
  <c r="P20" i="52"/>
  <c r="H20" i="52"/>
  <c r="J20" i="52"/>
  <c r="K20" i="52"/>
  <c r="M20" i="52"/>
  <c r="O20" i="52"/>
  <c r="L20" i="52"/>
  <c r="Q20" i="52"/>
  <c r="L72" i="52"/>
  <c r="K72" i="52"/>
  <c r="Q72" i="52"/>
  <c r="N72" i="52"/>
  <c r="H72" i="52"/>
  <c r="J72" i="52"/>
  <c r="O72" i="52"/>
  <c r="M72" i="52"/>
  <c r="I72" i="52"/>
  <c r="P72" i="52"/>
  <c r="K88" i="52"/>
  <c r="P88" i="52"/>
  <c r="L88" i="52"/>
  <c r="I88" i="52"/>
  <c r="M88" i="52"/>
  <c r="J88" i="52"/>
  <c r="N88" i="52"/>
  <c r="H88" i="52"/>
  <c r="Q88" i="52"/>
  <c r="O88" i="52"/>
  <c r="K56" i="52"/>
  <c r="I56" i="52"/>
  <c r="J56" i="52"/>
  <c r="Q56" i="52"/>
  <c r="P56" i="52"/>
  <c r="L56" i="52"/>
  <c r="M56" i="52"/>
  <c r="N56" i="52"/>
  <c r="O56" i="52"/>
  <c r="H56" i="52"/>
  <c r="I70" i="52"/>
  <c r="Q70" i="52"/>
  <c r="N70" i="52"/>
  <c r="J70" i="52"/>
  <c r="L70" i="52"/>
  <c r="K70" i="52"/>
  <c r="O70" i="52"/>
  <c r="H70" i="52"/>
  <c r="M70" i="52"/>
  <c r="P70" i="52"/>
  <c r="H77" i="52"/>
  <c r="N77" i="52"/>
  <c r="P77" i="52"/>
  <c r="Q77" i="52"/>
  <c r="I77" i="52"/>
  <c r="O77" i="52"/>
  <c r="M77" i="52"/>
  <c r="L77" i="52"/>
  <c r="J77" i="52"/>
  <c r="K77" i="52"/>
  <c r="K13" i="52"/>
  <c r="N13" i="52"/>
  <c r="Q13" i="52"/>
  <c r="J13" i="52"/>
  <c r="M13" i="52"/>
  <c r="L13" i="52"/>
  <c r="I13" i="52"/>
  <c r="P13" i="52"/>
  <c r="O13" i="52"/>
  <c r="H13" i="52"/>
  <c r="L85" i="52"/>
  <c r="Q85" i="52"/>
  <c r="O85" i="52"/>
  <c r="M85" i="52"/>
  <c r="P85" i="52"/>
  <c r="N85" i="52"/>
  <c r="J85" i="52"/>
  <c r="H85" i="52"/>
  <c r="K85" i="52"/>
  <c r="I85" i="52"/>
  <c r="J89" i="52"/>
  <c r="P89" i="52"/>
  <c r="N89" i="52"/>
  <c r="L89" i="52"/>
  <c r="I89" i="52"/>
  <c r="O89" i="52"/>
  <c r="M89" i="52"/>
  <c r="K89" i="52"/>
  <c r="H89" i="52"/>
  <c r="Q89" i="52"/>
  <c r="M104" i="52"/>
  <c r="L104" i="52"/>
  <c r="O104" i="52"/>
  <c r="P104" i="52"/>
  <c r="Q104" i="52"/>
  <c r="I104" i="52"/>
  <c r="J104" i="52"/>
  <c r="H104" i="52"/>
  <c r="N104" i="52"/>
  <c r="K104" i="52"/>
  <c r="N19" i="52"/>
  <c r="J19" i="52"/>
  <c r="O19" i="52"/>
  <c r="H19" i="52"/>
  <c r="M19" i="52"/>
  <c r="L19" i="52"/>
  <c r="Q19" i="52"/>
  <c r="P19" i="52"/>
  <c r="K19" i="52"/>
  <c r="I19" i="52"/>
  <c r="M114" i="52"/>
  <c r="O114" i="52"/>
  <c r="P114" i="52"/>
  <c r="H114" i="52"/>
  <c r="K114" i="52"/>
  <c r="N114" i="52"/>
  <c r="L114" i="52"/>
  <c r="I114" i="52"/>
  <c r="J114" i="52"/>
  <c r="Q114" i="52"/>
  <c r="P36" i="52"/>
  <c r="M36" i="52"/>
  <c r="O36" i="52"/>
  <c r="L36" i="52"/>
  <c r="H36" i="52"/>
  <c r="N36" i="52"/>
  <c r="I36" i="52"/>
  <c r="J36" i="52"/>
  <c r="Q36" i="52"/>
  <c r="K36" i="52"/>
  <c r="N103" i="52"/>
  <c r="P103" i="52"/>
  <c r="I103" i="52"/>
  <c r="L103" i="52"/>
  <c r="M103" i="52"/>
  <c r="Q103" i="52"/>
  <c r="O103" i="52"/>
  <c r="J103" i="52"/>
  <c r="H103" i="52"/>
  <c r="K103" i="52"/>
  <c r="I62" i="52"/>
  <c r="H62" i="52"/>
  <c r="M62" i="52"/>
  <c r="L62" i="52"/>
  <c r="P62" i="52"/>
  <c r="J62" i="52"/>
  <c r="N62" i="52"/>
  <c r="Q62" i="52"/>
  <c r="O62" i="52"/>
  <c r="K62" i="52"/>
  <c r="I48" i="52"/>
  <c r="O48" i="52"/>
  <c r="Q48" i="52"/>
  <c r="P48" i="52"/>
  <c r="J48" i="52"/>
  <c r="H48" i="52"/>
  <c r="N48" i="52"/>
  <c r="K48" i="52"/>
  <c r="M48" i="52"/>
  <c r="L48" i="52"/>
  <c r="M106" i="52"/>
  <c r="P106" i="52"/>
  <c r="K106" i="52"/>
  <c r="H106" i="52"/>
  <c r="I106" i="52"/>
  <c r="Q106" i="52"/>
  <c r="J106" i="52"/>
  <c r="L106" i="52"/>
  <c r="O106" i="52"/>
  <c r="N106" i="52"/>
  <c r="K92" i="52"/>
  <c r="L92" i="52"/>
  <c r="J92" i="52"/>
  <c r="H92" i="52"/>
  <c r="Q92" i="52"/>
  <c r="P92" i="52"/>
  <c r="N92" i="52"/>
  <c r="I92" i="52"/>
  <c r="O92" i="52"/>
  <c r="M92" i="52"/>
  <c r="Q109" i="52" l="1"/>
  <c r="J109" i="52"/>
  <c r="N4" i="52"/>
  <c r="I4" i="52"/>
  <c r="H109" i="52"/>
  <c r="L109" i="52"/>
  <c r="P109" i="52"/>
  <c r="H4" i="52"/>
  <c r="R4" i="52" s="1"/>
  <c r="O109" i="52"/>
  <c r="M17" i="52"/>
  <c r="M109" i="52"/>
  <c r="O4" i="52"/>
  <c r="N109" i="52"/>
  <c r="L17" i="52"/>
  <c r="O20" i="51"/>
  <c r="P20" i="51"/>
  <c r="M20" i="51"/>
  <c r="L20" i="51"/>
  <c r="N20" i="51"/>
  <c r="N17" i="52"/>
  <c r="R87" i="52"/>
  <c r="L17" i="51"/>
  <c r="N17" i="51"/>
  <c r="M17" i="51"/>
  <c r="O17" i="51"/>
  <c r="P17" i="51"/>
  <c r="L19" i="51"/>
  <c r="N19" i="51"/>
  <c r="M19" i="51"/>
  <c r="P19" i="51"/>
  <c r="O19" i="51"/>
  <c r="M16" i="51"/>
  <c r="N16" i="51"/>
  <c r="O16" i="51"/>
  <c r="P16" i="51"/>
  <c r="L16" i="51"/>
  <c r="L14" i="51"/>
  <c r="O14" i="51"/>
  <c r="M14" i="51"/>
  <c r="N14" i="51"/>
  <c r="P14" i="51"/>
  <c r="J17" i="52"/>
  <c r="N18" i="51"/>
  <c r="M18" i="51"/>
  <c r="O18" i="51"/>
  <c r="L18" i="51"/>
  <c r="P18" i="51"/>
  <c r="L12" i="51"/>
  <c r="P12" i="51"/>
  <c r="N12" i="51"/>
  <c r="O12" i="51"/>
  <c r="M12" i="51"/>
  <c r="Q17" i="52"/>
  <c r="K17" i="52"/>
  <c r="M15" i="51"/>
  <c r="L15" i="51"/>
  <c r="P15" i="51"/>
  <c r="O15" i="51"/>
  <c r="N15" i="51"/>
  <c r="L22" i="51"/>
  <c r="M22" i="51"/>
  <c r="N22" i="51"/>
  <c r="O22" i="51"/>
  <c r="P22" i="51"/>
  <c r="O21" i="51"/>
  <c r="N21" i="51"/>
  <c r="P21" i="51"/>
  <c r="L21" i="51"/>
  <c r="M21" i="51"/>
  <c r="O17" i="52"/>
  <c r="P17" i="52"/>
  <c r="M13" i="51"/>
  <c r="L13" i="51"/>
  <c r="N13" i="51"/>
  <c r="O13" i="51"/>
  <c r="P13" i="51"/>
  <c r="Q90" i="52"/>
  <c r="P90" i="52"/>
  <c r="M90" i="52"/>
  <c r="N90" i="52"/>
  <c r="O90" i="52"/>
  <c r="I90" i="52"/>
  <c r="L90" i="52"/>
  <c r="K90" i="52"/>
  <c r="H90" i="52"/>
  <c r="J90" i="52"/>
  <c r="N11" i="51"/>
  <c r="M11" i="21" s="1"/>
  <c r="L11" i="51"/>
  <c r="N11" i="21" s="1"/>
  <c r="O11" i="51"/>
  <c r="P11" i="51"/>
  <c r="M11" i="51"/>
  <c r="L11" i="21" s="1"/>
  <c r="H17" i="52"/>
  <c r="A27" i="51"/>
  <c r="AC24" i="51"/>
  <c r="B28" i="51" s="1"/>
  <c r="AB24" i="51"/>
  <c r="R43" i="52"/>
  <c r="O119" i="32"/>
  <c r="O120" i="32" s="1"/>
  <c r="Q119" i="32"/>
  <c r="Q17" i="51"/>
  <c r="V18" i="51"/>
  <c r="X19" i="51" s="1"/>
  <c r="R84" i="52"/>
  <c r="R38" i="52"/>
  <c r="R30" i="52"/>
  <c r="R82" i="52"/>
  <c r="R65" i="52"/>
  <c r="R58" i="52"/>
  <c r="R115" i="52"/>
  <c r="R73" i="52"/>
  <c r="R8" i="52"/>
  <c r="R51" i="52"/>
  <c r="R70" i="52"/>
  <c r="R56" i="52"/>
  <c r="R21" i="52"/>
  <c r="R110" i="52"/>
  <c r="R98" i="52"/>
  <c r="R112" i="52"/>
  <c r="R26" i="52"/>
  <c r="R121" i="52"/>
  <c r="R10" i="52"/>
  <c r="R101" i="52"/>
  <c r="R52" i="52"/>
  <c r="R16" i="52"/>
  <c r="R64" i="52"/>
  <c r="R93" i="52"/>
  <c r="R46" i="52"/>
  <c r="R80" i="52"/>
  <c r="R54" i="52"/>
  <c r="R45" i="52"/>
  <c r="R62" i="52"/>
  <c r="R19" i="52"/>
  <c r="R49" i="52"/>
  <c r="R60" i="52"/>
  <c r="R50" i="52"/>
  <c r="R109" i="52"/>
  <c r="R34" i="52"/>
  <c r="R14" i="52"/>
  <c r="R44" i="52"/>
  <c r="R15" i="52"/>
  <c r="R55" i="52"/>
  <c r="R37" i="52"/>
  <c r="R36" i="52"/>
  <c r="R13" i="52"/>
  <c r="R20" i="52"/>
  <c r="R111" i="52"/>
  <c r="R63" i="52"/>
  <c r="R59" i="52"/>
  <c r="R66" i="52"/>
  <c r="R25" i="52"/>
  <c r="R57" i="52"/>
  <c r="R42" i="52"/>
  <c r="R41" i="52"/>
  <c r="R113" i="52"/>
  <c r="R9" i="52"/>
  <c r="R120" i="52"/>
  <c r="R96" i="52"/>
  <c r="R74" i="52"/>
  <c r="R72" i="52"/>
  <c r="R68" i="52"/>
  <c r="R94" i="52"/>
  <c r="R79" i="52"/>
  <c r="R83" i="52"/>
  <c r="R39" i="52"/>
  <c r="R95" i="52"/>
  <c r="R78" i="52"/>
  <c r="R99" i="52"/>
  <c r="R91" i="52"/>
  <c r="R100" i="52"/>
  <c r="R33" i="52"/>
  <c r="R92" i="52"/>
  <c r="R103" i="52"/>
  <c r="R85" i="52"/>
  <c r="R88" i="52"/>
  <c r="R3" i="52"/>
  <c r="R86" i="52"/>
  <c r="R61" i="52"/>
  <c r="R24" i="52"/>
  <c r="R76" i="52"/>
  <c r="R53" i="52"/>
  <c r="R35" i="52"/>
  <c r="R5" i="52"/>
  <c r="R23" i="52"/>
  <c r="R75" i="52"/>
  <c r="R48" i="52"/>
  <c r="R114" i="52"/>
  <c r="R104" i="52"/>
  <c r="R77" i="52"/>
  <c r="R119" i="52"/>
  <c r="R31" i="52"/>
  <c r="R28" i="52"/>
  <c r="R69" i="52"/>
  <c r="R6" i="52"/>
  <c r="R102" i="52"/>
  <c r="R81" i="52"/>
  <c r="R108" i="52"/>
  <c r="R116" i="52"/>
  <c r="R22" i="52"/>
  <c r="R47" i="52"/>
  <c r="R106" i="52"/>
  <c r="R89" i="52"/>
  <c r="R29" i="52"/>
  <c r="R32" i="52"/>
  <c r="R118" i="52"/>
  <c r="R18" i="52"/>
  <c r="R117" i="52"/>
  <c r="R40" i="52"/>
  <c r="R7" i="52"/>
  <c r="R11" i="52"/>
  <c r="R12" i="52"/>
  <c r="R71" i="52"/>
  <c r="R67" i="52"/>
  <c r="R27" i="52"/>
  <c r="R105" i="52"/>
  <c r="R17" i="52" l="1"/>
  <c r="J28" i="51"/>
  <c r="B29" i="51"/>
  <c r="AH25" i="51"/>
  <c r="A28" i="51"/>
  <c r="C28" i="51"/>
  <c r="M28" i="51"/>
  <c r="AG25" i="51"/>
  <c r="B44" i="39"/>
  <c r="C27" i="51"/>
  <c r="R90" i="52"/>
  <c r="L119" i="32"/>
  <c r="Q120" i="32" s="1"/>
  <c r="Q121" i="32" s="1"/>
  <c r="P119" i="32"/>
  <c r="N119" i="32"/>
  <c r="O121" i="32"/>
  <c r="Q18" i="51"/>
  <c r="Y19" i="51"/>
  <c r="U20" i="51" s="1"/>
  <c r="B43" i="39" l="1"/>
  <c r="F27" i="51"/>
  <c r="N43" i="39" s="1"/>
  <c r="E27" i="51"/>
  <c r="K43" i="39" s="1"/>
  <c r="E28" i="51"/>
  <c r="K44" i="39" s="1"/>
  <c r="F28" i="51"/>
  <c r="N44" i="39" s="1"/>
  <c r="AC26" i="51"/>
  <c r="AB26" i="51"/>
  <c r="B30" i="51"/>
  <c r="M29" i="51"/>
  <c r="J29" i="51"/>
  <c r="A29" i="51"/>
  <c r="C29" i="51"/>
  <c r="L120" i="32"/>
  <c r="P120" i="32"/>
  <c r="N120" i="32"/>
  <c r="Q122" i="32"/>
  <c r="O122" i="32"/>
  <c r="Q19" i="51"/>
  <c r="V20" i="51"/>
  <c r="X21" i="51" s="1"/>
  <c r="C30" i="51" l="1"/>
  <c r="AH27" i="51"/>
  <c r="B31" i="51"/>
  <c r="J30" i="51"/>
  <c r="M30" i="51"/>
  <c r="AG27" i="51"/>
  <c r="A30" i="51"/>
  <c r="E29" i="51"/>
  <c r="K45" i="39" s="1"/>
  <c r="B45" i="39"/>
  <c r="F29" i="51"/>
  <c r="N45" i="39" s="1"/>
  <c r="D29" i="51"/>
  <c r="G29" i="51"/>
  <c r="Q123" i="32"/>
  <c r="O123" i="32"/>
  <c r="L121" i="32"/>
  <c r="N121" i="32"/>
  <c r="P121" i="32"/>
  <c r="Q20" i="51"/>
  <c r="Y21" i="51"/>
  <c r="U22" i="51" s="1"/>
  <c r="H29" i="51" l="1"/>
  <c r="E28" i="21"/>
  <c r="H45" i="39"/>
  <c r="K29" i="51"/>
  <c r="L29" i="51" s="1"/>
  <c r="M31" i="51"/>
  <c r="B32" i="51"/>
  <c r="C31" i="51"/>
  <c r="AB28" i="51"/>
  <c r="AC28" i="51"/>
  <c r="J31" i="51"/>
  <c r="A31" i="51"/>
  <c r="F30" i="51"/>
  <c r="N46" i="39" s="1"/>
  <c r="B46" i="39"/>
  <c r="E30" i="51"/>
  <c r="K46" i="39" s="1"/>
  <c r="G30" i="51"/>
  <c r="D30" i="51"/>
  <c r="L122" i="32"/>
  <c r="P122" i="32"/>
  <c r="N122" i="32"/>
  <c r="O124" i="32"/>
  <c r="Q124" i="32"/>
  <c r="V22" i="51"/>
  <c r="X23" i="51" s="1"/>
  <c r="Q22" i="51"/>
  <c r="Q21" i="51"/>
  <c r="M32" i="51" l="1"/>
  <c r="C32" i="51"/>
  <c r="J32" i="51"/>
  <c r="B33" i="51"/>
  <c r="AG29" i="51"/>
  <c r="A32" i="51"/>
  <c r="AH29" i="51"/>
  <c r="G31" i="51"/>
  <c r="F31" i="51"/>
  <c r="N47" i="39" s="1"/>
  <c r="B47" i="39"/>
  <c r="D31" i="51"/>
  <c r="E31" i="51"/>
  <c r="K47" i="39" s="1"/>
  <c r="K28" i="21"/>
  <c r="D28" i="21"/>
  <c r="A28" i="21" s="1"/>
  <c r="I28" i="21"/>
  <c r="F28" i="21"/>
  <c r="J28" i="21"/>
  <c r="G28" i="21"/>
  <c r="H28" i="21"/>
  <c r="B28" i="21"/>
  <c r="C28" i="21"/>
  <c r="E29" i="21"/>
  <c r="H30" i="51"/>
  <c r="H46" i="39"/>
  <c r="K30" i="51"/>
  <c r="L30" i="51" s="1"/>
  <c r="Q125" i="32"/>
  <c r="O125" i="32"/>
  <c r="L123" i="32"/>
  <c r="P123" i="32"/>
  <c r="N123" i="32"/>
  <c r="Y23" i="51"/>
  <c r="U24" i="51" s="1"/>
  <c r="A33" i="51" l="1"/>
  <c r="AC30" i="51"/>
  <c r="C33" i="51"/>
  <c r="M33" i="51"/>
  <c r="J33" i="51"/>
  <c r="B34" i="51"/>
  <c r="AB30" i="51"/>
  <c r="F29" i="21"/>
  <c r="C29" i="21"/>
  <c r="B29" i="21"/>
  <c r="H29" i="21"/>
  <c r="J29" i="21"/>
  <c r="D29" i="21"/>
  <c r="A29" i="21" s="1"/>
  <c r="I29" i="21"/>
  <c r="G29" i="21"/>
  <c r="K29" i="21"/>
  <c r="H47" i="39"/>
  <c r="K31" i="51"/>
  <c r="L31" i="51" s="1"/>
  <c r="F32" i="51"/>
  <c r="N48" i="39" s="1"/>
  <c r="E32" i="51"/>
  <c r="K48" i="39" s="1"/>
  <c r="D32" i="51"/>
  <c r="B48" i="39"/>
  <c r="G32" i="51"/>
  <c r="H31" i="51"/>
  <c r="E30" i="21"/>
  <c r="L124" i="32"/>
  <c r="N124" i="32"/>
  <c r="P124" i="32"/>
  <c r="O126" i="32"/>
  <c r="Q126" i="32"/>
  <c r="Q23" i="51"/>
  <c r="V24" i="51"/>
  <c r="X25" i="51" s="1"/>
  <c r="H48" i="39" l="1"/>
  <c r="K32" i="51"/>
  <c r="L32" i="51" s="1"/>
  <c r="A34" i="51"/>
  <c r="M34" i="51"/>
  <c r="AG31" i="51"/>
  <c r="B35" i="51"/>
  <c r="J34" i="51"/>
  <c r="C34" i="51"/>
  <c r="AH31" i="51"/>
  <c r="E31" i="21"/>
  <c r="H32" i="51"/>
  <c r="G33" i="51"/>
  <c r="D33" i="51"/>
  <c r="F33" i="51"/>
  <c r="AC43" i="39" s="1"/>
  <c r="Q43" i="39"/>
  <c r="E33" i="51"/>
  <c r="Z43" i="39" s="1"/>
  <c r="C30" i="21"/>
  <c r="I30" i="21"/>
  <c r="F30" i="21"/>
  <c r="K30" i="21"/>
  <c r="J30" i="21"/>
  <c r="B30" i="21"/>
  <c r="H30" i="21"/>
  <c r="D30" i="21"/>
  <c r="A30" i="21" s="1"/>
  <c r="G30" i="21"/>
  <c r="Q127" i="32"/>
  <c r="O127" i="32"/>
  <c r="L125" i="32"/>
  <c r="N125" i="32"/>
  <c r="P125" i="32"/>
  <c r="Q24" i="51"/>
  <c r="Y25" i="51"/>
  <c r="U26" i="51" s="1"/>
  <c r="Q25" i="51"/>
  <c r="B36" i="51" l="1"/>
  <c r="AC32" i="51"/>
  <c r="C35" i="51"/>
  <c r="AB32" i="51"/>
  <c r="A35" i="51"/>
  <c r="M35" i="51"/>
  <c r="J35" i="51"/>
  <c r="K33" i="51"/>
  <c r="L33" i="51" s="1"/>
  <c r="W43" i="39"/>
  <c r="H33" i="51"/>
  <c r="E32" i="21"/>
  <c r="D34" i="51"/>
  <c r="F34" i="51"/>
  <c r="AC44" i="39" s="1"/>
  <c r="G34" i="51"/>
  <c r="E33" i="21" s="1"/>
  <c r="F33" i="21" s="1"/>
  <c r="Q44" i="39"/>
  <c r="E34" i="51"/>
  <c r="Z44" i="39" s="1"/>
  <c r="F31" i="21"/>
  <c r="I31" i="21"/>
  <c r="B31" i="21"/>
  <c r="J31" i="21"/>
  <c r="C31" i="21"/>
  <c r="G31" i="21"/>
  <c r="K31" i="21"/>
  <c r="H31" i="21"/>
  <c r="D31" i="21"/>
  <c r="A31" i="21" s="1"/>
  <c r="O128" i="32"/>
  <c r="Q128" i="32"/>
  <c r="L126" i="32"/>
  <c r="P126" i="32"/>
  <c r="N126" i="32"/>
  <c r="V26" i="51"/>
  <c r="X27" i="51" s="1"/>
  <c r="J33" i="21"/>
  <c r="W44" i="39" l="1"/>
  <c r="K34" i="51"/>
  <c r="L34" i="51" s="1"/>
  <c r="B33" i="21"/>
  <c r="K33" i="21"/>
  <c r="C32" i="21"/>
  <c r="D32" i="21"/>
  <c r="A32" i="21" s="1"/>
  <c r="I32" i="21"/>
  <c r="G32" i="21"/>
  <c r="J32" i="21"/>
  <c r="F32" i="21"/>
  <c r="B32" i="21"/>
  <c r="H32" i="21"/>
  <c r="K32" i="21"/>
  <c r="C33" i="21"/>
  <c r="G33" i="21"/>
  <c r="D35" i="51"/>
  <c r="Q45" i="39"/>
  <c r="G35" i="51"/>
  <c r="E35" i="51"/>
  <c r="Z45" i="39" s="1"/>
  <c r="I33" i="21"/>
  <c r="F35" i="51"/>
  <c r="AC45" i="39" s="1"/>
  <c r="H33" i="21"/>
  <c r="D33" i="21"/>
  <c r="A33" i="21" s="1"/>
  <c r="B37" i="51"/>
  <c r="C36" i="51"/>
  <c r="M36" i="51"/>
  <c r="AH33" i="51"/>
  <c r="A36" i="51"/>
  <c r="J36" i="51"/>
  <c r="AG33" i="51"/>
  <c r="H34" i="51"/>
  <c r="L127" i="32"/>
  <c r="N127" i="32"/>
  <c r="P127" i="32"/>
  <c r="O129" i="32"/>
  <c r="Q129" i="32"/>
  <c r="Q26" i="51"/>
  <c r="Y27" i="51"/>
  <c r="U28" i="51" s="1"/>
  <c r="M37" i="51" l="1"/>
  <c r="J37" i="51"/>
  <c r="B38" i="51"/>
  <c r="AB34" i="51"/>
  <c r="C37" i="51"/>
  <c r="AC34" i="51"/>
  <c r="A37" i="51"/>
  <c r="Q47" i="39"/>
  <c r="W45" i="39"/>
  <c r="K35" i="51"/>
  <c r="L35" i="51" s="1"/>
  <c r="E34" i="21"/>
  <c r="H35" i="51"/>
  <c r="D37" i="51"/>
  <c r="W47" i="39" s="1"/>
  <c r="Q46" i="39"/>
  <c r="E36" i="51"/>
  <c r="Z46" i="39" s="1"/>
  <c r="F36" i="51"/>
  <c r="AC46" i="39" s="1"/>
  <c r="G36" i="51"/>
  <c r="D36" i="51"/>
  <c r="Q130" i="32"/>
  <c r="O130" i="32"/>
  <c r="L128" i="32"/>
  <c r="P128" i="32"/>
  <c r="N128" i="32"/>
  <c r="Q27" i="51"/>
  <c r="V28" i="51"/>
  <c r="X29" i="51" s="1"/>
  <c r="E37" i="51" l="1"/>
  <c r="Z47" i="39" s="1"/>
  <c r="G37" i="51"/>
  <c r="G34" i="21"/>
  <c r="J34" i="21"/>
  <c r="C34" i="21"/>
  <c r="F34" i="21"/>
  <c r="I34" i="21"/>
  <c r="B34" i="21"/>
  <c r="K34" i="21"/>
  <c r="H34" i="21"/>
  <c r="D34" i="21"/>
  <c r="A34" i="21" s="1"/>
  <c r="K36" i="51"/>
  <c r="L36" i="51" s="1"/>
  <c r="W46" i="39"/>
  <c r="F37" i="51"/>
  <c r="AC47" i="39" s="1"/>
  <c r="AG35" i="51"/>
  <c r="J38" i="51"/>
  <c r="B39" i="51"/>
  <c r="AH35" i="51"/>
  <c r="M38" i="51"/>
  <c r="A38" i="51"/>
  <c r="C38" i="51"/>
  <c r="E35" i="21"/>
  <c r="H36" i="51"/>
  <c r="Q131" i="32"/>
  <c r="O131" i="32"/>
  <c r="L129" i="32"/>
  <c r="P129" i="32"/>
  <c r="N129" i="32"/>
  <c r="Y29" i="51"/>
  <c r="U30" i="51" s="1"/>
  <c r="Q28" i="51"/>
  <c r="I35" i="21" l="1"/>
  <c r="C35" i="21"/>
  <c r="G35" i="21"/>
  <c r="B35" i="21"/>
  <c r="J35" i="21"/>
  <c r="H35" i="21"/>
  <c r="D35" i="21"/>
  <c r="A35" i="21" s="1"/>
  <c r="K35" i="21"/>
  <c r="F35" i="21"/>
  <c r="G38" i="51"/>
  <c r="Q48" i="39"/>
  <c r="D38" i="51"/>
  <c r="F38" i="51"/>
  <c r="AC48" i="39" s="1"/>
  <c r="E38" i="51"/>
  <c r="Z48" i="39" s="1"/>
  <c r="H37" i="51"/>
  <c r="K37" i="51"/>
  <c r="L37" i="51" s="1"/>
  <c r="E36" i="21"/>
  <c r="C39" i="51"/>
  <c r="M39" i="51"/>
  <c r="AC36" i="51"/>
  <c r="J39" i="51"/>
  <c r="A39" i="51"/>
  <c r="AB36" i="51"/>
  <c r="B40" i="51"/>
  <c r="L130" i="32"/>
  <c r="N130" i="32"/>
  <c r="P130" i="32"/>
  <c r="Q132" i="32"/>
  <c r="O132" i="32"/>
  <c r="Q29" i="51"/>
  <c r="V30" i="51"/>
  <c r="X31" i="51" s="1"/>
  <c r="A26" i="51" l="1"/>
  <c r="D39" i="51"/>
  <c r="G39" i="51"/>
  <c r="E38" i="21" s="1"/>
  <c r="J38" i="21" s="1"/>
  <c r="E39" i="51"/>
  <c r="H38" i="51"/>
  <c r="E37" i="21"/>
  <c r="C36" i="21"/>
  <c r="J36" i="21"/>
  <c r="G36" i="21"/>
  <c r="K36" i="21"/>
  <c r="D36" i="21"/>
  <c r="A36" i="21" s="1"/>
  <c r="I36" i="21"/>
  <c r="F36" i="21"/>
  <c r="H36" i="21"/>
  <c r="B36" i="21"/>
  <c r="K38" i="51"/>
  <c r="L38" i="51" s="1"/>
  <c r="W48" i="39"/>
  <c r="B41" i="51"/>
  <c r="M40" i="51"/>
  <c r="AG37" i="51"/>
  <c r="J40" i="51"/>
  <c r="A40" i="51"/>
  <c r="C40" i="51"/>
  <c r="AH37" i="51"/>
  <c r="F39" i="51"/>
  <c r="Q133" i="32"/>
  <c r="O133" i="32"/>
  <c r="L131" i="32"/>
  <c r="N131" i="32"/>
  <c r="P131" i="32"/>
  <c r="Q30" i="51"/>
  <c r="Y31" i="51"/>
  <c r="U32" i="51" s="1"/>
  <c r="B38" i="21"/>
  <c r="H38" i="21"/>
  <c r="G38" i="21"/>
  <c r="K38" i="21"/>
  <c r="I38" i="21"/>
  <c r="C38" i="21"/>
  <c r="H39" i="51" l="1"/>
  <c r="F38" i="21"/>
  <c r="D38" i="21"/>
  <c r="A38" i="21" s="1"/>
  <c r="F40" i="51"/>
  <c r="G40" i="51"/>
  <c r="E39" i="21" s="1"/>
  <c r="F39" i="21" s="1"/>
  <c r="E40" i="51"/>
  <c r="D40" i="51"/>
  <c r="K40" i="51" s="1"/>
  <c r="L40" i="51" s="1"/>
  <c r="B37" i="21"/>
  <c r="D37" i="21"/>
  <c r="A37" i="21" s="1"/>
  <c r="J37" i="21"/>
  <c r="K37" i="21"/>
  <c r="G37" i="21"/>
  <c r="F37" i="21"/>
  <c r="C37" i="21"/>
  <c r="H37" i="21"/>
  <c r="I37" i="21"/>
  <c r="AC38" i="51"/>
  <c r="M41" i="51"/>
  <c r="B42" i="51"/>
  <c r="C41" i="51"/>
  <c r="J41" i="51"/>
  <c r="AB38" i="51"/>
  <c r="A41" i="51"/>
  <c r="K39" i="51"/>
  <c r="L39" i="51" s="1"/>
  <c r="O134" i="32"/>
  <c r="Q134" i="32"/>
  <c r="L132" i="32"/>
  <c r="P132" i="32"/>
  <c r="N132" i="32"/>
  <c r="Q31" i="51"/>
  <c r="V32" i="51"/>
  <c r="X33" i="51" s="1"/>
  <c r="Q32" i="51"/>
  <c r="D39" i="21"/>
  <c r="A39" i="21" s="1"/>
  <c r="K39" i="21"/>
  <c r="J39" i="21"/>
  <c r="H39" i="21" l="1"/>
  <c r="I39" i="21"/>
  <c r="G39" i="21"/>
  <c r="B39" i="21"/>
  <c r="C39" i="21"/>
  <c r="H40" i="51"/>
  <c r="G41" i="51"/>
  <c r="D41" i="51"/>
  <c r="K41" i="51" s="1"/>
  <c r="L41" i="51" s="1"/>
  <c r="F41" i="51"/>
  <c r="E41" i="51"/>
  <c r="AH39" i="51"/>
  <c r="AG39" i="51"/>
  <c r="M42" i="51"/>
  <c r="J42" i="51"/>
  <c r="B43" i="51"/>
  <c r="A42" i="51"/>
  <c r="C42" i="51"/>
  <c r="L133" i="32"/>
  <c r="N133" i="32"/>
  <c r="P133" i="32"/>
  <c r="Q135" i="32"/>
  <c r="O135" i="32"/>
  <c r="Y33" i="51"/>
  <c r="U34" i="51" s="1"/>
  <c r="F42" i="51" l="1"/>
  <c r="D42" i="51"/>
  <c r="E42" i="51"/>
  <c r="G42" i="51"/>
  <c r="H42" i="51" s="1"/>
  <c r="AC40" i="51"/>
  <c r="M43" i="51"/>
  <c r="A43" i="51"/>
  <c r="B44" i="51"/>
  <c r="AB40" i="51"/>
  <c r="C43" i="51"/>
  <c r="J43" i="51"/>
  <c r="H41" i="51"/>
  <c r="E40" i="21"/>
  <c r="Q136" i="32"/>
  <c r="O136" i="32"/>
  <c r="L134" i="32"/>
  <c r="N134" i="32"/>
  <c r="P134" i="32"/>
  <c r="V34" i="51"/>
  <c r="X35" i="51" s="1"/>
  <c r="Q33" i="51"/>
  <c r="B40" i="21" l="1"/>
  <c r="D40" i="21"/>
  <c r="A40" i="21" s="1"/>
  <c r="J40" i="21"/>
  <c r="I40" i="21"/>
  <c r="C40" i="21"/>
  <c r="H40" i="21"/>
  <c r="K40" i="21"/>
  <c r="F40" i="21"/>
  <c r="G40" i="21"/>
  <c r="C44" i="51"/>
  <c r="G44" i="51" s="1"/>
  <c r="H44" i="51" s="1"/>
  <c r="B45" i="51"/>
  <c r="AH41" i="51"/>
  <c r="A44" i="51"/>
  <c r="AG41" i="51"/>
  <c r="J44" i="51"/>
  <c r="M44" i="51"/>
  <c r="G43" i="51"/>
  <c r="H43" i="51" s="1"/>
  <c r="F43" i="51"/>
  <c r="E43" i="51"/>
  <c r="D43" i="51"/>
  <c r="K43" i="51" s="1"/>
  <c r="L43" i="51" s="1"/>
  <c r="K42" i="51"/>
  <c r="L42" i="51" s="1"/>
  <c r="F44" i="51"/>
  <c r="E44" i="51"/>
  <c r="O137" i="32"/>
  <c r="Q137" i="32"/>
  <c r="L135" i="32"/>
  <c r="N135" i="32"/>
  <c r="P135" i="32"/>
  <c r="Q34" i="51"/>
  <c r="Y35" i="51"/>
  <c r="U36" i="51" s="1"/>
  <c r="A45" i="51" l="1"/>
  <c r="AC42" i="51"/>
  <c r="AB42" i="51"/>
  <c r="J45" i="51"/>
  <c r="C45" i="51"/>
  <c r="M45" i="51"/>
  <c r="B46" i="51"/>
  <c r="D45" i="51"/>
  <c r="D44" i="51"/>
  <c r="K44" i="51" s="1"/>
  <c r="L44" i="51" s="1"/>
  <c r="L136" i="32"/>
  <c r="P136" i="32"/>
  <c r="N136" i="32"/>
  <c r="Q138" i="32"/>
  <c r="O138" i="32"/>
  <c r="Q35" i="51"/>
  <c r="V36" i="51"/>
  <c r="X37" i="51" s="1"/>
  <c r="J46" i="51" l="1"/>
  <c r="B47" i="51"/>
  <c r="AG43" i="51"/>
  <c r="AH43" i="51"/>
  <c r="M46" i="51"/>
  <c r="C46" i="51"/>
  <c r="A46" i="51"/>
  <c r="F45" i="51"/>
  <c r="G45" i="51"/>
  <c r="K45" i="51" s="1"/>
  <c r="L45" i="51" s="1"/>
  <c r="E45" i="51"/>
  <c r="H45" i="51"/>
  <c r="Q139" i="32"/>
  <c r="O139" i="32"/>
  <c r="L137" i="32"/>
  <c r="P137" i="32"/>
  <c r="N137" i="32"/>
  <c r="Q36" i="51"/>
  <c r="Y37" i="51"/>
  <c r="U38" i="51" s="1"/>
  <c r="D46" i="51" l="1"/>
  <c r="E46" i="51"/>
  <c r="G46" i="51"/>
  <c r="K46" i="51" s="1"/>
  <c r="L46" i="51" s="1"/>
  <c r="A47" i="51"/>
  <c r="C47" i="51"/>
  <c r="B48" i="51"/>
  <c r="J47" i="51"/>
  <c r="M47" i="51"/>
  <c r="AB44" i="51"/>
  <c r="AC44" i="51"/>
  <c r="F46" i="51"/>
  <c r="L138" i="32"/>
  <c r="N138" i="32"/>
  <c r="P138" i="32"/>
  <c r="Q140" i="32"/>
  <c r="O140" i="32"/>
  <c r="Q37" i="51"/>
  <c r="V38" i="51"/>
  <c r="X39" i="51" s="1"/>
  <c r="AH45" i="51" l="1"/>
  <c r="AG45" i="51"/>
  <c r="J48" i="51"/>
  <c r="A48" i="51"/>
  <c r="B49" i="51"/>
  <c r="C48" i="51"/>
  <c r="M48" i="51"/>
  <c r="F47" i="51"/>
  <c r="G47" i="51"/>
  <c r="H47" i="51" s="1"/>
  <c r="D47" i="51"/>
  <c r="E47" i="51"/>
  <c r="H46" i="51"/>
  <c r="Q141" i="32"/>
  <c r="O141" i="32"/>
  <c r="L139" i="32"/>
  <c r="N139" i="32"/>
  <c r="P139" i="32"/>
  <c r="Y39" i="51"/>
  <c r="U40" i="51" s="1"/>
  <c r="Q38" i="51"/>
  <c r="K47" i="51" l="1"/>
  <c r="L47" i="51" s="1"/>
  <c r="D48" i="51"/>
  <c r="E48" i="51"/>
  <c r="G48" i="51"/>
  <c r="H48" i="51" s="1"/>
  <c r="F48" i="51"/>
  <c r="AB46" i="51"/>
  <c r="AC46" i="51"/>
  <c r="AD46" i="51" s="1"/>
  <c r="M49" i="51"/>
  <c r="J49" i="51"/>
  <c r="C49" i="51"/>
  <c r="A49" i="51"/>
  <c r="B50" i="51"/>
  <c r="L140" i="32"/>
  <c r="P140" i="32"/>
  <c r="N140" i="32"/>
  <c r="O142" i="32"/>
  <c r="Q142" i="32"/>
  <c r="Q39" i="51"/>
  <c r="V40" i="51"/>
  <c r="X41" i="51" s="1"/>
  <c r="AD30" i="51" l="1"/>
  <c r="AD42" i="51"/>
  <c r="AG47" i="51"/>
  <c r="AI39" i="51"/>
  <c r="AD38" i="51"/>
  <c r="AI25" i="51"/>
  <c r="AD40" i="51"/>
  <c r="AD26" i="51"/>
  <c r="AI43" i="51"/>
  <c r="A50" i="51"/>
  <c r="AI27" i="51"/>
  <c r="B49" i="39"/>
  <c r="AI45" i="51"/>
  <c r="M50" i="51"/>
  <c r="O11" i="21" s="1"/>
  <c r="AI31" i="51"/>
  <c r="AD34" i="51"/>
  <c r="C50" i="51"/>
  <c r="AD24" i="51"/>
  <c r="D27" i="51" s="1"/>
  <c r="AH47" i="51"/>
  <c r="AI47" i="51" s="1"/>
  <c r="AI35" i="51"/>
  <c r="AD36" i="51"/>
  <c r="AD28" i="51"/>
  <c r="AD32" i="51"/>
  <c r="AD44" i="51"/>
  <c r="J50" i="51"/>
  <c r="AI29" i="51"/>
  <c r="AI33" i="51"/>
  <c r="AI41" i="51"/>
  <c r="AI37" i="51"/>
  <c r="F49" i="51"/>
  <c r="D49" i="51"/>
  <c r="K49" i="51" s="1"/>
  <c r="L49" i="51" s="1"/>
  <c r="E49" i="51"/>
  <c r="G49" i="51"/>
  <c r="H49" i="51" s="1"/>
  <c r="K48" i="51"/>
  <c r="L48" i="51" s="1"/>
  <c r="Q143" i="32"/>
  <c r="O143" i="32"/>
  <c r="L141" i="32"/>
  <c r="N141" i="32"/>
  <c r="P141" i="32"/>
  <c r="Y41" i="51"/>
  <c r="U42" i="51" s="1"/>
  <c r="Q40" i="51"/>
  <c r="H43" i="39" l="1"/>
  <c r="G27" i="51"/>
  <c r="K27" i="51" s="1"/>
  <c r="L27" i="51" s="1"/>
  <c r="D28" i="51"/>
  <c r="A24" i="51"/>
  <c r="A25" i="51"/>
  <c r="E50" i="51"/>
  <c r="D50" i="51"/>
  <c r="K50" i="51" s="1"/>
  <c r="L50" i="51" s="1"/>
  <c r="F50" i="51"/>
  <c r="G50" i="51"/>
  <c r="H50" i="51" s="1"/>
  <c r="O144" i="32"/>
  <c r="Q144" i="32"/>
  <c r="L142" i="32"/>
  <c r="P142" i="32"/>
  <c r="N142" i="32"/>
  <c r="Q41" i="51"/>
  <c r="V42" i="51"/>
  <c r="X43" i="51" s="1"/>
  <c r="Q42" i="51"/>
  <c r="H44" i="39" l="1"/>
  <c r="G28" i="51"/>
  <c r="M27" i="51"/>
  <c r="E26" i="21"/>
  <c r="H27" i="51"/>
  <c r="J27" i="51" s="1"/>
  <c r="L143" i="32"/>
  <c r="N143" i="32"/>
  <c r="P143" i="32"/>
  <c r="Q145" i="32"/>
  <c r="O145" i="32"/>
  <c r="Y43" i="51"/>
  <c r="U44" i="51" s="1"/>
  <c r="D26" i="21" l="1"/>
  <c r="A26" i="21" s="1"/>
  <c r="J26" i="21"/>
  <c r="K26" i="21"/>
  <c r="I26" i="21" s="1"/>
  <c r="H24" i="21"/>
  <c r="G26" i="21"/>
  <c r="C26" i="21"/>
  <c r="B26" i="21"/>
  <c r="H28" i="51"/>
  <c r="E27" i="21"/>
  <c r="T5" i="51"/>
  <c r="K28" i="51"/>
  <c r="L28" i="51" s="1"/>
  <c r="E2" i="52"/>
  <c r="Q146" i="32"/>
  <c r="O146" i="32"/>
  <c r="L144" i="32"/>
  <c r="N144" i="32"/>
  <c r="P144" i="32"/>
  <c r="V44" i="51"/>
  <c r="X45" i="51" s="1"/>
  <c r="Q43" i="51"/>
  <c r="G2" i="52" l="1"/>
  <c r="O2" i="52" s="1"/>
  <c r="F2" i="52"/>
  <c r="L2" i="52"/>
  <c r="K2" i="52"/>
  <c r="M2" i="52"/>
  <c r="P2" i="52"/>
  <c r="J2" i="52"/>
  <c r="N2" i="52"/>
  <c r="H2" i="52"/>
  <c r="Q2" i="52"/>
  <c r="B27" i="21"/>
  <c r="K27" i="21"/>
  <c r="G27" i="21"/>
  <c r="I27" i="21"/>
  <c r="D27" i="21"/>
  <c r="A27" i="21" s="1"/>
  <c r="J27" i="21"/>
  <c r="C27" i="21"/>
  <c r="H27" i="21"/>
  <c r="F27" i="21"/>
  <c r="H26" i="21"/>
  <c r="F26" i="21"/>
  <c r="L145" i="32"/>
  <c r="P145" i="32"/>
  <c r="N145" i="32"/>
  <c r="Q147" i="32"/>
  <c r="O147" i="32"/>
  <c r="Y45" i="51"/>
  <c r="U46" i="51" s="1"/>
  <c r="Q44" i="51"/>
  <c r="I2" i="52" l="1"/>
  <c r="R2" i="52" s="1"/>
  <c r="Q148" i="32"/>
  <c r="O148" i="32"/>
  <c r="L146" i="32"/>
  <c r="N146" i="32"/>
  <c r="P146" i="32"/>
  <c r="Q45" i="51"/>
  <c r="V46" i="51"/>
  <c r="X47" i="51" s="1"/>
  <c r="L147" i="32" l="1"/>
  <c r="N147" i="32"/>
  <c r="P147" i="32"/>
  <c r="O149" i="32"/>
  <c r="Q149" i="32"/>
  <c r="Q46" i="51"/>
  <c r="Y47" i="51"/>
  <c r="U48" i="51" s="1"/>
  <c r="Q150" i="32" l="1"/>
  <c r="O150" i="32"/>
  <c r="L148" i="32"/>
  <c r="N148" i="32"/>
  <c r="P148" i="32"/>
  <c r="Q47" i="51"/>
  <c r="V48" i="51"/>
  <c r="X49" i="51" s="1"/>
  <c r="L149" i="32" l="1"/>
  <c r="P149" i="32"/>
  <c r="N149" i="32"/>
  <c r="Q151" i="32"/>
  <c r="O151" i="32"/>
  <c r="Q48" i="51"/>
  <c r="Y49" i="51"/>
  <c r="U50" i="51" s="1"/>
  <c r="O152" i="32" l="1"/>
  <c r="Q152" i="32"/>
  <c r="L150" i="32"/>
  <c r="P150" i="32"/>
  <c r="N150" i="32"/>
  <c r="V50" i="51"/>
  <c r="X51" i="51" s="1"/>
  <c r="Q49" i="51"/>
  <c r="L151" i="32" l="1"/>
  <c r="P151" i="32"/>
  <c r="N151" i="32"/>
  <c r="Q153" i="32"/>
  <c r="O153" i="32"/>
  <c r="Q50" i="51"/>
  <c r="Y51" i="51"/>
  <c r="U52" i="51" s="1"/>
  <c r="Q154" i="32" l="1"/>
  <c r="O154" i="32"/>
  <c r="L152" i="32"/>
  <c r="N152" i="32"/>
  <c r="P152" i="32"/>
  <c r="Q51" i="51"/>
  <c r="V52" i="51"/>
  <c r="X53" i="51" s="1"/>
  <c r="O155" i="32" l="1"/>
  <c r="Q155" i="32"/>
  <c r="L153" i="32"/>
  <c r="N153" i="32"/>
  <c r="P153" i="32"/>
  <c r="Q52" i="51"/>
  <c r="Y53" i="51"/>
  <c r="U54" i="51" s="1"/>
  <c r="L154" i="32" l="1"/>
  <c r="P154" i="32"/>
  <c r="N154" i="32"/>
  <c r="O156" i="32"/>
  <c r="Q156" i="32"/>
  <c r="V54" i="51"/>
  <c r="X55" i="51" s="1"/>
  <c r="Q53" i="51"/>
  <c r="Q157" i="32" l="1"/>
  <c r="O157" i="32"/>
  <c r="L155" i="32"/>
  <c r="N155" i="32"/>
  <c r="P155" i="32"/>
  <c r="Q54" i="51"/>
  <c r="Y55" i="51"/>
  <c r="Q158" i="32" l="1"/>
  <c r="O158" i="32"/>
  <c r="L156" i="32"/>
  <c r="P156" i="32"/>
  <c r="N156" i="32"/>
  <c r="U56" i="51"/>
  <c r="Q56" i="51"/>
  <c r="V56" i="51"/>
  <c r="Q55" i="51"/>
  <c r="L157" i="32" l="1"/>
  <c r="N157" i="32"/>
  <c r="P157" i="32"/>
  <c r="Q159" i="32"/>
  <c r="O159" i="32"/>
  <c r="Q160" i="32" l="1"/>
  <c r="O160" i="32"/>
  <c r="L158" i="32"/>
  <c r="N158" i="32"/>
  <c r="P158" i="32"/>
  <c r="O161" i="32" l="1"/>
  <c r="Q161" i="32"/>
  <c r="L159" i="32"/>
  <c r="N159" i="32"/>
  <c r="P159" i="32"/>
  <c r="L160" i="32" l="1"/>
  <c r="N160" i="32"/>
  <c r="P160" i="32"/>
  <c r="O162" i="32"/>
  <c r="Q162" i="32"/>
  <c r="Q163" i="32" l="1"/>
  <c r="O163" i="32"/>
  <c r="L161" i="32"/>
  <c r="P161" i="32"/>
  <c r="N161" i="32"/>
  <c r="L162" i="32" l="1"/>
  <c r="N162" i="32"/>
  <c r="P162" i="32"/>
  <c r="O164" i="32"/>
  <c r="Q164" i="32"/>
  <c r="Q165" i="32" l="1"/>
  <c r="O165" i="32"/>
  <c r="L163" i="32"/>
  <c r="P163" i="32"/>
  <c r="N163" i="32"/>
  <c r="L164" i="32" l="1"/>
  <c r="N164" i="32"/>
  <c r="P164" i="32"/>
  <c r="O166" i="32"/>
  <c r="Q166" i="32"/>
  <c r="O167" i="32" l="1"/>
  <c r="Q167" i="32"/>
  <c r="L165" i="32"/>
  <c r="P165" i="32"/>
  <c r="N165" i="32"/>
  <c r="L166" i="32" l="1"/>
  <c r="P166" i="32"/>
  <c r="N166" i="32"/>
  <c r="O168" i="32"/>
  <c r="Q168" i="32"/>
  <c r="Q169" i="32" l="1"/>
  <c r="O169" i="32"/>
  <c r="L167" i="32"/>
  <c r="N167" i="32"/>
  <c r="P167" i="32"/>
  <c r="L168" i="32" l="1"/>
  <c r="N168" i="32"/>
  <c r="P168" i="32"/>
  <c r="Q170" i="32"/>
  <c r="O170" i="32"/>
  <c r="O171" i="32" l="1"/>
  <c r="Q171" i="32"/>
  <c r="L169" i="32"/>
  <c r="N169" i="32"/>
  <c r="P169" i="32"/>
  <c r="L170" i="32" l="1"/>
  <c r="N170" i="32"/>
  <c r="P170" i="32"/>
  <c r="O172" i="32"/>
  <c r="Q172" i="32"/>
  <c r="Q173" i="32" l="1"/>
  <c r="O173" i="32"/>
  <c r="L171" i="32"/>
  <c r="N171" i="32"/>
  <c r="P171" i="32"/>
  <c r="Q174" i="32" l="1"/>
  <c r="O174" i="32"/>
  <c r="L172" i="32"/>
  <c r="N172" i="32"/>
  <c r="P172" i="32"/>
  <c r="L173" i="32" l="1"/>
  <c r="N173" i="32"/>
  <c r="P173" i="32"/>
  <c r="O175" i="32"/>
  <c r="Q175" i="32"/>
  <c r="O176" i="32" l="1"/>
  <c r="Q176" i="32"/>
  <c r="L174" i="32"/>
  <c r="P174" i="32"/>
  <c r="N174" i="32"/>
  <c r="L175" i="32" l="1"/>
  <c r="N175" i="32"/>
  <c r="P175" i="32"/>
  <c r="O177" i="32"/>
  <c r="Q177" i="32"/>
  <c r="O178" i="32" l="1"/>
  <c r="Q178" i="32"/>
  <c r="L176" i="32"/>
  <c r="N176" i="32"/>
  <c r="P176" i="32"/>
  <c r="L177" i="32" l="1"/>
  <c r="N177" i="32"/>
  <c r="P177" i="32"/>
  <c r="O179" i="32"/>
  <c r="Q179" i="32"/>
  <c r="Q180" i="32" l="1"/>
  <c r="O180" i="32"/>
  <c r="L178" i="32"/>
  <c r="N178" i="32"/>
  <c r="P178" i="32"/>
  <c r="L179" i="32" l="1"/>
  <c r="N179" i="32"/>
  <c r="P179" i="32"/>
  <c r="Q181" i="32"/>
  <c r="O181" i="32"/>
  <c r="Q182" i="32" l="1"/>
  <c r="O182" i="32"/>
  <c r="L180" i="32"/>
  <c r="P180" i="32"/>
  <c r="N180" i="32"/>
  <c r="L181" i="32" l="1"/>
  <c r="P181" i="32"/>
  <c r="N181" i="32"/>
  <c r="Q183" i="32"/>
  <c r="O183" i="32"/>
  <c r="O184" i="32" l="1"/>
  <c r="Q184" i="32"/>
  <c r="L182" i="32"/>
  <c r="P182" i="32"/>
  <c r="N182" i="32"/>
  <c r="L183" i="32" l="1"/>
  <c r="N183" i="32"/>
  <c r="P183" i="32"/>
  <c r="O185" i="32"/>
  <c r="Q185" i="32"/>
  <c r="Q186" i="32" l="1"/>
  <c r="O186" i="32"/>
  <c r="L184" i="32"/>
  <c r="N184" i="32"/>
  <c r="P184" i="32"/>
  <c r="L185" i="32" l="1"/>
  <c r="N185" i="32"/>
  <c r="P185" i="32"/>
  <c r="O187" i="32"/>
  <c r="Q187" i="32"/>
  <c r="Q188" i="32" l="1"/>
  <c r="O188" i="32"/>
  <c r="L186" i="32"/>
  <c r="N186" i="32"/>
  <c r="P186" i="32"/>
  <c r="L187" i="32" l="1"/>
  <c r="P187" i="32"/>
  <c r="N187" i="32"/>
  <c r="Q189" i="32"/>
  <c r="O189" i="32"/>
  <c r="O190" i="32" l="1"/>
  <c r="Q190" i="32"/>
  <c r="L188" i="32"/>
  <c r="P188" i="32"/>
  <c r="N188" i="32"/>
  <c r="L189" i="32" l="1"/>
  <c r="P189" i="32"/>
  <c r="N189" i="32"/>
  <c r="O191" i="32"/>
  <c r="Q191" i="32"/>
  <c r="Q192" i="32" l="1"/>
  <c r="O192" i="32"/>
  <c r="L190" i="32"/>
  <c r="P190" i="32"/>
  <c r="N190" i="32"/>
  <c r="L191" i="32" l="1"/>
  <c r="P191" i="32"/>
  <c r="N191" i="32"/>
  <c r="Q193" i="32"/>
  <c r="O193" i="32"/>
  <c r="O194" i="32" l="1"/>
  <c r="Q194" i="32"/>
  <c r="L192" i="32"/>
  <c r="N192" i="32"/>
  <c r="P192" i="32"/>
  <c r="L193" i="32" l="1"/>
  <c r="N193" i="32"/>
  <c r="P193" i="32"/>
  <c r="Q195" i="32"/>
  <c r="O195" i="32"/>
  <c r="Q196" i="32" l="1"/>
  <c r="O196" i="32"/>
  <c r="L194" i="32"/>
  <c r="N194" i="32"/>
  <c r="P194" i="32"/>
  <c r="L195" i="32" l="1"/>
  <c r="P195" i="32"/>
  <c r="N195" i="32"/>
  <c r="O197" i="32"/>
  <c r="Q197" i="32"/>
  <c r="Q198" i="32" l="1"/>
  <c r="O198" i="32"/>
  <c r="L196" i="32"/>
  <c r="N196" i="32"/>
  <c r="P196" i="32"/>
  <c r="L197" i="32" l="1"/>
  <c r="N197" i="32"/>
  <c r="P197" i="32"/>
  <c r="Q199" i="32"/>
  <c r="O199" i="32"/>
  <c r="Q200" i="32" l="1"/>
  <c r="O200" i="32"/>
  <c r="L198" i="32"/>
  <c r="N198" i="32"/>
  <c r="P198" i="32"/>
  <c r="O201" i="32" l="1"/>
  <c r="Q201" i="32"/>
  <c r="L199" i="32"/>
  <c r="N199" i="32"/>
  <c r="P199" i="32"/>
  <c r="L200" i="32" l="1"/>
  <c r="P200" i="32"/>
  <c r="N200" i="32"/>
  <c r="O202" i="32"/>
  <c r="Q202" i="32"/>
  <c r="O203" i="32" l="1"/>
  <c r="Q203" i="32"/>
  <c r="L201" i="32"/>
  <c r="N201" i="32"/>
  <c r="P201" i="32"/>
  <c r="L202" i="32" l="1"/>
  <c r="P202" i="32"/>
  <c r="N202" i="32"/>
  <c r="Q204" i="32"/>
  <c r="O204" i="32"/>
  <c r="O205" i="32" l="1"/>
  <c r="Q205" i="32"/>
  <c r="L203" i="32"/>
  <c r="N203" i="32"/>
  <c r="P203" i="32"/>
  <c r="L204" i="32" l="1"/>
  <c r="N204" i="32"/>
  <c r="P204" i="32"/>
  <c r="Q206" i="32"/>
  <c r="O206" i="32"/>
  <c r="Q207" i="32" l="1"/>
  <c r="O207" i="32"/>
  <c r="L205" i="32"/>
  <c r="N205" i="32"/>
  <c r="P205" i="32"/>
  <c r="L206" i="32" l="1"/>
  <c r="N206" i="32"/>
  <c r="P206" i="32"/>
  <c r="O208" i="32"/>
  <c r="Q208" i="32"/>
  <c r="Q209" i="32" l="1"/>
  <c r="O209" i="32"/>
  <c r="L207" i="32"/>
  <c r="N207" i="32"/>
  <c r="P207" i="32"/>
  <c r="O210" i="32" l="1"/>
  <c r="Q210" i="32"/>
  <c r="L208" i="32"/>
  <c r="P208" i="32"/>
  <c r="N208" i="32"/>
  <c r="L209" i="32" l="1"/>
  <c r="P209" i="32"/>
  <c r="N209" i="32"/>
  <c r="O211" i="32"/>
  <c r="Q211" i="32"/>
  <c r="O212" i="32" l="1"/>
  <c r="Q212" i="32"/>
  <c r="L210" i="32"/>
  <c r="P210" i="32"/>
  <c r="N210" i="32"/>
  <c r="L211" i="32" l="1"/>
  <c r="N211" i="32"/>
  <c r="P211" i="32"/>
  <c r="O213" i="32"/>
  <c r="Q213" i="32"/>
  <c r="O214" i="32" l="1"/>
  <c r="Q214" i="32"/>
  <c r="L212" i="32"/>
  <c r="N212" i="32"/>
  <c r="P212" i="32"/>
  <c r="L213" i="32" l="1"/>
  <c r="P213" i="32"/>
  <c r="N213" i="32"/>
  <c r="O215" i="32"/>
  <c r="Q215" i="32"/>
  <c r="O216" i="32" l="1"/>
  <c r="Q216" i="32"/>
  <c r="L214" i="32"/>
  <c r="N214" i="32"/>
  <c r="P214" i="32"/>
  <c r="L215" i="32" l="1"/>
  <c r="P215" i="32"/>
  <c r="N215" i="32"/>
  <c r="Q217" i="32"/>
  <c r="O217" i="32"/>
  <c r="Q218" i="32" l="1"/>
  <c r="O218" i="32"/>
  <c r="L216" i="32"/>
  <c r="N216" i="32"/>
  <c r="P216" i="32"/>
  <c r="O219" i="32" l="1"/>
  <c r="Q219" i="32"/>
  <c r="L217" i="32"/>
  <c r="P217" i="32"/>
  <c r="N217" i="32"/>
  <c r="L218" i="32" l="1"/>
  <c r="N218" i="32"/>
  <c r="P218" i="32"/>
  <c r="O220" i="32"/>
  <c r="Q220" i="32"/>
  <c r="Q221" i="32" l="1"/>
  <c r="O221" i="32"/>
  <c r="L219" i="32"/>
  <c r="P219" i="32"/>
  <c r="N219" i="32"/>
  <c r="L220" i="32" l="1"/>
  <c r="P220" i="32"/>
  <c r="N220" i="32"/>
  <c r="O222" i="32"/>
  <c r="Q222" i="32"/>
  <c r="O223" i="32" l="1"/>
  <c r="Q223" i="32"/>
  <c r="L221" i="32"/>
  <c r="N221" i="32"/>
  <c r="P221" i="32"/>
  <c r="L222" i="32" l="1"/>
  <c r="N222" i="32"/>
  <c r="P222" i="32"/>
  <c r="O224" i="32"/>
  <c r="Q224" i="32"/>
  <c r="Q225" i="32" l="1"/>
  <c r="O225" i="32"/>
  <c r="L223" i="32"/>
  <c r="P223" i="32"/>
  <c r="N223" i="32"/>
  <c r="Q226" i="32" l="1"/>
  <c r="O226" i="32"/>
  <c r="L224" i="32"/>
  <c r="N224" i="32"/>
  <c r="P224" i="32"/>
  <c r="Q227" i="32" l="1"/>
  <c r="O227" i="32"/>
  <c r="L225" i="32"/>
  <c r="N225" i="32"/>
  <c r="P225" i="32"/>
  <c r="L226" i="32" l="1"/>
  <c r="N226" i="32"/>
  <c r="P226" i="32"/>
  <c r="Q228" i="32"/>
  <c r="O228" i="32"/>
  <c r="O229" i="32" l="1"/>
  <c r="Q229" i="32"/>
  <c r="L227" i="32"/>
  <c r="P227" i="32"/>
  <c r="N227" i="32"/>
  <c r="L228" i="32" l="1"/>
  <c r="P228" i="32"/>
  <c r="N228" i="32"/>
  <c r="Q230" i="32"/>
  <c r="O230" i="32"/>
  <c r="O231" i="32" l="1"/>
  <c r="Q231" i="32"/>
  <c r="L229" i="32"/>
  <c r="N229" i="32"/>
  <c r="P229" i="32"/>
  <c r="L230" i="32" l="1"/>
  <c r="P230" i="32"/>
  <c r="N230" i="32"/>
  <c r="Q232" i="32"/>
  <c r="O232" i="32"/>
  <c r="Q233" i="32" l="1"/>
  <c r="O233" i="32"/>
  <c r="L231" i="32"/>
  <c r="P231" i="32"/>
  <c r="N231" i="32"/>
  <c r="L232" i="32" l="1"/>
  <c r="N232" i="32"/>
  <c r="P232" i="32"/>
  <c r="O234" i="32"/>
  <c r="Q234" i="32"/>
  <c r="O235" i="32" l="1"/>
  <c r="Q235" i="32"/>
  <c r="L233" i="32"/>
  <c r="P233" i="32"/>
  <c r="N233" i="32"/>
  <c r="L234" i="32" l="1"/>
  <c r="N234" i="32"/>
  <c r="P234" i="32"/>
  <c r="O236" i="32"/>
  <c r="Q236" i="32"/>
  <c r="O237" i="32" l="1"/>
  <c r="Q237" i="32"/>
  <c r="L235" i="32"/>
  <c r="P235" i="32"/>
  <c r="N235" i="32"/>
  <c r="L236" i="32" l="1"/>
  <c r="N236" i="32"/>
  <c r="P236" i="32"/>
  <c r="Q238" i="32"/>
  <c r="O238" i="32"/>
  <c r="L237" i="32" l="1"/>
  <c r="P237" i="32"/>
  <c r="N237" i="32"/>
  <c r="Q239" i="32"/>
  <c r="O239" i="32"/>
  <c r="Q240" i="32" l="1"/>
  <c r="O240" i="32"/>
  <c r="L238" i="32"/>
  <c r="P238" i="32"/>
  <c r="N238" i="32"/>
  <c r="Q241" i="32" l="1"/>
  <c r="O241" i="32"/>
  <c r="L239" i="32"/>
  <c r="P239" i="32"/>
  <c r="N239" i="32"/>
  <c r="Q242" i="32" l="1"/>
  <c r="O242" i="32"/>
  <c r="L240" i="32"/>
  <c r="N240" i="32"/>
  <c r="P240" i="32"/>
  <c r="L241" i="32" l="1"/>
  <c r="P241" i="32"/>
  <c r="N241" i="32"/>
  <c r="Q243" i="32"/>
  <c r="O243" i="32"/>
  <c r="O244" i="32" l="1"/>
  <c r="Q244" i="32"/>
  <c r="L242" i="32"/>
  <c r="N242" i="32"/>
  <c r="P242" i="32"/>
  <c r="L243" i="32" l="1"/>
  <c r="P243" i="32"/>
  <c r="N243" i="32"/>
  <c r="Q245" i="32"/>
  <c r="O245" i="32"/>
  <c r="O246" i="32" l="1"/>
  <c r="Q246" i="32"/>
  <c r="L244" i="32"/>
  <c r="P244" i="32"/>
  <c r="N244" i="32"/>
  <c r="L245" i="32" l="1"/>
  <c r="P245" i="32"/>
  <c r="N245" i="32"/>
  <c r="Q247" i="32"/>
  <c r="O247" i="32"/>
  <c r="O248" i="32" l="1"/>
  <c r="Q248" i="32"/>
  <c r="L246" i="32"/>
  <c r="N246" i="32"/>
  <c r="P246" i="32"/>
  <c r="L247" i="32" l="1"/>
  <c r="P247" i="32"/>
  <c r="N247" i="32"/>
  <c r="O249" i="32"/>
  <c r="Q249" i="32"/>
  <c r="Q250" i="32" l="1"/>
  <c r="O250" i="32"/>
  <c r="L248" i="32"/>
  <c r="P248" i="32"/>
  <c r="N248" i="32"/>
  <c r="L249" i="32" l="1"/>
  <c r="N249" i="32"/>
  <c r="P249" i="32"/>
  <c r="O251" i="32"/>
  <c r="Q251" i="32"/>
  <c r="O252" i="32" l="1"/>
  <c r="Q252" i="32"/>
  <c r="L250" i="32"/>
  <c r="P250" i="32"/>
  <c r="N250" i="32"/>
  <c r="L251" i="32" l="1"/>
  <c r="N251" i="32"/>
  <c r="P251" i="32"/>
  <c r="O253" i="32"/>
  <c r="Q253" i="32"/>
  <c r="Q254" i="32" l="1"/>
  <c r="O254" i="32"/>
  <c r="L252" i="32"/>
  <c r="N252" i="32"/>
  <c r="P252" i="32"/>
  <c r="L253" i="32" l="1"/>
  <c r="N253" i="32"/>
  <c r="P253" i="32"/>
  <c r="O255" i="32"/>
  <c r="Q255" i="32"/>
  <c r="Q256" i="32" l="1"/>
  <c r="O256" i="32"/>
  <c r="L254" i="32"/>
  <c r="P254" i="32"/>
  <c r="N254" i="32"/>
  <c r="L255" i="32" l="1"/>
  <c r="P255" i="32"/>
  <c r="N255" i="32"/>
  <c r="O257" i="32"/>
  <c r="Q257" i="32"/>
  <c r="Q258" i="32" l="1"/>
  <c r="O258" i="32"/>
  <c r="L256" i="32"/>
  <c r="P256" i="32"/>
  <c r="N256" i="32"/>
  <c r="L257" i="32" l="1"/>
  <c r="N257" i="32"/>
  <c r="P257" i="32"/>
  <c r="Q259" i="32"/>
  <c r="O259" i="32"/>
  <c r="Q260" i="32" l="1"/>
  <c r="O260" i="32"/>
  <c r="L258" i="32"/>
  <c r="P258" i="32"/>
  <c r="N258" i="32"/>
  <c r="L259" i="32" l="1"/>
  <c r="P259" i="32"/>
  <c r="N259" i="32"/>
  <c r="Q261" i="32"/>
  <c r="O261" i="32"/>
  <c r="O262" i="32" l="1"/>
  <c r="Q262" i="32"/>
  <c r="L260" i="32"/>
  <c r="P260" i="32"/>
  <c r="N260" i="32"/>
  <c r="L261" i="32" l="1"/>
  <c r="N261" i="32"/>
  <c r="P261" i="32"/>
  <c r="O263" i="32"/>
  <c r="Q263" i="32"/>
  <c r="O264" i="32" l="1"/>
  <c r="Q264" i="32"/>
  <c r="L262" i="32"/>
  <c r="P262" i="32"/>
  <c r="N262" i="32"/>
  <c r="L263" i="32" l="1"/>
  <c r="N263" i="32"/>
  <c r="P263" i="32"/>
  <c r="Q265" i="32"/>
  <c r="O265" i="32"/>
  <c r="Q266" i="32" l="1"/>
  <c r="O266" i="32"/>
  <c r="L264" i="32"/>
  <c r="N264" i="32"/>
  <c r="P264" i="32"/>
  <c r="L265" i="32" l="1"/>
  <c r="P265" i="32"/>
  <c r="N265" i="32"/>
  <c r="Q267" i="32"/>
  <c r="O267" i="32"/>
  <c r="Q268" i="32" l="1"/>
  <c r="O268" i="32"/>
  <c r="L266" i="32"/>
  <c r="N266" i="32"/>
  <c r="P266" i="32"/>
  <c r="L267" i="32" l="1"/>
  <c r="P267" i="32"/>
  <c r="N267" i="32"/>
  <c r="Q269" i="32"/>
  <c r="O269" i="32"/>
  <c r="Q270" i="32" l="1"/>
  <c r="O270" i="32"/>
  <c r="L268" i="32"/>
  <c r="P268" i="32"/>
  <c r="N268" i="32"/>
  <c r="L269" i="32" l="1"/>
  <c r="N269" i="32"/>
  <c r="P269" i="32"/>
  <c r="O271" i="32"/>
  <c r="Q271" i="32"/>
  <c r="O272" i="32" l="1"/>
  <c r="Q272" i="32"/>
  <c r="L270" i="32"/>
  <c r="N270" i="32"/>
  <c r="P270" i="32"/>
  <c r="L271" i="32" l="1"/>
  <c r="N271" i="32"/>
  <c r="P271" i="32"/>
  <c r="Q273" i="32"/>
  <c r="O273" i="32"/>
  <c r="Q274" i="32" l="1"/>
  <c r="O274" i="32"/>
  <c r="L272" i="32"/>
  <c r="N272" i="32"/>
  <c r="P272" i="32"/>
  <c r="O275" i="32" l="1"/>
  <c r="Q275" i="32"/>
  <c r="L273" i="32"/>
  <c r="P273" i="32"/>
  <c r="N273" i="32"/>
  <c r="L274" i="32" l="1"/>
  <c r="P274" i="32"/>
  <c r="N274" i="32"/>
  <c r="Q276" i="32"/>
  <c r="O276" i="32"/>
  <c r="Q277" i="32" l="1"/>
  <c r="O277" i="32"/>
  <c r="L275" i="32"/>
  <c r="P275" i="32"/>
  <c r="N275" i="32"/>
  <c r="L276" i="32" l="1"/>
  <c r="N276" i="32"/>
  <c r="P276" i="32"/>
  <c r="Q278" i="32"/>
  <c r="O278" i="32"/>
  <c r="O279" i="32" l="1"/>
  <c r="Q279" i="32"/>
  <c r="L277" i="32"/>
  <c r="P277" i="32"/>
  <c r="N277" i="32"/>
  <c r="L278" i="32" l="1"/>
  <c r="P278" i="32"/>
  <c r="N278" i="32"/>
  <c r="Q280" i="32"/>
  <c r="O280" i="32"/>
  <c r="Q281" i="32" l="1"/>
  <c r="O281" i="32"/>
  <c r="L279" i="32"/>
  <c r="N279" i="32"/>
  <c r="P279" i="32"/>
  <c r="O282" i="32" l="1"/>
  <c r="Q282" i="32"/>
  <c r="L280" i="32"/>
  <c r="N280" i="32"/>
  <c r="P280" i="32"/>
  <c r="L281" i="32" l="1"/>
  <c r="N281" i="32"/>
  <c r="P281" i="32"/>
  <c r="Q283" i="32"/>
  <c r="O283" i="32"/>
  <c r="Q284" i="32" l="1"/>
  <c r="O284" i="32"/>
  <c r="L282" i="32"/>
  <c r="N282" i="32"/>
  <c r="P282" i="32"/>
  <c r="L283" i="32" l="1"/>
  <c r="N283" i="32"/>
  <c r="P283" i="32"/>
  <c r="Q285" i="32"/>
  <c r="O285" i="32"/>
  <c r="Q286" i="32" l="1"/>
  <c r="O286" i="32"/>
  <c r="L284" i="32"/>
  <c r="P284" i="32"/>
  <c r="N284" i="32"/>
  <c r="O287" i="32" l="1"/>
  <c r="Q287" i="32"/>
  <c r="L285" i="32"/>
  <c r="P285" i="32"/>
  <c r="N285" i="32"/>
  <c r="L286" i="32" l="1"/>
  <c r="N286" i="32"/>
  <c r="P286" i="32"/>
  <c r="O288" i="32"/>
  <c r="Q288" i="32"/>
  <c r="O289" i="32" l="1"/>
  <c r="Q289" i="32"/>
  <c r="L287" i="32"/>
  <c r="N287" i="32"/>
  <c r="P287" i="32"/>
  <c r="L288" i="32" l="1"/>
  <c r="N288" i="32"/>
  <c r="P288" i="32"/>
  <c r="Q290" i="32"/>
  <c r="O290" i="32"/>
  <c r="Q291" i="32" l="1"/>
  <c r="O291" i="32"/>
  <c r="L289" i="32"/>
  <c r="P289" i="32"/>
  <c r="N289" i="32"/>
  <c r="L290" i="32" l="1"/>
  <c r="P290" i="32"/>
  <c r="N290" i="32"/>
  <c r="Q292" i="32"/>
  <c r="O292" i="32"/>
  <c r="Q293" i="32" l="1"/>
  <c r="O293" i="32"/>
  <c r="L291" i="32"/>
  <c r="N291" i="32"/>
  <c r="P291" i="32"/>
  <c r="O294" i="32" l="1"/>
  <c r="Q294" i="32"/>
  <c r="L292" i="32"/>
  <c r="P292" i="32"/>
  <c r="N292" i="32"/>
  <c r="L293" i="32" l="1"/>
  <c r="N293" i="32"/>
  <c r="P293" i="32"/>
  <c r="O295" i="32"/>
  <c r="Q295" i="32"/>
  <c r="O296" i="32" l="1"/>
  <c r="Q296" i="32"/>
  <c r="L294" i="32"/>
  <c r="P294" i="32"/>
  <c r="N294" i="32"/>
  <c r="L295" i="32" l="1"/>
  <c r="N295" i="32"/>
  <c r="P295" i="32"/>
  <c r="Q297" i="32"/>
  <c r="O297" i="32"/>
  <c r="O298" i="32" l="1"/>
  <c r="Q298" i="32"/>
  <c r="L296" i="32"/>
  <c r="P296" i="32"/>
  <c r="N296" i="32"/>
  <c r="L297" i="32" l="1"/>
  <c r="P297" i="32"/>
  <c r="N297" i="32"/>
  <c r="Q299" i="32"/>
  <c r="O299" i="32"/>
  <c r="O300" i="32" l="1"/>
  <c r="Q300" i="32"/>
  <c r="L298" i="32"/>
  <c r="N298" i="32"/>
  <c r="P298" i="32"/>
  <c r="L299" i="32" l="1"/>
  <c r="P299" i="32"/>
  <c r="N299" i="32"/>
  <c r="O301" i="32"/>
  <c r="Q301" i="32"/>
  <c r="Q302" i="32" l="1"/>
  <c r="O302" i="32"/>
  <c r="L300" i="32"/>
  <c r="P300" i="32"/>
  <c r="N300" i="32"/>
  <c r="L301" i="32" l="1"/>
  <c r="P301" i="32"/>
  <c r="N301" i="32"/>
  <c r="Q303" i="32"/>
  <c r="O303" i="32"/>
  <c r="O304" i="32" l="1"/>
  <c r="Q304" i="32"/>
  <c r="L302" i="32"/>
  <c r="N302" i="32"/>
  <c r="P302" i="32"/>
  <c r="L303" i="32" l="1"/>
  <c r="N303" i="32"/>
  <c r="P303" i="32"/>
  <c r="O305" i="32"/>
  <c r="Q305" i="32"/>
  <c r="O306" i="32" l="1"/>
  <c r="Q306" i="32"/>
  <c r="L304" i="32"/>
  <c r="N304" i="32"/>
  <c r="P304" i="32"/>
  <c r="L305" i="32" l="1"/>
  <c r="P305" i="32"/>
  <c r="N305" i="32"/>
  <c r="Q307" i="32"/>
  <c r="O307" i="32"/>
  <c r="Q308" i="32" l="1"/>
  <c r="O308" i="32"/>
  <c r="L306" i="32"/>
  <c r="N306" i="32"/>
  <c r="P306" i="32"/>
  <c r="L307" i="32" l="1"/>
  <c r="P307" i="32"/>
  <c r="N307" i="32"/>
  <c r="Q309" i="32"/>
  <c r="O309" i="32"/>
  <c r="Q310" i="32" l="1"/>
  <c r="O310" i="32"/>
  <c r="L308" i="32"/>
  <c r="N308" i="32"/>
  <c r="P308" i="32"/>
  <c r="L309" i="32" l="1"/>
  <c r="N309" i="32"/>
  <c r="P309" i="32"/>
  <c r="O311" i="32"/>
  <c r="Q311" i="32"/>
  <c r="Q312" i="32" l="1"/>
  <c r="O312" i="32"/>
  <c r="L310" i="32"/>
  <c r="P310" i="32"/>
  <c r="N310" i="32"/>
  <c r="L311" i="32" l="1"/>
  <c r="P311" i="32"/>
  <c r="N311" i="32"/>
  <c r="O313" i="32"/>
  <c r="Q313" i="32"/>
  <c r="O314" i="32" l="1"/>
  <c r="Q314" i="32"/>
  <c r="L312" i="32"/>
  <c r="P312" i="32"/>
  <c r="N312" i="32"/>
  <c r="L313" i="32" l="1"/>
  <c r="P313" i="32"/>
  <c r="N313" i="32"/>
  <c r="Q315" i="32"/>
  <c r="O315" i="32"/>
  <c r="O316" i="32" l="1"/>
  <c r="Q316" i="32"/>
  <c r="L314" i="32"/>
  <c r="N314" i="32"/>
  <c r="P314" i="32"/>
  <c r="L315" i="32" l="1"/>
  <c r="P315" i="32"/>
  <c r="N315" i="32"/>
  <c r="Q317" i="32"/>
  <c r="O317" i="32"/>
  <c r="Q318" i="32" l="1"/>
  <c r="O318" i="32"/>
  <c r="L316" i="32"/>
  <c r="N316" i="32"/>
  <c r="P316" i="32"/>
  <c r="L317" i="32" l="1"/>
  <c r="P317" i="32"/>
  <c r="N317" i="32"/>
  <c r="O319" i="32"/>
  <c r="Q319" i="32"/>
  <c r="Q320" i="32" l="1"/>
  <c r="O320" i="32"/>
  <c r="L318" i="32"/>
  <c r="P318" i="32"/>
  <c r="N318" i="32"/>
  <c r="L319" i="32" l="1"/>
  <c r="N319" i="32"/>
  <c r="P319" i="32"/>
  <c r="Q321" i="32"/>
  <c r="O321" i="32"/>
  <c r="O322" i="32" l="1"/>
  <c r="Q322" i="32"/>
  <c r="L320" i="32"/>
  <c r="N320" i="32"/>
  <c r="P320" i="32"/>
  <c r="L321" i="32" l="1"/>
  <c r="P321" i="32"/>
  <c r="N321" i="32"/>
  <c r="Q323" i="32"/>
  <c r="O323" i="32"/>
  <c r="Q324" i="32" l="1"/>
  <c r="O324" i="32"/>
  <c r="L322" i="32"/>
  <c r="N322" i="32"/>
  <c r="P322" i="32"/>
  <c r="L323" i="32" l="1"/>
  <c r="N323" i="32"/>
  <c r="P323" i="32"/>
  <c r="Q325" i="32"/>
  <c r="O325" i="32"/>
  <c r="Q326" i="32" l="1"/>
  <c r="O326" i="32"/>
  <c r="L324" i="32"/>
  <c r="P324" i="32"/>
  <c r="N324" i="32"/>
  <c r="L325" i="32" l="1"/>
  <c r="P325" i="32"/>
  <c r="N325" i="32"/>
  <c r="Q327" i="32"/>
  <c r="O327" i="32"/>
  <c r="Q328" i="32" l="1"/>
  <c r="O328" i="32"/>
  <c r="L326" i="32"/>
  <c r="P326" i="32"/>
  <c r="N326" i="32"/>
  <c r="L327" i="32" l="1"/>
  <c r="P327" i="32"/>
  <c r="N327" i="32"/>
  <c r="O329" i="32"/>
  <c r="Q329" i="32"/>
  <c r="O330" i="32" l="1"/>
  <c r="Q330" i="32"/>
  <c r="L328" i="32"/>
  <c r="N328" i="32"/>
  <c r="P328" i="32"/>
  <c r="L329" i="32" l="1"/>
  <c r="P329" i="32"/>
  <c r="N329" i="32"/>
  <c r="O331" i="32"/>
  <c r="Q331" i="32"/>
  <c r="Q332" i="32" l="1"/>
  <c r="O332" i="32"/>
  <c r="L330" i="32"/>
  <c r="N330" i="32"/>
  <c r="P330" i="32"/>
  <c r="L331" i="32" l="1"/>
  <c r="N331" i="32"/>
  <c r="P331" i="32"/>
  <c r="Q333" i="32"/>
  <c r="O333" i="32"/>
  <c r="O334" i="32" l="1"/>
  <c r="Q334" i="32"/>
  <c r="L332" i="32"/>
  <c r="N332" i="32"/>
  <c r="P332" i="32"/>
  <c r="L333" i="32" l="1"/>
  <c r="N333" i="32"/>
  <c r="P333" i="32"/>
  <c r="Q335" i="32"/>
  <c r="O335" i="32"/>
  <c r="Q336" i="32" l="1"/>
  <c r="O336" i="32"/>
  <c r="L334" i="32"/>
  <c r="P334" i="32"/>
  <c r="N334" i="32"/>
  <c r="L335" i="32" l="1"/>
  <c r="P335" i="32"/>
  <c r="N335" i="32"/>
  <c r="Q337" i="32"/>
  <c r="O337" i="32"/>
  <c r="O338" i="32" l="1"/>
  <c r="Q338" i="32"/>
  <c r="L336" i="32"/>
  <c r="N336" i="32"/>
  <c r="P336" i="32"/>
  <c r="L337" i="32" l="1"/>
  <c r="P337" i="32"/>
  <c r="N337" i="32"/>
  <c r="O339" i="32"/>
  <c r="Q339" i="32"/>
  <c r="O340" i="32" l="1"/>
  <c r="Q340" i="32"/>
  <c r="L338" i="32"/>
  <c r="N338" i="32"/>
  <c r="P338" i="32"/>
  <c r="L339" i="32" l="1"/>
  <c r="P339" i="32"/>
  <c r="N339" i="32"/>
  <c r="O341" i="32"/>
  <c r="Q341" i="32"/>
  <c r="Q342" i="32" l="1"/>
  <c r="O342" i="32"/>
  <c r="L340" i="32"/>
  <c r="N340" i="32"/>
  <c r="P340" i="32"/>
  <c r="O343" i="32" l="1"/>
  <c r="Q343" i="32"/>
  <c r="L341" i="32"/>
  <c r="N341" i="32"/>
  <c r="P341" i="32"/>
  <c r="L342" i="32" l="1"/>
  <c r="P342" i="32"/>
  <c r="N342" i="32"/>
  <c r="Q344" i="32"/>
  <c r="O344" i="32"/>
  <c r="O345" i="32" l="1"/>
  <c r="Q345" i="32"/>
  <c r="L343" i="32"/>
  <c r="N343" i="32"/>
  <c r="P343" i="32"/>
  <c r="L344" i="32" l="1"/>
  <c r="P344" i="32"/>
  <c r="N344" i="32"/>
  <c r="O346" i="32"/>
  <c r="Q346" i="32"/>
  <c r="O347" i="32" l="1"/>
  <c r="Q347" i="32"/>
  <c r="L345" i="32"/>
  <c r="N345" i="32"/>
  <c r="P345" i="32"/>
  <c r="L346" i="32" l="1"/>
  <c r="P346" i="32"/>
  <c r="N346" i="32"/>
  <c r="Q348" i="32"/>
  <c r="O348" i="32"/>
  <c r="O349" i="32" l="1"/>
  <c r="Q349" i="32"/>
  <c r="L347" i="32"/>
  <c r="N347" i="32"/>
  <c r="P347" i="32"/>
  <c r="L348" i="32" l="1"/>
  <c r="P348" i="32"/>
  <c r="N348" i="32"/>
  <c r="Q350" i="32"/>
  <c r="O350" i="32"/>
  <c r="Q351" i="32" l="1"/>
  <c r="O351" i="32"/>
  <c r="L349" i="32"/>
  <c r="N349" i="32"/>
  <c r="P349" i="32"/>
  <c r="L350" i="32" l="1"/>
  <c r="P350" i="32"/>
  <c r="N350" i="32"/>
  <c r="O352" i="32"/>
  <c r="Q352" i="32"/>
  <c r="O353" i="32" l="1"/>
  <c r="Q353" i="32"/>
  <c r="L351" i="32"/>
  <c r="N351" i="32"/>
  <c r="P351" i="32"/>
  <c r="L352" i="32" l="1"/>
  <c r="N352" i="32"/>
  <c r="P352" i="32"/>
  <c r="O354" i="32"/>
  <c r="Q354" i="32"/>
  <c r="O355" i="32" l="1"/>
  <c r="Q355" i="32"/>
  <c r="L353" i="32"/>
  <c r="P353" i="32"/>
  <c r="N353" i="32"/>
  <c r="L354" i="32" l="1"/>
  <c r="P354" i="32"/>
  <c r="N354" i="32"/>
  <c r="O356" i="32"/>
  <c r="Q356" i="32"/>
  <c r="Q357" i="32" l="1"/>
  <c r="O357" i="32"/>
  <c r="L355" i="32"/>
  <c r="P355" i="32"/>
  <c r="N355" i="32"/>
  <c r="L356" i="32" l="1"/>
  <c r="P356" i="32"/>
  <c r="N356" i="32"/>
  <c r="Q358" i="32"/>
  <c r="O358" i="32"/>
  <c r="Q359" i="32" l="1"/>
  <c r="O359" i="32"/>
  <c r="L357" i="32"/>
  <c r="P357" i="32"/>
  <c r="N357" i="32"/>
  <c r="L358" i="32" l="1"/>
  <c r="P358" i="32"/>
  <c r="N358" i="32"/>
  <c r="O360" i="32"/>
  <c r="Q360" i="32"/>
  <c r="O361" i="32" l="1"/>
  <c r="Q361" i="32"/>
  <c r="L359" i="32"/>
  <c r="P359" i="32"/>
  <c r="N359" i="32"/>
  <c r="L360" i="32" l="1"/>
  <c r="N360" i="32"/>
  <c r="P360" i="32"/>
  <c r="O362" i="32"/>
  <c r="Q362" i="32"/>
  <c r="O363" i="32" l="1"/>
  <c r="Q363" i="32"/>
  <c r="L361" i="32"/>
  <c r="N361" i="32"/>
  <c r="P361" i="32"/>
  <c r="L362" i="32" l="1"/>
  <c r="N362" i="32"/>
  <c r="P362" i="32"/>
  <c r="O364" i="32"/>
  <c r="Q364" i="32"/>
  <c r="O365" i="32" l="1"/>
  <c r="Q365" i="32"/>
  <c r="L363" i="32"/>
  <c r="N363" i="32"/>
  <c r="P363" i="32"/>
  <c r="L364" i="32" l="1"/>
  <c r="N364" i="32"/>
  <c r="P364" i="32"/>
  <c r="Q366" i="32"/>
  <c r="O366" i="32"/>
  <c r="Q367" i="32" l="1"/>
  <c r="O367" i="32"/>
  <c r="L365" i="32"/>
  <c r="P365" i="32"/>
  <c r="N365" i="32"/>
  <c r="O368" i="32" l="1"/>
  <c r="Q368" i="32"/>
  <c r="L366" i="32"/>
  <c r="N366" i="32"/>
  <c r="P366" i="32"/>
  <c r="L367" i="32" l="1"/>
  <c r="N367" i="32"/>
  <c r="P367" i="32"/>
  <c r="O369" i="32"/>
  <c r="Q369" i="32"/>
  <c r="O370" i="32" l="1"/>
  <c r="Q370" i="32"/>
  <c r="L368" i="32"/>
  <c r="P368" i="32"/>
  <c r="N368" i="32"/>
  <c r="L369" i="32" l="1"/>
  <c r="P369" i="32"/>
  <c r="N369" i="32"/>
  <c r="Q371" i="32"/>
  <c r="O371" i="32"/>
  <c r="Q372" i="32" l="1"/>
  <c r="O372" i="32"/>
  <c r="L370" i="32"/>
  <c r="N370" i="32"/>
  <c r="P370" i="32"/>
  <c r="O373" i="32" l="1"/>
  <c r="Q373" i="32"/>
  <c r="L371" i="32"/>
  <c r="P371" i="32"/>
  <c r="N371" i="32"/>
  <c r="L372" i="32" l="1"/>
  <c r="P372" i="32"/>
  <c r="N372" i="32"/>
  <c r="Q374" i="32"/>
  <c r="O374" i="32"/>
  <c r="Q375" i="32" l="1"/>
  <c r="O375" i="32"/>
  <c r="L373" i="32"/>
  <c r="P373" i="32"/>
  <c r="N373" i="32"/>
  <c r="L374" i="32" l="1"/>
  <c r="N374" i="32"/>
  <c r="P374" i="32"/>
  <c r="Q376" i="32"/>
  <c r="O376" i="32"/>
  <c r="O377" i="32" l="1"/>
  <c r="Q377" i="32"/>
  <c r="L375" i="32"/>
  <c r="N375" i="32"/>
  <c r="P375" i="32"/>
  <c r="L376" i="32" l="1"/>
  <c r="P376" i="32"/>
  <c r="N376" i="32"/>
  <c r="O378" i="32"/>
  <c r="Q378" i="32"/>
  <c r="O379" i="32" l="1"/>
  <c r="Q379" i="32"/>
  <c r="L377" i="32"/>
  <c r="P377" i="32"/>
  <c r="N377" i="32"/>
  <c r="L378" i="32" l="1"/>
  <c r="P378" i="32"/>
  <c r="N378" i="32"/>
  <c r="Q380" i="32"/>
  <c r="O380" i="32"/>
  <c r="Q381" i="32" l="1"/>
  <c r="O381" i="32"/>
  <c r="L379" i="32"/>
  <c r="N379" i="32"/>
  <c r="P379" i="32"/>
  <c r="O382" i="32" l="1"/>
  <c r="Q382" i="32"/>
  <c r="L380" i="32"/>
  <c r="P380" i="32"/>
  <c r="N380" i="32"/>
  <c r="L381" i="32" l="1"/>
  <c r="P381" i="32"/>
  <c r="N381" i="32"/>
  <c r="O383" i="32"/>
  <c r="Q383" i="32"/>
  <c r="Q384" i="32" l="1"/>
  <c r="O384" i="32"/>
  <c r="L382" i="32"/>
  <c r="P382" i="32"/>
  <c r="N382" i="32"/>
  <c r="Q385" i="32" l="1"/>
  <c r="O385" i="32"/>
  <c r="L383" i="32"/>
  <c r="P383" i="32"/>
  <c r="N383" i="32"/>
  <c r="L384" i="32" l="1"/>
  <c r="P384" i="32"/>
  <c r="N384" i="32"/>
  <c r="O386" i="32"/>
  <c r="Q386" i="32"/>
  <c r="Q387" i="32" l="1"/>
  <c r="O387" i="32"/>
  <c r="L385" i="32"/>
  <c r="P385" i="32"/>
  <c r="N385" i="32"/>
  <c r="L386" i="32" l="1"/>
  <c r="P386" i="32"/>
  <c r="N386" i="32"/>
  <c r="O388" i="32"/>
  <c r="Q388" i="32"/>
  <c r="O389" i="32" l="1"/>
  <c r="Q389" i="32"/>
  <c r="L387" i="32"/>
  <c r="N387" i="32"/>
  <c r="P387" i="32"/>
  <c r="L388" i="32" l="1"/>
  <c r="N388" i="32"/>
  <c r="P388" i="32"/>
  <c r="Q390" i="32"/>
  <c r="O390" i="32"/>
  <c r="O391" i="32" l="1"/>
  <c r="Q391" i="32"/>
  <c r="L389" i="32"/>
  <c r="N389" i="32"/>
  <c r="P389" i="32"/>
  <c r="L390" i="32" l="1"/>
  <c r="P390" i="32"/>
  <c r="N390" i="32"/>
  <c r="Q392" i="32"/>
  <c r="O392" i="32"/>
  <c r="Q393" i="32" l="1"/>
  <c r="O393" i="32"/>
  <c r="L391" i="32"/>
  <c r="N391" i="32"/>
  <c r="P391" i="32"/>
  <c r="L392" i="32" l="1"/>
  <c r="N392" i="32"/>
  <c r="P392" i="32"/>
  <c r="O394" i="32"/>
  <c r="Q394" i="32"/>
  <c r="Q395" i="32" l="1"/>
  <c r="O395" i="32"/>
  <c r="L393" i="32"/>
  <c r="N393" i="32"/>
  <c r="P393" i="32"/>
  <c r="L394" i="32" l="1"/>
  <c r="P394" i="32"/>
  <c r="N394" i="32"/>
  <c r="Q396" i="32"/>
  <c r="O396" i="32"/>
  <c r="O397" i="32" l="1"/>
  <c r="Q397" i="32"/>
  <c r="L395" i="32"/>
  <c r="N395" i="32"/>
  <c r="P395" i="32"/>
  <c r="L396" i="32" l="1"/>
  <c r="N396" i="32"/>
  <c r="P396" i="32"/>
  <c r="Q398" i="32"/>
  <c r="O398" i="32"/>
  <c r="Q399" i="32" l="1"/>
  <c r="O399" i="32"/>
  <c r="L397" i="32"/>
  <c r="P397" i="32"/>
  <c r="N397" i="32"/>
  <c r="L398" i="32" l="1"/>
  <c r="N398" i="32"/>
  <c r="P398" i="32"/>
  <c r="O400" i="32"/>
  <c r="Q400" i="32"/>
  <c r="Q401" i="32" l="1"/>
  <c r="O401" i="32"/>
  <c r="L399" i="32"/>
  <c r="N399" i="32"/>
  <c r="P399" i="32"/>
  <c r="L400" i="32" l="1"/>
  <c r="N400" i="32"/>
  <c r="P400" i="32"/>
  <c r="O402" i="32"/>
  <c r="Q402" i="32"/>
  <c r="Q403" i="32" l="1"/>
  <c r="O403" i="32"/>
  <c r="L401" i="32"/>
  <c r="N401" i="32"/>
  <c r="P401" i="32"/>
  <c r="L402" i="32" l="1"/>
  <c r="P402" i="32"/>
  <c r="N402" i="32"/>
  <c r="L403" i="32" l="1"/>
  <c r="N403" i="32"/>
  <c r="P403" i="32"/>
  <c r="F71" i="32"/>
  <c r="G71" i="32"/>
  <c r="Y3" i="39"/>
  <c r="B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Länsstyrelsen Dalarna</author>
    <author>Berit</author>
    <author>Lundvall David</author>
    <author>Perca</author>
    <author>Tägtslingan</author>
    <author>Länsstyrelsen</author>
    <author>Fiskeriverket Härnösand</author>
  </authors>
  <commentList>
    <comment ref="B3" authorId="0" shapeId="0" xr:uid="{00000000-0006-0000-0000-000001000000}">
      <text>
        <r>
          <rPr>
            <b/>
            <sz val="8"/>
            <color indexed="81"/>
            <rFont val="Tahoma"/>
            <family val="2"/>
          </rPr>
          <t xml:space="preserve">Namnet på vattendraget. Anges med </t>
        </r>
        <r>
          <rPr>
            <b/>
            <sz val="8"/>
            <color indexed="12"/>
            <rFont val="Tahoma"/>
            <family val="2"/>
          </rPr>
          <t>max 20 tecken</t>
        </r>
        <r>
          <rPr>
            <b/>
            <sz val="8"/>
            <color indexed="81"/>
            <rFont val="Tahoma"/>
            <family val="2"/>
          </rPr>
          <t xml:space="preserve">. 
Är namnet långt kan förkortningar göras, tex.: "...bäcken" förkortas "...b" och "…älven" förkortas "…älv".
Undvik att använda följande tecken i vattendragsnamn:
 ~ ”# % &amp; *: &lt; &gt;? / \ { | }.
</t>
        </r>
      </text>
    </comment>
    <comment ref="U3" authorId="1" shapeId="0" xr:uid="{00000000-0006-0000-0000-000002000000}">
      <text>
        <r>
          <rPr>
            <b/>
            <sz val="8"/>
            <color indexed="81"/>
            <rFont val="Tahoma"/>
            <family val="2"/>
          </rPr>
          <t xml:space="preserve">Fältet fylls i </t>
        </r>
        <r>
          <rPr>
            <b/>
            <sz val="8"/>
            <color indexed="12"/>
            <rFont val="Tahoma"/>
            <family val="2"/>
          </rPr>
          <t>automatiskt</t>
        </r>
        <r>
          <rPr>
            <b/>
            <sz val="8"/>
            <color indexed="81"/>
            <rFont val="Tahoma"/>
            <family val="2"/>
          </rPr>
          <t xml:space="preserve"> när Länsnamn anges (Fält I1)
Länsnummer enligt:
1=Stockholms län (AB)
3=Uppsala län (C )
4=Södermanlands län (D)
5=Östergötlands län (E)
6=Jönköpings län (F)
7=Kronobergs län (G)
8=Kalmar län (H)
9=Gotlands län (I)
10=Blekinge län (K)
12=Skåne län (M)
13=Hallands län (N)
14=Västra Götalands län (O)
17=Värmlands län (S)
18=Örebro län (T)
19=Västmanlands län (U)
20=Dalarnas län (W)
21=Gävleborgs län (X)
22=Västernorrlands län (Y)
23=Jämtlands län (Z)
24=Västerbottens län (AC)
25=Norrbottens län (BD)
</t>
        </r>
      </text>
    </comment>
    <comment ref="B4" authorId="0" shapeId="0" xr:uid="{00000000-0006-0000-0000-000003000000}">
      <text>
        <r>
          <rPr>
            <b/>
            <sz val="8"/>
            <color indexed="81"/>
            <rFont val="Tahoma"/>
            <family val="2"/>
          </rPr>
          <t>Namnet på den kommun i vilket elfisket utförts</t>
        </r>
      </text>
    </comment>
    <comment ref="L4" authorId="2" shapeId="0" xr:uid="{00000000-0006-0000-0000-000004000000}">
      <text>
        <r>
          <rPr>
            <b/>
            <sz val="9"/>
            <color indexed="81"/>
            <rFont val="Tahoma"/>
            <family val="2"/>
          </rPr>
          <t xml:space="preserve">Fylls i </t>
        </r>
        <r>
          <rPr>
            <b/>
            <sz val="9"/>
            <color indexed="12"/>
            <rFont val="Tahoma"/>
            <family val="2"/>
          </rPr>
          <t>automatiskt</t>
        </r>
        <r>
          <rPr>
            <b/>
            <sz val="9"/>
            <color indexed="81"/>
            <rFont val="Tahoma"/>
            <family val="2"/>
          </rPr>
          <t xml:space="preserve"> när komunnanmet angivits (fält E4)</t>
        </r>
      </text>
    </comment>
    <comment ref="S4" authorId="0" shapeId="0" xr:uid="{00000000-0006-0000-0000-000005000000}">
      <text>
        <r>
          <rPr>
            <b/>
            <sz val="8"/>
            <color indexed="81"/>
            <rFont val="Tahoma"/>
            <family val="2"/>
          </rPr>
          <t xml:space="preserve">
SYFTE: I fältet till höger anges syftet med elfisket. Valbara syften vid elfisken är följande:
</t>
        </r>
        <r>
          <rPr>
            <b/>
            <u/>
            <sz val="8"/>
            <color indexed="81"/>
            <rFont val="Tahoma"/>
            <family val="2"/>
          </rPr>
          <t>AVEL                       Är syftet enbart att insamla avelsfisk anges AVEL
BASINV                  Basinventering av Natura 2000-områden
BIOTO                    Uppföljning efter biotopåtgärder
FAME                      EU-projektet Fame
FLYTTN                   Flyttning av fisk
FVP                          Fiskevårdsplan
GRIP                       EU-projektet GRIP on LIFE IP
IKEU                        Integrerad nationell kalkeffektuppföljning
IKEUAVSL               Integrerad nationell kalkeffektuppföljning återförsurning
IKEUREF                  Referensvattendrag till nationella kalkeffektuppföljningen, s k intensivvattendrag
INVENT                     Inventering 
LONA                        Lokala naturvårdssatsningen
LOVA                        Lokala åtgärder för bättre havsmiljö
METODUTV             Elfiske kopplat till metodutveckling inom svensk miljöövervakning
MILJÖMÅL              Miljömålsutredning
MKB                          Miljökonsekvensbeskrivning
MONITOR                Monitoring (t.ex. övervakning av laxfiskpopulation)
NAP                           Nationell plan för omprövning av vattenkraften (NAP)
NMÖ                          Okalkade referensvattendrag till den nationella miljöövervakningen
NÖ-HAVSÖRING      Nationellt övervakningsprogram havsöring
NÖ-LAX                     Nationellt övervakningsprogram lax
NÖ-ÅL                        Nationellt övervakningsprogram ål
PROVTAGN               Provtagning av fisk
RECKONTR               Recipientkontrollprogram
RKEU                         Regional kalkeffektuppföljning
RKEUREF                  Regionala referensvattendrag inom kalkeffektuppföljningen
RMÖ                          Ingår i regional miljöövervakning
UPPF                         Uppföljning, annan än kalkning
UTBILD                     Elfiskeutbildning
USKYDD                   Uppföljning av skyddade områden, inkl Natura 2000-områden
VDUPPF                    Statusklassning/uppföljning Vattendirektivet
VMÅL                        Vattenmål</t>
        </r>
        <r>
          <rPr>
            <b/>
            <sz val="8"/>
            <color indexed="81"/>
            <rFont val="Tahoma"/>
            <family val="2"/>
          </rPr>
          <t xml:space="preserve">
</t>
        </r>
        <r>
          <rPr>
            <b/>
            <sz val="8"/>
            <color indexed="12"/>
            <rFont val="Tahoma"/>
            <family val="2"/>
          </rPr>
          <t>REPR</t>
        </r>
        <r>
          <rPr>
            <b/>
            <sz val="8"/>
            <color indexed="81"/>
            <rFont val="Tahoma"/>
            <family val="2"/>
          </rPr>
          <t xml:space="preserve"> anger att syftet </t>
        </r>
        <r>
          <rPr>
            <b/>
            <u/>
            <sz val="8"/>
            <color indexed="81"/>
            <rFont val="Tahoma"/>
            <family val="2"/>
          </rPr>
          <t>enbart</t>
        </r>
        <r>
          <rPr>
            <b/>
            <sz val="8"/>
            <color indexed="81"/>
            <rFont val="Tahoma"/>
            <family val="2"/>
          </rPr>
          <t xml:space="preserve"> varit att översiktligt studera om reproduktion av laxfiskungar förekommit och att man därför inte fångat/noterat andra arter.
</t>
        </r>
      </text>
    </comment>
    <comment ref="U5" authorId="3" shapeId="0" xr:uid="{00000000-0006-0000-0000-000006000000}">
      <text>
        <r>
          <rPr>
            <b/>
            <sz val="8"/>
            <color indexed="81"/>
            <rFont val="Tahoma"/>
            <family val="2"/>
          </rPr>
          <t xml:space="preserve">Ange huvudflodsområde enl. SMHI, dvs det huvudvattensystem som lokalen ligger i
Anges med </t>
        </r>
        <r>
          <rPr>
            <b/>
            <sz val="8"/>
            <color indexed="12"/>
            <rFont val="Tahoma"/>
            <family val="2"/>
          </rPr>
          <t>rullista</t>
        </r>
        <r>
          <rPr>
            <b/>
            <sz val="8"/>
            <color indexed="81"/>
            <rFont val="Tahoma"/>
            <family val="2"/>
          </rPr>
          <t xml:space="preserve">
eller
med en </t>
        </r>
        <r>
          <rPr>
            <b/>
            <sz val="8"/>
            <color indexed="12"/>
            <rFont val="Tahoma"/>
            <family val="2"/>
          </rPr>
          <t>tre- eller sexsiffrig kod,</t>
        </r>
        <r>
          <rPr>
            <b/>
            <sz val="8"/>
            <color indexed="81"/>
            <rFont val="Tahoma"/>
            <family val="2"/>
          </rPr>
          <t xml:space="preserve"> tex 001 för Torneälven &amp; 001002 för 1/2 kustområde (vattensystemen  mellan Torneälv &amp; Keräsjokki).</t>
        </r>
      </text>
    </comment>
    <comment ref="B6" authorId="0" shapeId="0" xr:uid="{00000000-0006-0000-0000-000007000000}">
      <text>
        <r>
          <rPr>
            <b/>
            <sz val="8"/>
            <color indexed="81"/>
            <rFont val="Tahoma"/>
            <family val="2"/>
          </rPr>
          <t xml:space="preserve">Egen lägesbestämning av elfiskelokalens nedre avgränsning. 
</t>
        </r>
        <r>
          <rPr>
            <b/>
            <sz val="8"/>
            <color indexed="12"/>
            <rFont val="Tahoma"/>
            <family val="2"/>
          </rPr>
          <t>OBS! Endsast RT90-koord tillåtna:</t>
        </r>
        <r>
          <rPr>
            <b/>
            <sz val="8"/>
            <color indexed="81"/>
            <rFont val="Tahoma"/>
            <family val="2"/>
          </rPr>
          <t xml:space="preserve"> 
12-siffriga (6 + 6) eller 14-siffriga (7 + 7) 
Om man är osäker på vilka koordinater som är registrerad för en specifik  lokal kan man på vår hemsida ladda hem en lista med lokaluppgifter för samtliga elfiskelokaler registrerade i Elfiskeregistret, denna lista finns för nedladdning i anslutning till där senaste versionen av elfiskeprotokoll laddas ner.
koordinater hämtade från från topografisk karta bör ha skala 1:50 000 eller 1:10 000</t>
        </r>
      </text>
    </comment>
    <comment ref="Q6" authorId="2" shapeId="0" xr:uid="{00000000-0006-0000-0000-000008000000}">
      <text>
        <r>
          <rPr>
            <b/>
            <sz val="9"/>
            <color indexed="81"/>
            <rFont val="Tahoma"/>
            <family val="2"/>
          </rPr>
          <t>Obs! obligatoriskt fält INFÖRT 2020. 
Har lokalen fiskats vid något tidigare tillfälle? (Ja/Nej/Vet ej)
Alternativet "Vet ej" ifylles endast om osäkerhet finns angående huruvida elfiskelokalen tidigare elfiskats.</t>
        </r>
      </text>
    </comment>
    <comment ref="U6" authorId="0" shapeId="0" xr:uid="{00000000-0006-0000-0000-000009000000}">
      <text>
        <r>
          <rPr>
            <b/>
            <sz val="8"/>
            <color indexed="81"/>
            <rFont val="Tahoma"/>
            <family val="2"/>
          </rPr>
          <t xml:space="preserve">Enligt SMHI´s vattendragsregister
</t>
        </r>
      </text>
    </comment>
    <comment ref="B7" authorId="0" shapeId="0" xr:uid="{00000000-0006-0000-0000-00000A000000}">
      <text>
        <r>
          <rPr>
            <b/>
            <sz val="8"/>
            <color indexed="81"/>
            <rFont val="Tahoma"/>
            <family val="2"/>
          </rPr>
          <t xml:space="preserve">Ges av den som fiskade lokalen. Helst efter namn på topografiska kartan tex. Uppstr Slogkärret
Om lokalen fiskats vid tidigare tillfälle; använd samma lokalnamn som tidigare .
Undvik att använda följande tecken i lokalnamn:
 ~ ”# % &amp; *: &lt; &gt;? / \ { | }.
Anges med </t>
        </r>
        <r>
          <rPr>
            <b/>
            <sz val="8"/>
            <color indexed="12"/>
            <rFont val="Tahoma"/>
            <family val="2"/>
          </rPr>
          <t>max 20 tecken</t>
        </r>
        <r>
          <rPr>
            <b/>
            <sz val="8"/>
            <color indexed="81"/>
            <rFont val="Tahoma"/>
            <family val="2"/>
          </rPr>
          <t xml:space="preserve"> inklusive mellanslag</t>
        </r>
      </text>
    </comment>
    <comment ref="R7" authorId="4" shapeId="0" xr:uid="{00000000-0006-0000-0000-00000B000000}">
      <text>
        <r>
          <rPr>
            <b/>
            <sz val="9"/>
            <color indexed="81"/>
            <rFont val="Tahoma"/>
            <family val="2"/>
          </rPr>
          <t>Detta fällt används endast vid behov.
Befintliga lokaler som tidigare namngivits med Lokal Nr ska även fortsättningsvis göras så</t>
        </r>
      </text>
    </comment>
    <comment ref="U7" authorId="0" shapeId="0" xr:uid="{00000000-0006-0000-0000-00000C000000}">
      <text>
        <r>
          <rPr>
            <b/>
            <sz val="8"/>
            <color indexed="81"/>
            <rFont val="Tahoma"/>
            <family val="2"/>
          </rPr>
          <t>Höjd över havet anges i hela meter med endast siffror</t>
        </r>
      </text>
    </comment>
    <comment ref="B9" authorId="4" shapeId="0" xr:uid="{00000000-0006-0000-0000-00000D000000}">
      <text>
        <r>
          <rPr>
            <b/>
            <sz val="9"/>
            <color indexed="81"/>
            <rFont val="Tahoma"/>
            <family val="2"/>
          </rPr>
          <t>Ange vilken organisation som ansvarar för fiskets genomförande eller som är beställare. Ange namet eller förkortning enligt rullistan i inmatningsfältet.
Om den organisation/företag som genomförde elprovfisket ej finns med i listan är det möjligt att manuellt skriva in Organisation/avd.
Organisation/avd kan vara densamma som finansiär.</t>
        </r>
      </text>
    </comment>
    <comment ref="U9" authorId="0" shapeId="0" xr:uid="{00000000-0006-0000-0000-00000E000000}">
      <text>
        <r>
          <rPr>
            <b/>
            <sz val="8"/>
            <color indexed="81"/>
            <rFont val="Tahoma"/>
            <family val="2"/>
          </rPr>
          <t xml:space="preserve">Provtagningsdatum skrivet </t>
        </r>
        <r>
          <rPr>
            <b/>
            <sz val="8"/>
            <color indexed="12"/>
            <rFont val="Tahoma"/>
            <family val="2"/>
          </rPr>
          <t>ÅÅÅÅ-MM-DD</t>
        </r>
        <r>
          <rPr>
            <b/>
            <sz val="8"/>
            <color indexed="81"/>
            <rFont val="Tahoma"/>
            <family val="2"/>
          </rPr>
          <t>, tex 1989-08-24</t>
        </r>
        <r>
          <rPr>
            <b/>
            <sz val="8"/>
            <color indexed="81"/>
            <rFont val="Tahoma"/>
            <family val="2"/>
          </rPr>
          <t xml:space="preserve"> eller </t>
        </r>
        <r>
          <rPr>
            <b/>
            <sz val="8"/>
            <color indexed="12"/>
            <rFont val="Tahoma"/>
            <family val="2"/>
          </rPr>
          <t>ÅÅÅÅMMDD</t>
        </r>
        <r>
          <rPr>
            <b/>
            <sz val="8"/>
            <color indexed="81"/>
            <rFont val="Tahoma"/>
            <family val="2"/>
          </rPr>
          <t>, tex 19890824</t>
        </r>
      </text>
    </comment>
    <comment ref="B10" authorId="0" shapeId="0" xr:uid="{00000000-0006-0000-0000-00000F000000}">
      <text>
        <r>
          <rPr>
            <b/>
            <sz val="8"/>
            <color indexed="81"/>
            <rFont val="Tahoma"/>
            <family val="2"/>
          </rPr>
          <t xml:space="preserve">Namnet på de som utfört fisket 
</t>
        </r>
      </text>
    </comment>
    <comment ref="U10" authorId="4" shapeId="0" xr:uid="{00000000-0006-0000-0000-000010000000}">
      <text>
        <r>
          <rPr>
            <b/>
            <sz val="9"/>
            <color indexed="81"/>
            <rFont val="Tahoma"/>
            <family val="2"/>
          </rPr>
          <t>Ange den organisation eller myndighet som finansierat detta elprovfiske. Ange namet eller förkortning enligt rullistan i inmatningsfältet.
Om den organisation/företag som finansierat elprovfisket ej finns med i listan är det möjligt att manuellt skriva in finansiär.
Finansiär och Organisation/Avd kan vara densamma.</t>
        </r>
      </text>
    </comment>
    <comment ref="B11" authorId="0" shapeId="0" xr:uid="{00000000-0006-0000-0000-000011000000}">
      <text>
        <r>
          <rPr>
            <b/>
            <sz val="8"/>
            <color indexed="81"/>
            <rFont val="Tahoma"/>
            <family val="2"/>
          </rPr>
          <t>Adress, telefonnr. + ev. e-postadress</t>
        </r>
      </text>
    </comment>
    <comment ref="B13" authorId="0" shapeId="0" xr:uid="{00000000-0006-0000-0000-000012000000}">
      <text>
        <r>
          <rPr>
            <b/>
            <sz val="8"/>
            <color indexed="81"/>
            <rFont val="Tahoma"/>
            <family val="2"/>
          </rPr>
          <t>Ange antalet utfiskningsomgångar:
1, 2 eller 3</t>
        </r>
      </text>
    </comment>
    <comment ref="J13" authorId="0" shapeId="0" xr:uid="{00000000-0006-0000-0000-000013000000}">
      <text>
        <r>
          <rPr>
            <b/>
            <sz val="8"/>
            <color indexed="81"/>
            <rFont val="Tahoma"/>
            <family val="2"/>
          </rPr>
          <t xml:space="preserve">Ange om elfisket utförts kvantitativt eller kvalitativt
</t>
        </r>
        <r>
          <rPr>
            <b/>
            <sz val="8"/>
            <color indexed="12"/>
            <rFont val="Tahoma"/>
            <family val="2"/>
          </rPr>
          <t>Sätt X</t>
        </r>
      </text>
    </comment>
    <comment ref="V14" authorId="0" shapeId="0" xr:uid="{00000000-0006-0000-0000-000014000000}">
      <text>
        <r>
          <rPr>
            <b/>
            <sz val="8"/>
            <color indexed="81"/>
            <rFont val="Tahoma"/>
            <family val="2"/>
          </rPr>
          <t>Notera om fisket bedrevs avstängt, dvs om avstängningsnät använts eller om naturlig avstängning finns (ex. damm).</t>
        </r>
      </text>
    </comment>
    <comment ref="B16" authorId="0" shapeId="0" xr:uid="{00000000-0006-0000-0000-000015000000}">
      <text>
        <r>
          <rPr>
            <b/>
            <sz val="8"/>
            <color indexed="81"/>
            <rFont val="Tahoma"/>
            <family val="2"/>
          </rPr>
          <t xml:space="preserve">
Ange fabrikatet på det aggregat som användes vid det specifika elfisketillfället. Välj i första hand aggregat som finns listade i rullisten, finns inte det du söker kan även aggregat anges i fritext.
</t>
        </r>
        <r>
          <rPr>
            <b/>
            <sz val="8"/>
            <color indexed="12"/>
            <rFont val="Tahoma"/>
            <family val="2"/>
          </rPr>
          <t>Max 8 tecken</t>
        </r>
      </text>
    </comment>
    <comment ref="B17" authorId="0" shapeId="0" xr:uid="{00000000-0006-0000-0000-000016000000}">
      <text>
        <r>
          <rPr>
            <b/>
            <sz val="8"/>
            <color indexed="81"/>
            <rFont val="Tahoma"/>
            <family val="2"/>
          </rPr>
          <t xml:space="preserve">Den utgående spänningen (Volt) som använts vid fisket enligt voltmätaren på aggregatet. Bör ställas in efter vattnets ledningsförmåga (konduktivitet, anges i mS/m). Ligger ledningsförmågan på 5 mS/m bör voltstyrkan vara 700-900 V, är ledningsförmågan 10 mS/m så bör voltstyrkan vara 500-700 V &amp; är den 20 mS/m så bör voltstyrkan vara 200-500 V.
</t>
        </r>
      </text>
    </comment>
    <comment ref="L17" authorId="3" shapeId="0" xr:uid="{00000000-0006-0000-0000-000017000000}">
      <text>
        <r>
          <rPr>
            <b/>
            <sz val="8"/>
            <color indexed="81"/>
            <rFont val="Tahoma"/>
            <family val="2"/>
          </rPr>
          <t xml:space="preserve">Ange strömstyrka vid elfisket
</t>
        </r>
        <r>
          <rPr>
            <sz val="8"/>
            <color indexed="81"/>
            <rFont val="Tahoma"/>
            <family val="2"/>
          </rPr>
          <t xml:space="preserve">
Endast siffror får anges</t>
        </r>
      </text>
    </comment>
    <comment ref="U17" authorId="3" shapeId="0" xr:uid="{00000000-0006-0000-0000-000018000000}">
      <text>
        <r>
          <rPr>
            <b/>
            <sz val="8"/>
            <color indexed="81"/>
            <rFont val="Tahoma"/>
            <family val="2"/>
          </rPr>
          <t xml:space="preserve">Ange pulsfrekvens (Hz)
</t>
        </r>
        <r>
          <rPr>
            <sz val="8"/>
            <color indexed="81"/>
            <rFont val="Tahoma"/>
            <family val="2"/>
          </rPr>
          <t xml:space="preserve">
Endast siffror (tal) får anges</t>
        </r>
      </text>
    </comment>
    <comment ref="B18" authorId="3" shapeId="0" xr:uid="{00000000-0006-0000-0000-000019000000}">
      <text>
        <r>
          <rPr>
            <b/>
            <sz val="8"/>
            <color indexed="81"/>
            <rFont val="Tahoma"/>
            <family val="2"/>
          </rPr>
          <t xml:space="preserve">Ange vattendragets våta bredd i </t>
        </r>
        <r>
          <rPr>
            <b/>
            <sz val="8"/>
            <color indexed="12"/>
            <rFont val="Tahoma"/>
            <family val="2"/>
          </rPr>
          <t>meter</t>
        </r>
        <r>
          <rPr>
            <b/>
            <sz val="8"/>
            <color indexed="81"/>
            <rFont val="Tahoma"/>
            <family val="2"/>
          </rPr>
          <t xml:space="preserve">
</t>
        </r>
        <r>
          <rPr>
            <b/>
            <sz val="8"/>
            <color indexed="12"/>
            <rFont val="Tahoma"/>
            <family val="2"/>
          </rPr>
          <t>Fältet beräknas automatiskt</t>
        </r>
        <r>
          <rPr>
            <b/>
            <sz val="8"/>
            <color indexed="81"/>
            <rFont val="Tahoma"/>
            <family val="2"/>
          </rPr>
          <t xml:space="preserve"> om bladet 'LOKALBESKRIVN' fylls i först
Anges som medelbredd i m med en decimal.
Har hela vattendragsbredden avfiskats så är denna bredd = Avfiskad bredd. Har del av vattendraget fiskats så är denna bredd &gt; Avfiskad bredd
</t>
        </r>
      </text>
    </comment>
    <comment ref="L18" authorId="3" shapeId="0" xr:uid="{00000000-0006-0000-0000-00001A000000}">
      <text>
        <r>
          <rPr>
            <b/>
            <sz val="8"/>
            <color indexed="81"/>
            <rFont val="Tahoma"/>
            <family val="2"/>
          </rPr>
          <t xml:space="preserve">Ange avfiskad bredd. 
Den bredd av vattendraget som elfisket har omfattat. Om endast en del av vattendraget kunnat fiskats, t.ex. p.g.a. högt vattenstånd, anges denna bredd här.
Anges som i m med en decimal.
</t>
        </r>
      </text>
    </comment>
    <comment ref="B19" authorId="3" shapeId="0" xr:uid="{00000000-0006-0000-0000-00001B000000}">
      <text>
        <r>
          <rPr>
            <b/>
            <sz val="8"/>
            <color indexed="81"/>
            <rFont val="Tahoma"/>
            <family val="2"/>
          </rPr>
          <t xml:space="preserve">Ange lokalens längd i </t>
        </r>
        <r>
          <rPr>
            <b/>
            <sz val="8"/>
            <color indexed="12"/>
            <rFont val="Tahoma"/>
            <family val="2"/>
          </rPr>
          <t>meter</t>
        </r>
        <r>
          <rPr>
            <b/>
            <sz val="8"/>
            <color indexed="81"/>
            <rFont val="Tahoma"/>
            <family val="2"/>
          </rPr>
          <t xml:space="preserve">
</t>
        </r>
        <r>
          <rPr>
            <b/>
            <sz val="8"/>
            <color indexed="12"/>
            <rFont val="Tahoma"/>
            <family val="2"/>
          </rPr>
          <t xml:space="preserve">Fältet fylls i automatiskt </t>
        </r>
        <r>
          <rPr>
            <b/>
            <sz val="8"/>
            <color indexed="81"/>
            <rFont val="Tahoma"/>
            <family val="2"/>
          </rPr>
          <t>om bladet 'LOKALBESKRIVN' fylls i först</t>
        </r>
      </text>
    </comment>
    <comment ref="L19" authorId="0" shapeId="0" xr:uid="{00000000-0006-0000-0000-00001C000000}">
      <text>
        <r>
          <rPr>
            <b/>
            <sz val="8"/>
            <color indexed="81"/>
            <rFont val="Tahoma"/>
            <family val="2"/>
          </rPr>
          <t xml:space="preserve">Anges endast om andelen torra partier (stenar, block, öar, etc) är lika med eller överstiger 5 %. Denna yta kommer då att frånräknas lokalens yta.
Om inget anges antas andelen torra partier vara 0 %
Fältet </t>
        </r>
        <r>
          <rPr>
            <b/>
            <sz val="8"/>
            <color indexed="12"/>
            <rFont val="Tahoma"/>
            <family val="2"/>
          </rPr>
          <t>beräknas automatiskt</t>
        </r>
        <r>
          <rPr>
            <b/>
            <sz val="8"/>
            <color indexed="81"/>
            <rFont val="Tahoma"/>
            <family val="2"/>
          </rPr>
          <t xml:space="preserve"> om motsvarande uppgift i bladet 'LOKALBESKRIVN' fylls i först
Ange procentandel med </t>
        </r>
        <r>
          <rPr>
            <b/>
            <sz val="8"/>
            <color indexed="12"/>
            <rFont val="Tahoma"/>
            <family val="2"/>
          </rPr>
          <t>endast siffror</t>
        </r>
        <r>
          <rPr>
            <b/>
            <sz val="8"/>
            <color indexed="81"/>
            <rFont val="Tahoma"/>
            <family val="2"/>
          </rPr>
          <t xml:space="preserve">
</t>
        </r>
        <r>
          <rPr>
            <b/>
            <sz val="8"/>
            <color indexed="81"/>
            <rFont val="Tahoma"/>
            <family val="2"/>
          </rPr>
          <t>Avfiskad yta</t>
        </r>
        <r>
          <rPr>
            <b/>
            <sz val="8"/>
            <color indexed="81"/>
            <rFont val="Tahoma"/>
            <family val="2"/>
          </rPr>
          <t xml:space="preserve"> = (Avfiskad bredd * lokalens längd) * (1 - andel torra partier/100)</t>
        </r>
      </text>
    </comment>
    <comment ref="X19" authorId="0" shapeId="0" xr:uid="{00000000-0006-0000-0000-00001D000000}">
      <text>
        <r>
          <rPr>
            <b/>
            <sz val="8"/>
            <color indexed="81"/>
            <rFont val="Tahoma"/>
            <family val="2"/>
          </rPr>
          <t xml:space="preserve">Räknas vanligtvis ut </t>
        </r>
        <r>
          <rPr>
            <b/>
            <sz val="8"/>
            <color indexed="12"/>
            <rFont val="Tahoma"/>
            <family val="2"/>
          </rPr>
          <t xml:space="preserve">automatiskt </t>
        </r>
        <r>
          <rPr>
            <b/>
            <sz val="8"/>
            <color indexed="81"/>
            <rFont val="Tahoma"/>
            <family val="2"/>
          </rPr>
          <t xml:space="preserve">(lokalens längd * lokalens bredd).
Om lokalens form gör att dess längd * bredd inte lämpar sig som ytberäkning kan ytan anges
</t>
        </r>
        <r>
          <rPr>
            <b/>
            <sz val="8"/>
            <color indexed="12"/>
            <rFont val="Tahoma"/>
            <family val="2"/>
          </rPr>
          <t>Ange hela m</t>
        </r>
        <r>
          <rPr>
            <b/>
            <vertAlign val="superscript"/>
            <sz val="8"/>
            <color indexed="12"/>
            <rFont val="Tahoma"/>
            <family val="2"/>
          </rPr>
          <t>2</t>
        </r>
      </text>
    </comment>
    <comment ref="B20" authorId="3" shapeId="0" xr:uid="{00000000-0006-0000-0000-00001E000000}">
      <text>
        <r>
          <rPr>
            <b/>
            <sz val="8"/>
            <color indexed="81"/>
            <rFont val="Tahoma"/>
            <family val="2"/>
          </rPr>
          <t xml:space="preserve">Ange maxdjup i </t>
        </r>
        <r>
          <rPr>
            <b/>
            <sz val="8"/>
            <color indexed="12"/>
            <rFont val="Tahoma"/>
            <family val="2"/>
          </rPr>
          <t>meter</t>
        </r>
        <r>
          <rPr>
            <b/>
            <sz val="8"/>
            <color indexed="81"/>
            <rFont val="Tahoma"/>
            <family val="2"/>
          </rPr>
          <t xml:space="preserve">
</t>
        </r>
      </text>
    </comment>
    <comment ref="L20" authorId="2" shapeId="0" xr:uid="{00000000-0006-0000-0000-00001F000000}">
      <text>
        <r>
          <rPr>
            <b/>
            <sz val="9"/>
            <color indexed="81"/>
            <rFont val="Tahoma"/>
            <family val="2"/>
          </rPr>
          <t>Elfiskelokalens genomsnittliga bredd angiven i hela meter, med en decimal. Denna bredd kan endast beräknas efter att lokalen fiskats flera år.</t>
        </r>
      </text>
    </comment>
    <comment ref="X20" authorId="0" shapeId="0" xr:uid="{00000000-0006-0000-0000-000020000000}">
      <text>
        <r>
          <rPr>
            <b/>
            <sz val="8"/>
            <color indexed="81"/>
            <rFont val="Tahoma"/>
            <family val="2"/>
          </rPr>
          <t>Elfiskelokalens genomsnittliga yta angiven i hela m</t>
        </r>
        <r>
          <rPr>
            <b/>
            <vertAlign val="superscript"/>
            <sz val="8"/>
            <color indexed="81"/>
            <rFont val="Tahoma"/>
            <family val="2"/>
          </rPr>
          <t>2</t>
        </r>
        <r>
          <rPr>
            <b/>
            <sz val="8"/>
            <color indexed="81"/>
            <rFont val="Tahoma"/>
            <family val="2"/>
          </rPr>
          <t>. Denna yta kan endast beräknas efter att lokalen fiskats flera år.</t>
        </r>
      </text>
    </comment>
    <comment ref="B22" authorId="3" shapeId="0" xr:uid="{00000000-0006-0000-0000-000021000000}">
      <text>
        <r>
          <rPr>
            <b/>
            <sz val="8"/>
            <color indexed="81"/>
            <rFont val="Tahoma"/>
            <family val="2"/>
          </rPr>
          <t xml:space="preserve">Ange medeldjup i </t>
        </r>
        <r>
          <rPr>
            <b/>
            <sz val="8"/>
            <color indexed="12"/>
            <rFont val="Tahoma"/>
            <family val="2"/>
          </rPr>
          <t>meter</t>
        </r>
        <r>
          <rPr>
            <b/>
            <sz val="8"/>
            <color indexed="81"/>
            <rFont val="Tahoma"/>
            <family val="2"/>
          </rPr>
          <t xml:space="preserve">
Fältet </t>
        </r>
        <r>
          <rPr>
            <b/>
            <sz val="8"/>
            <color indexed="12"/>
            <rFont val="Tahoma"/>
            <family val="2"/>
          </rPr>
          <t>fylls i automatiskt</t>
        </r>
        <r>
          <rPr>
            <b/>
            <sz val="8"/>
            <color indexed="81"/>
            <rFont val="Tahoma"/>
            <family val="2"/>
          </rPr>
          <t xml:space="preserve"> om bladet 'LOKALBESKRIVN' fylls i först</t>
        </r>
      </text>
    </comment>
    <comment ref="L23" authorId="3" shapeId="0" xr:uid="{00000000-0006-0000-0000-000022000000}">
      <text>
        <r>
          <rPr>
            <b/>
            <sz val="8"/>
            <color indexed="81"/>
            <rFont val="Tahoma"/>
            <family val="2"/>
          </rPr>
          <t xml:space="preserve">Ange med X om vattnet är:
</t>
        </r>
        <r>
          <rPr>
            <b/>
            <sz val="8"/>
            <color indexed="12"/>
            <rFont val="Tahoma"/>
            <family val="2"/>
          </rPr>
          <t>Klart</t>
        </r>
        <r>
          <rPr>
            <b/>
            <sz val="8"/>
            <color indexed="81"/>
            <rFont val="Tahoma"/>
            <family val="2"/>
          </rPr>
          <t xml:space="preserve"> (&lt;1 FNU/FTU), 
</t>
        </r>
        <r>
          <rPr>
            <b/>
            <sz val="8"/>
            <color indexed="12"/>
            <rFont val="Tahoma"/>
            <family val="2"/>
          </rPr>
          <t>Grumligt</t>
        </r>
        <r>
          <rPr>
            <b/>
            <sz val="8"/>
            <color indexed="81"/>
            <rFont val="Tahoma"/>
            <family val="2"/>
          </rPr>
          <t xml:space="preserve"> (1-2.5 FNU/FTU) eller 
</t>
        </r>
        <r>
          <rPr>
            <b/>
            <sz val="8"/>
            <color indexed="12"/>
            <rFont val="Tahoma"/>
            <family val="2"/>
          </rPr>
          <t>Mycket grumligt</t>
        </r>
        <r>
          <rPr>
            <b/>
            <sz val="8"/>
            <color indexed="81"/>
            <rFont val="Tahoma"/>
            <family val="2"/>
          </rPr>
          <t xml:space="preserve"> (&gt;2.5 FNU/FTU)
Saknas mätinstrument görs bedömningen genom okulärbesiktning i glasburk eller liknande.</t>
        </r>
      </text>
    </comment>
    <comment ref="B24" authorId="3" shapeId="0" xr:uid="{00000000-0006-0000-0000-000023000000}">
      <text>
        <r>
          <rPr>
            <b/>
            <sz val="8"/>
            <color indexed="81"/>
            <rFont val="Tahoma"/>
            <family val="2"/>
          </rPr>
          <t xml:space="preserve">Ange </t>
        </r>
        <r>
          <rPr>
            <b/>
            <sz val="8"/>
            <color indexed="12"/>
            <rFont val="Tahoma"/>
            <family val="2"/>
          </rPr>
          <t>lufttemperatur</t>
        </r>
        <r>
          <rPr>
            <b/>
            <sz val="8"/>
            <color indexed="81"/>
            <rFont val="Tahoma"/>
            <family val="2"/>
          </rPr>
          <t xml:space="preserve"> vid elfisketillfället
Ange endast siffror i grader Celsius (decimaltal får anges)</t>
        </r>
      </text>
    </comment>
    <comment ref="B26" authorId="3" shapeId="0" xr:uid="{00000000-0006-0000-0000-000024000000}">
      <text>
        <r>
          <rPr>
            <b/>
            <sz val="8"/>
            <color indexed="81"/>
            <rFont val="Tahoma"/>
            <family val="2"/>
          </rPr>
          <t xml:space="preserve">Ange </t>
        </r>
        <r>
          <rPr>
            <b/>
            <sz val="8"/>
            <color indexed="12"/>
            <rFont val="Tahoma"/>
            <family val="2"/>
          </rPr>
          <t>vattentemperatur</t>
        </r>
        <r>
          <rPr>
            <b/>
            <sz val="8"/>
            <color indexed="81"/>
            <rFont val="Tahoma"/>
            <family val="2"/>
          </rPr>
          <t xml:space="preserve"> i ytvattnet (02 - 0,3 m) vid elfisketillfället
Ange endast siffror/tal med en decimals noggrannhet
Vattentemperatur anges i grader Celsius</t>
        </r>
      </text>
    </comment>
    <comment ref="L26" authorId="3" shapeId="0" xr:uid="{00000000-0006-0000-0000-000025000000}">
      <text>
        <r>
          <rPr>
            <b/>
            <sz val="8"/>
            <color indexed="81"/>
            <rFont val="Tahoma"/>
            <family val="2"/>
          </rPr>
          <t xml:space="preserve">Ange med X om vattnet är:
</t>
        </r>
        <r>
          <rPr>
            <b/>
            <sz val="8"/>
            <color indexed="12"/>
            <rFont val="Tahoma"/>
            <family val="2"/>
          </rPr>
          <t>Klart</t>
        </r>
        <r>
          <rPr>
            <b/>
            <sz val="8"/>
            <color indexed="81"/>
            <rFont val="Tahoma"/>
            <family val="2"/>
          </rPr>
          <t xml:space="preserve"> (&lt;25 mg Pt/l)
</t>
        </r>
        <r>
          <rPr>
            <b/>
            <sz val="8"/>
            <color indexed="12"/>
            <rFont val="Tahoma"/>
            <family val="2"/>
          </rPr>
          <t>Färgat</t>
        </r>
        <r>
          <rPr>
            <b/>
            <sz val="8"/>
            <color indexed="81"/>
            <rFont val="Tahoma"/>
            <family val="2"/>
          </rPr>
          <t xml:space="preserve"> (25-100 mg Pt/l) eller
</t>
        </r>
        <r>
          <rPr>
            <b/>
            <sz val="8"/>
            <color indexed="12"/>
            <rFont val="Tahoma"/>
            <family val="2"/>
          </rPr>
          <t>Kraftigt färgat</t>
        </r>
        <r>
          <rPr>
            <b/>
            <sz val="8"/>
            <color indexed="81"/>
            <rFont val="Tahoma"/>
            <family val="2"/>
          </rPr>
          <t xml:space="preserve"> (&gt;100 mg Pt/l)</t>
        </r>
      </text>
    </comment>
    <comment ref="B28" authorId="3" shapeId="0" xr:uid="{00000000-0006-0000-0000-000026000000}">
      <text>
        <r>
          <rPr>
            <b/>
            <sz val="8"/>
            <color indexed="81"/>
            <rFont val="Tahoma"/>
            <family val="2"/>
          </rPr>
          <t xml:space="preserve">Ange med X den dominerande vattenhastigheten i ytan:
</t>
        </r>
        <r>
          <rPr>
            <b/>
            <sz val="8"/>
            <color indexed="12"/>
            <rFont val="Tahoma"/>
            <family val="2"/>
          </rPr>
          <t>Lugnt</t>
        </r>
        <r>
          <rPr>
            <b/>
            <sz val="8"/>
            <color indexed="81"/>
            <rFont val="Tahoma"/>
            <family val="2"/>
          </rPr>
          <t xml:space="preserve"> &lt;0,2 m/s
</t>
        </r>
        <r>
          <rPr>
            <b/>
            <sz val="8"/>
            <color indexed="12"/>
            <rFont val="Tahoma"/>
            <family val="2"/>
          </rPr>
          <t>Strömt</t>
        </r>
        <r>
          <rPr>
            <b/>
            <sz val="8"/>
            <color indexed="81"/>
            <rFont val="Tahoma"/>
            <family val="2"/>
          </rPr>
          <t xml:space="preserve"> 0,2-0,7 m/s
</t>
        </r>
        <r>
          <rPr>
            <b/>
            <sz val="8"/>
            <color indexed="12"/>
            <rFont val="Tahoma"/>
            <family val="2"/>
          </rPr>
          <t>Stråk-fors</t>
        </r>
        <r>
          <rPr>
            <b/>
            <sz val="8"/>
            <color indexed="81"/>
            <rFont val="Tahoma"/>
            <family val="2"/>
          </rPr>
          <t xml:space="preserve"> medelvattenhastighet över 0,7 m/s.</t>
        </r>
      </text>
    </comment>
    <comment ref="B29" authorId="3" shapeId="0" xr:uid="{00000000-0006-0000-0000-000027000000}">
      <text>
        <r>
          <rPr>
            <b/>
            <sz val="8"/>
            <color indexed="81"/>
            <rFont val="Tahoma"/>
            <family val="2"/>
          </rPr>
          <t xml:space="preserve">Ange med X vattennivån/-flödet vid elfisketillfället
Fältet </t>
        </r>
        <r>
          <rPr>
            <b/>
            <sz val="8"/>
            <color indexed="12"/>
            <rFont val="Tahoma"/>
            <family val="2"/>
          </rPr>
          <t>fylls i automatiskt</t>
        </r>
        <r>
          <rPr>
            <b/>
            <sz val="8"/>
            <color indexed="81"/>
            <rFont val="Tahoma"/>
            <family val="2"/>
          </rPr>
          <t xml:space="preserve"> om bladet 'LOKALBESKRIVN' fylls i först</t>
        </r>
      </text>
    </comment>
    <comment ref="B30" authorId="0" shapeId="0" xr:uid="{00000000-0006-0000-0000-000028000000}">
      <text>
        <r>
          <rPr>
            <b/>
            <sz val="8"/>
            <color indexed="81"/>
            <rFont val="Tahoma"/>
            <family val="2"/>
          </rPr>
          <t xml:space="preserve">Ange med </t>
        </r>
        <r>
          <rPr>
            <b/>
            <sz val="8"/>
            <color indexed="12"/>
            <rFont val="Tahoma"/>
            <family val="2"/>
          </rPr>
          <t>X</t>
        </r>
        <r>
          <rPr>
            <b/>
            <sz val="8"/>
            <color indexed="81"/>
            <rFont val="Tahoma"/>
            <family val="2"/>
          </rPr>
          <t xml:space="preserve"> om botten är
</t>
        </r>
        <r>
          <rPr>
            <b/>
            <sz val="8"/>
            <color indexed="12"/>
            <rFont val="Tahoma"/>
            <family val="2"/>
          </rPr>
          <t>Jämn</t>
        </r>
        <r>
          <rPr>
            <b/>
            <sz val="8"/>
            <color indexed="81"/>
            <rFont val="Tahoma"/>
            <family val="2"/>
          </rPr>
          <t xml:space="preserve">
</t>
        </r>
        <r>
          <rPr>
            <b/>
            <sz val="8"/>
            <color indexed="12"/>
            <rFont val="Tahoma"/>
            <family val="2"/>
          </rPr>
          <t>Intermediär</t>
        </r>
        <r>
          <rPr>
            <b/>
            <sz val="8"/>
            <color indexed="81"/>
            <rFont val="Tahoma"/>
            <family val="2"/>
          </rPr>
          <t xml:space="preserve"> eller 
</t>
        </r>
        <r>
          <rPr>
            <b/>
            <sz val="8"/>
            <color indexed="12"/>
            <rFont val="Tahoma"/>
            <family val="2"/>
          </rPr>
          <t>Ojämn</t>
        </r>
        <r>
          <rPr>
            <b/>
            <sz val="8"/>
            <color indexed="81"/>
            <rFont val="Tahoma"/>
            <family val="2"/>
          </rPr>
          <t xml:space="preserve">
Subjektiv bedömning som kan lämnas därhän av den som är osäker.
</t>
        </r>
      </text>
    </comment>
    <comment ref="B31" authorId="0" shapeId="0" xr:uid="{00000000-0006-0000-0000-000029000000}">
      <text>
        <r>
          <rPr>
            <b/>
            <sz val="8"/>
            <color indexed="81"/>
            <rFont val="Tahoma"/>
            <family val="2"/>
          </rPr>
          <t>Förekomst av substrat och vegetation klassas även enligt 0=saknas, 1=&lt;5% av yttäckningen sett uppifrån, 2=5-50% av yttäckningen samt 3=&gt;50% av yttäckningen.</t>
        </r>
      </text>
    </comment>
    <comment ref="B32" authorId="3" shapeId="0" xr:uid="{00000000-0006-0000-0000-00002A000000}">
      <text>
        <r>
          <rPr>
            <b/>
            <sz val="8"/>
            <color indexed="81"/>
            <rFont val="Tahoma"/>
            <family val="2"/>
          </rPr>
          <t xml:space="preserve">Ange </t>
        </r>
        <r>
          <rPr>
            <b/>
            <sz val="8"/>
            <color indexed="12"/>
            <rFont val="Tahoma"/>
            <family val="2"/>
          </rPr>
          <t>dominernade</t>
        </r>
        <r>
          <rPr>
            <b/>
            <sz val="8"/>
            <color indexed="81"/>
            <rFont val="Tahoma"/>
            <family val="2"/>
          </rPr>
          <t xml:space="preserve"> bottensubstrat
Fältet </t>
        </r>
        <r>
          <rPr>
            <b/>
            <sz val="8"/>
            <color indexed="12"/>
            <rFont val="Tahoma"/>
            <family val="2"/>
          </rPr>
          <t>fylls i automatiskt</t>
        </r>
        <r>
          <rPr>
            <b/>
            <sz val="8"/>
            <color indexed="81"/>
            <rFont val="Tahoma"/>
            <family val="2"/>
          </rPr>
          <t xml:space="preserve"> om bladet 'LOKALBESKRIVN' fylls i först
Ange dominerande bottensubstrat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t>
        </r>
      </text>
    </comment>
    <comment ref="B33" authorId="3" shapeId="0" xr:uid="{00000000-0006-0000-0000-00002B000000}">
      <text>
        <r>
          <rPr>
            <b/>
            <sz val="8"/>
            <color indexed="81"/>
            <rFont val="Tahoma"/>
            <family val="2"/>
          </rPr>
          <t xml:space="preserve">Ange </t>
        </r>
        <r>
          <rPr>
            <b/>
            <sz val="8"/>
            <color indexed="12"/>
            <rFont val="Tahoma"/>
            <family val="2"/>
          </rPr>
          <t>förekomst</t>
        </r>
        <r>
          <rPr>
            <b/>
            <sz val="8"/>
            <color indexed="81"/>
            <rFont val="Tahoma"/>
            <family val="2"/>
          </rPr>
          <t xml:space="preserve"> av bottensubstrat.
Fältet </t>
        </r>
        <r>
          <rPr>
            <b/>
            <sz val="8"/>
            <color indexed="12"/>
            <rFont val="Tahoma"/>
            <family val="2"/>
          </rPr>
          <t>fylls i automatiskt</t>
        </r>
        <r>
          <rPr>
            <b/>
            <sz val="8"/>
            <color indexed="81"/>
            <rFont val="Tahoma"/>
            <family val="2"/>
          </rPr>
          <t xml:space="preserve"> om bladet 'LOKALBESKRIVN' fylls i först
Samtliga  bottensubstrat klassas 0 - 3, där:
</t>
        </r>
        <r>
          <rPr>
            <b/>
            <sz val="8"/>
            <color indexed="12"/>
            <rFont val="Tahoma"/>
            <family val="2"/>
          </rPr>
          <t>0</t>
        </r>
        <r>
          <rPr>
            <b/>
            <sz val="8"/>
            <color indexed="81"/>
            <rFont val="Tahoma"/>
            <family val="2"/>
          </rPr>
          <t xml:space="preserve"> = saknas
</t>
        </r>
        <r>
          <rPr>
            <b/>
            <sz val="8"/>
            <color indexed="12"/>
            <rFont val="Tahoma"/>
            <family val="2"/>
          </rPr>
          <t>1</t>
        </r>
        <r>
          <rPr>
            <b/>
            <sz val="8"/>
            <color indexed="81"/>
            <rFont val="Tahoma"/>
            <family val="2"/>
          </rPr>
          <t xml:space="preserve"> = &lt;5% yttäckning
</t>
        </r>
        <r>
          <rPr>
            <b/>
            <sz val="8"/>
            <color indexed="12"/>
            <rFont val="Tahoma"/>
            <family val="2"/>
          </rPr>
          <t>2</t>
        </r>
        <r>
          <rPr>
            <b/>
            <sz val="8"/>
            <color indexed="81"/>
            <rFont val="Tahoma"/>
            <family val="2"/>
          </rPr>
          <t xml:space="preserve"> = 5-50% yttäckning
</t>
        </r>
        <r>
          <rPr>
            <b/>
            <sz val="8"/>
            <color indexed="12"/>
            <rFont val="Tahoma"/>
            <family val="2"/>
          </rPr>
          <t>3</t>
        </r>
        <r>
          <rPr>
            <b/>
            <sz val="8"/>
            <color indexed="81"/>
            <rFont val="Tahoma"/>
            <family val="2"/>
          </rPr>
          <t xml:space="preserve"> = &gt;50% yttäckning</t>
        </r>
      </text>
    </comment>
    <comment ref="B34" authorId="3" shapeId="0" xr:uid="{00000000-0006-0000-0000-00002C000000}">
      <text>
        <r>
          <rPr>
            <b/>
            <sz val="8"/>
            <color indexed="81"/>
            <rFont val="Tahoma"/>
            <family val="2"/>
          </rPr>
          <t xml:space="preserve">Ange dominerande vattenvegetation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t>
        </r>
      </text>
    </comment>
    <comment ref="B35" authorId="3" shapeId="0" xr:uid="{00000000-0006-0000-0000-00002D000000}">
      <text>
        <r>
          <rPr>
            <b/>
            <sz val="8"/>
            <color indexed="81"/>
            <rFont val="Tahoma"/>
            <family val="2"/>
          </rPr>
          <t xml:space="preserve">Ange förekomsten (yttäckning ovanifrån) av vattenveg. på elfiskelokalen i klasserna:
</t>
        </r>
        <r>
          <rPr>
            <b/>
            <sz val="8"/>
            <color indexed="12"/>
            <rFont val="Tahoma"/>
            <family val="2"/>
          </rPr>
          <t>0</t>
        </r>
        <r>
          <rPr>
            <b/>
            <sz val="8"/>
            <color indexed="81"/>
            <rFont val="Tahoma"/>
            <family val="2"/>
          </rPr>
          <t xml:space="preserve"> = saknas
</t>
        </r>
        <r>
          <rPr>
            <b/>
            <sz val="8"/>
            <color indexed="12"/>
            <rFont val="Tahoma"/>
            <family val="2"/>
          </rPr>
          <t>1</t>
        </r>
        <r>
          <rPr>
            <b/>
            <sz val="8"/>
            <color indexed="81"/>
            <rFont val="Tahoma"/>
            <family val="2"/>
          </rPr>
          <t xml:space="preserve"> = &lt;5% yttäckning (ringa)
</t>
        </r>
        <r>
          <rPr>
            <b/>
            <sz val="8"/>
            <color indexed="12"/>
            <rFont val="Tahoma"/>
            <family val="2"/>
          </rPr>
          <t>2</t>
        </r>
        <r>
          <rPr>
            <b/>
            <sz val="8"/>
            <color indexed="81"/>
            <rFont val="Tahoma"/>
            <family val="2"/>
          </rPr>
          <t xml:space="preserve"> = 5-50% yttäckning (måttlig)
</t>
        </r>
        <r>
          <rPr>
            <b/>
            <sz val="8"/>
            <color indexed="12"/>
            <rFont val="Tahoma"/>
            <family val="2"/>
          </rPr>
          <t>3</t>
        </r>
        <r>
          <rPr>
            <b/>
            <sz val="8"/>
            <color indexed="81"/>
            <rFont val="Tahoma"/>
            <family val="2"/>
          </rPr>
          <t xml:space="preserve"> = &gt;50% yttäckning (riklig)
Om ingen bedömning gjorts kan förekomst markeras med </t>
        </r>
        <r>
          <rPr>
            <b/>
            <sz val="8"/>
            <color indexed="12"/>
            <rFont val="Tahoma"/>
            <family val="2"/>
          </rPr>
          <t>X</t>
        </r>
        <r>
          <rPr>
            <b/>
            <sz val="8"/>
            <color indexed="81"/>
            <rFont val="Tahoma"/>
            <family val="2"/>
          </rPr>
          <t xml:space="preserve"> </t>
        </r>
      </text>
    </comment>
    <comment ref="B36" authorId="3" shapeId="0" xr:uid="{00000000-0006-0000-0000-00002E000000}">
      <text>
        <r>
          <rPr>
            <b/>
            <sz val="8"/>
            <color indexed="81"/>
            <rFont val="Tahoma"/>
            <family val="2"/>
          </rPr>
          <t xml:space="preserve">Ange dominerande närmiljö enligt följande:
</t>
        </r>
        <r>
          <rPr>
            <b/>
            <sz val="8"/>
            <color indexed="12"/>
            <rFont val="Tahoma"/>
            <family val="2"/>
          </rPr>
          <t>D1</t>
        </r>
        <r>
          <rPr>
            <b/>
            <sz val="8"/>
            <color indexed="81"/>
            <rFont val="Tahoma"/>
            <family val="2"/>
          </rPr>
          <t xml:space="preserve"> = Mest dominerande
</t>
        </r>
        <r>
          <rPr>
            <b/>
            <sz val="8"/>
            <color indexed="12"/>
            <rFont val="Tahoma"/>
            <family val="2"/>
          </rPr>
          <t>D2</t>
        </r>
        <r>
          <rPr>
            <b/>
            <sz val="8"/>
            <color indexed="81"/>
            <rFont val="Tahoma"/>
            <family val="2"/>
          </rPr>
          <t xml:space="preserve"> = Näst dominerande
</t>
        </r>
        <r>
          <rPr>
            <b/>
            <sz val="8"/>
            <color indexed="12"/>
            <rFont val="Tahoma"/>
            <family val="2"/>
          </rPr>
          <t>D3</t>
        </r>
        <r>
          <rPr>
            <b/>
            <sz val="8"/>
            <color indexed="81"/>
            <rFont val="Tahoma"/>
            <family val="2"/>
          </rPr>
          <t xml:space="preserve"> = Tredje dominerande
Ange D1, D2 eller D3 för </t>
        </r>
        <r>
          <rPr>
            <b/>
            <sz val="8"/>
            <color indexed="12"/>
            <rFont val="Tahoma"/>
            <family val="2"/>
          </rPr>
          <t>max en</t>
        </r>
        <r>
          <rPr>
            <b/>
            <sz val="8"/>
            <color indexed="81"/>
            <rFont val="Tahoma"/>
            <family val="2"/>
          </rPr>
          <t xml:space="preserve"> av skogstyperna LÖVSKOG, BARRSKOG &amp; BLANDSKOG</t>
        </r>
      </text>
    </comment>
    <comment ref="B39" authorId="0" shapeId="0" xr:uid="{00000000-0006-0000-0000-00002F000000}">
      <text>
        <r>
          <rPr>
            <b/>
            <sz val="8"/>
            <color indexed="81"/>
            <rFont val="Tahoma"/>
            <family val="2"/>
          </rPr>
          <t xml:space="preserve">Ange elfiskelokalens (vattenytans) beskuggning i avrundade %-klasser; 0=beskuggning saknas eller är ytterst ringa (0-4%), 10 = 10% (5-14%) av elfiskelokalen är beskuggad, 20 = 20% (15-24%) osv. Beskuggningen bedöms utgående från trädens och buskarnas skuggning av vattenytan vid solsken mitt på dagen (kl 10-14).
</t>
        </r>
        <r>
          <rPr>
            <b/>
            <sz val="8"/>
            <color indexed="12"/>
            <rFont val="Tahoma"/>
            <family val="2"/>
          </rPr>
          <t>Ange endast siffror</t>
        </r>
      </text>
    </comment>
    <comment ref="K39" authorId="0" shapeId="0" xr:uid="{00000000-0006-0000-0000-000030000000}">
      <text>
        <r>
          <rPr>
            <b/>
            <sz val="8"/>
            <color indexed="81"/>
            <rFont val="Tahoma"/>
            <family val="2"/>
          </rPr>
          <t>Ange förekomsten av död ved (minst 10 cm i diameter samt minst 50 cm långa) i vattnet inom elfiskelokalen.</t>
        </r>
      </text>
    </comment>
    <comment ref="B52" authorId="0" shapeId="0" xr:uid="{00000000-0006-0000-0000-000031000000}">
      <text>
        <r>
          <rPr>
            <b/>
            <sz val="8"/>
            <color indexed="81"/>
            <rFont val="Tahoma"/>
            <family val="2"/>
          </rPr>
          <t xml:space="preserve">Ange lokalens avstånd till upp- resp nedströms sjö eller sel i km med en decimal. Mät på kartan utmed vattendraget. Som sjö eller sel räknas alla lugnvattenytor om minst 1 ha.
</t>
        </r>
        <r>
          <rPr>
            <b/>
            <sz val="8"/>
            <color indexed="12"/>
            <rFont val="Tahoma"/>
            <family val="2"/>
          </rPr>
          <t>Ange endast siffror
eller med ett X om sjö saknas</t>
        </r>
      </text>
    </comment>
    <comment ref="Q52" authorId="0" shapeId="0" xr:uid="{00000000-0006-0000-0000-000032000000}">
      <text>
        <r>
          <rPr>
            <b/>
            <sz val="8"/>
            <color indexed="81"/>
            <rFont val="Tahoma"/>
            <family val="2"/>
          </rPr>
          <t xml:space="preserve">Ange lokalens avstånd till upp- resp nedströms sjö eller sel i km med en decimal. Mät på kartan utmed vattendraget. Som sjö eller sel räknas alla lugnvattenytor om minst 1 ha.
</t>
        </r>
        <r>
          <rPr>
            <b/>
            <sz val="8"/>
            <color indexed="12"/>
            <rFont val="Tahoma"/>
            <family val="2"/>
          </rPr>
          <t>Ange endast siffror</t>
        </r>
      </text>
    </comment>
    <comment ref="B54" authorId="3" shapeId="0" xr:uid="{00000000-0006-0000-0000-000033000000}">
      <text>
        <r>
          <rPr>
            <b/>
            <sz val="8"/>
            <color indexed="81"/>
            <rFont val="Tahoma"/>
            <family val="2"/>
          </rPr>
          <t xml:space="preserve">Ange avrinningsområdets storlek.
Ange med ett </t>
        </r>
        <r>
          <rPr>
            <b/>
            <sz val="8"/>
            <color indexed="12"/>
            <rFont val="Tahoma"/>
            <family val="2"/>
          </rPr>
          <t>X</t>
        </r>
        <r>
          <rPr>
            <b/>
            <sz val="8"/>
            <color indexed="81"/>
            <rFont val="Tahoma"/>
            <family val="2"/>
          </rPr>
          <t xml:space="preserve"> för det alternativ som passar bäst. Bedöms från topografisk karta.</t>
        </r>
      </text>
    </comment>
    <comment ref="B55" authorId="3" shapeId="0" xr:uid="{00000000-0006-0000-0000-000034000000}">
      <text>
        <r>
          <rPr>
            <b/>
            <sz val="8"/>
            <color indexed="81"/>
            <rFont val="Tahoma"/>
            <family val="2"/>
          </rPr>
          <t xml:space="preserve">Ange sjöandel i avrinningsområdet.
Ange med ett </t>
        </r>
        <r>
          <rPr>
            <b/>
            <sz val="8"/>
            <color indexed="12"/>
            <rFont val="Tahoma"/>
            <family val="2"/>
          </rPr>
          <t>X</t>
        </r>
        <r>
          <rPr>
            <b/>
            <sz val="8"/>
            <color indexed="81"/>
            <rFont val="Tahoma"/>
            <family val="2"/>
          </rPr>
          <t xml:space="preserve"> för det alternativ som passar bäst.</t>
        </r>
      </text>
    </comment>
    <comment ref="B56" authorId="0" shapeId="0" xr:uid="{00000000-0006-0000-0000-000035000000}">
      <text>
        <r>
          <rPr>
            <b/>
            <sz val="8"/>
            <color indexed="81"/>
            <rFont val="Tahoma"/>
            <family val="2"/>
          </rPr>
          <t>Anger om definitivt vandringshinder för fisk (ej ål) föreligger så att närmaste sjö/hav/stor älv ej kan nås. Uppgiften är en bedömningsfråga och gäller bara den elfiskade fåran. Vandringshindret skall vara definitivt, dvs opasserbart hela året.
Ange med kryss (</t>
        </r>
        <r>
          <rPr>
            <b/>
            <sz val="8"/>
            <color indexed="12"/>
            <rFont val="Tahoma"/>
            <family val="2"/>
          </rPr>
          <t>X</t>
        </r>
        <r>
          <rPr>
            <b/>
            <sz val="8"/>
            <color indexed="81"/>
            <rFont val="Tahoma"/>
            <family val="2"/>
          </rPr>
          <t xml:space="preserve">) eller ange avstådet i </t>
        </r>
        <r>
          <rPr>
            <b/>
            <sz val="8"/>
            <color indexed="12"/>
            <rFont val="Tahoma"/>
            <family val="2"/>
          </rPr>
          <t>km</t>
        </r>
      </text>
    </comment>
    <comment ref="B57" authorId="0" shapeId="0" xr:uid="{00000000-0006-0000-0000-000036000000}">
      <text>
        <r>
          <rPr>
            <b/>
            <sz val="8"/>
            <color indexed="81"/>
            <rFont val="Tahoma"/>
            <family val="2"/>
          </rPr>
          <t xml:space="preserve">Ange om laxfiskpopulationen är strömlevande eller vandrande (till insjö/hav). Ibland kan populationer vara delvis vandrande, dvs en andel av fisken vandrar och en del förblir strömlevande. Bedömningen vandrande gäller om hälften av populationen bedöms vandrande.
</t>
        </r>
      </text>
    </comment>
    <comment ref="B58" authorId="0" shapeId="0" xr:uid="{00000000-0006-0000-0000-000037000000}">
      <text>
        <r>
          <rPr>
            <b/>
            <sz val="8"/>
            <color indexed="81"/>
            <rFont val="Tahoma"/>
            <family val="2"/>
          </rPr>
          <t xml:space="preserve">Lokalens värde som uppväxtbiotop för laxfiskungar (0+ - 2+) sommartid bedöms subjektivt med klassningen: 
</t>
        </r>
        <r>
          <rPr>
            <b/>
            <sz val="8"/>
            <color indexed="12"/>
            <rFont val="Tahoma"/>
            <family val="2"/>
          </rPr>
          <t>0 = olämplig lokal</t>
        </r>
        <r>
          <rPr>
            <b/>
            <sz val="8"/>
            <color indexed="81"/>
            <rFont val="Tahoma"/>
            <family val="2"/>
          </rPr>
          <t xml:space="preserve"> (avsaknad av grus/sten, ståndplatser samt för låg/hög vattenhastighet), 
</t>
        </r>
        <r>
          <rPr>
            <b/>
            <sz val="8"/>
            <color indexed="12"/>
            <rFont val="Tahoma"/>
            <family val="2"/>
          </rPr>
          <t>1 = intermediär lokal</t>
        </r>
        <r>
          <rPr>
            <b/>
            <sz val="8"/>
            <color indexed="81"/>
            <rFont val="Tahoma"/>
            <family val="2"/>
          </rPr>
          <t xml:space="preserve">, 
</t>
        </r>
        <r>
          <rPr>
            <b/>
            <sz val="8"/>
            <color indexed="12"/>
            <rFont val="Tahoma"/>
            <family val="2"/>
          </rPr>
          <t>2 = lämplig lokal</t>
        </r>
        <r>
          <rPr>
            <b/>
            <sz val="8"/>
            <color indexed="81"/>
            <rFont val="Tahoma"/>
            <family val="2"/>
          </rPr>
          <t xml:space="preserve"> (lämpligt substrat, flera ståndplatser samt vattenhastighet 0,2 - 1,0 m/s).
</t>
        </r>
      </text>
    </comment>
    <comment ref="B60" authorId="0" shapeId="0" xr:uid="{00000000-0006-0000-0000-000038000000}">
      <text>
        <r>
          <rPr>
            <b/>
            <sz val="8"/>
            <color indexed="81"/>
            <rFont val="Tahoma"/>
            <family val="2"/>
          </rPr>
          <t xml:space="preserve">Kalkpåverkan i syfte att motverka försurning som påverkar fisk på lokalen vid elfisketillfället. Har kalkning skett inom två år på ett sådant sätt att lokalen påverkats svaras JA, annars NEJ.
</t>
        </r>
      </text>
    </comment>
    <comment ref="R60" authorId="0" shapeId="0" xr:uid="{00000000-0006-0000-0000-000039000000}">
      <text>
        <r>
          <rPr>
            <b/>
            <sz val="8"/>
            <color indexed="81"/>
            <rFont val="Tahoma"/>
            <family val="2"/>
          </rPr>
          <t xml:space="preserve">Senaste kalkdatum, skrivet </t>
        </r>
        <r>
          <rPr>
            <b/>
            <sz val="8"/>
            <color indexed="12"/>
            <rFont val="Tahoma"/>
            <family val="2"/>
          </rPr>
          <t>ÅÅÅÅ-MM-DD</t>
        </r>
        <r>
          <rPr>
            <b/>
            <sz val="8"/>
            <color indexed="81"/>
            <rFont val="Tahoma"/>
            <family val="2"/>
          </rPr>
          <t xml:space="preserve">, tex 1989-08-24 eller </t>
        </r>
        <r>
          <rPr>
            <b/>
            <sz val="8"/>
            <color indexed="12"/>
            <rFont val="Tahoma"/>
            <family val="2"/>
          </rPr>
          <t>ÅÅÅÅMMDD</t>
        </r>
        <r>
          <rPr>
            <b/>
            <sz val="8"/>
            <color indexed="81"/>
            <rFont val="Tahoma"/>
            <family val="2"/>
          </rPr>
          <t xml:space="preserve">, tex 19890824 
År är tillräckligt, skrivet </t>
        </r>
        <r>
          <rPr>
            <b/>
            <sz val="8"/>
            <color indexed="12"/>
            <rFont val="Tahoma"/>
            <family val="2"/>
          </rPr>
          <t>ÅÅÅÅ</t>
        </r>
        <r>
          <rPr>
            <b/>
            <sz val="8"/>
            <color indexed="81"/>
            <rFont val="Tahoma"/>
            <family val="2"/>
          </rPr>
          <t xml:space="preserve">, tex  1989 eller </t>
        </r>
        <r>
          <rPr>
            <b/>
            <sz val="8"/>
            <color indexed="12"/>
            <rFont val="Tahoma"/>
            <family val="2"/>
          </rPr>
          <t>ÅÅÅÅ0000</t>
        </r>
        <r>
          <rPr>
            <b/>
            <sz val="8"/>
            <color indexed="81"/>
            <rFont val="Tahoma"/>
            <family val="2"/>
          </rPr>
          <t>, tex 19890000</t>
        </r>
      </text>
    </comment>
    <comment ref="B61" authorId="5" shapeId="0" xr:uid="{00000000-0006-0000-0000-00003A000000}">
      <text>
        <r>
          <rPr>
            <b/>
            <sz val="8"/>
            <color indexed="81"/>
            <rFont val="Tahoma"/>
            <family val="2"/>
          </rPr>
          <t xml:space="preserve">Typ av kalkning:
</t>
        </r>
        <r>
          <rPr>
            <b/>
            <sz val="8"/>
            <color indexed="12"/>
            <rFont val="Tahoma"/>
            <family val="2"/>
          </rPr>
          <t>Flera markeringar (X) möjliga</t>
        </r>
      </text>
    </comment>
    <comment ref="B62" authorId="6" shapeId="0" xr:uid="{00000000-0006-0000-0000-00003B000000}">
      <text>
        <r>
          <rPr>
            <b/>
            <sz val="8"/>
            <color indexed="81"/>
            <rFont val="Tahoma"/>
            <family val="2"/>
          </rPr>
          <t xml:space="preserve">Ange annan vattenkemisk eller fysisk (mänsklig eller naturlig) påverkan på lokalen av betydelse för fiskbestånden. 
</t>
        </r>
        <r>
          <rPr>
            <b/>
            <sz val="8"/>
            <color indexed="40"/>
            <rFont val="Tahoma"/>
            <family val="2"/>
          </rPr>
          <t xml:space="preserve">
</t>
        </r>
        <r>
          <rPr>
            <b/>
            <sz val="8"/>
            <color indexed="12"/>
            <rFont val="Tahoma"/>
            <family val="2"/>
          </rPr>
          <t>Påverkansgraden</t>
        </r>
        <r>
          <rPr>
            <b/>
            <sz val="8"/>
            <color indexed="81"/>
            <rFont val="Tahoma"/>
            <family val="2"/>
          </rPr>
          <t xml:space="preserve"> anges enligt skalan (0)</t>
        </r>
        <r>
          <rPr>
            <b/>
            <sz val="8"/>
            <color indexed="12"/>
            <rFont val="Tahoma"/>
            <family val="2"/>
          </rPr>
          <t>1-3</t>
        </r>
        <r>
          <rPr>
            <b/>
            <sz val="8"/>
            <color indexed="81"/>
            <rFont val="Tahoma"/>
            <family val="2"/>
          </rPr>
          <t>,</t>
        </r>
        <r>
          <rPr>
            <b/>
            <sz val="8"/>
            <color indexed="81"/>
            <rFont val="Tahoma"/>
            <family val="2"/>
          </rPr>
          <t xml:space="preserve"> där (0 = ingen påverkan,) </t>
        </r>
        <r>
          <rPr>
            <b/>
            <sz val="8"/>
            <color indexed="12"/>
            <rFont val="Tahoma"/>
            <family val="2"/>
          </rPr>
          <t>1</t>
        </r>
        <r>
          <rPr>
            <b/>
            <sz val="8"/>
            <color indexed="81"/>
            <rFont val="Tahoma"/>
            <family val="2"/>
          </rPr>
          <t xml:space="preserve"> = måttlig påverkan, </t>
        </r>
        <r>
          <rPr>
            <b/>
            <sz val="8"/>
            <color indexed="12"/>
            <rFont val="Tahoma"/>
            <family val="2"/>
          </rPr>
          <t>2</t>
        </r>
        <r>
          <rPr>
            <b/>
            <sz val="8"/>
            <color indexed="81"/>
            <rFont val="Tahoma"/>
            <family val="2"/>
          </rPr>
          <t xml:space="preserve"> = kraftig påverkan samt </t>
        </r>
        <r>
          <rPr>
            <b/>
            <sz val="8"/>
            <color indexed="12"/>
            <rFont val="Tahoma"/>
            <family val="2"/>
          </rPr>
          <t>3</t>
        </r>
        <r>
          <rPr>
            <b/>
            <sz val="8"/>
            <color indexed="81"/>
            <rFont val="Tahoma"/>
            <family val="2"/>
          </rPr>
          <t xml:space="preserve"> = mycket kraftig påverkan.
Bedöms lokalen vara påverkad av </t>
        </r>
        <r>
          <rPr>
            <b/>
            <sz val="8"/>
            <color indexed="12"/>
            <rFont val="Tahoma"/>
            <family val="2"/>
          </rPr>
          <t>fler än tre olika faktorer</t>
        </r>
        <r>
          <rPr>
            <b/>
            <sz val="8"/>
            <color indexed="81"/>
            <rFont val="Tahoma"/>
            <family val="2"/>
          </rPr>
          <t xml:space="preserve"> anges påverkansgraden för de tre som påverkar mest. Övriga påverkande faktorer markeras med ett kryss (</t>
        </r>
        <r>
          <rPr>
            <b/>
            <sz val="8"/>
            <color indexed="12"/>
            <rFont val="Tahoma"/>
            <family val="2"/>
          </rPr>
          <t>X</t>
        </r>
        <r>
          <rPr>
            <b/>
            <sz val="8"/>
            <color indexed="81"/>
            <rFont val="Tahoma"/>
            <family val="2"/>
          </rPr>
          <t xml:space="preserve">). </t>
        </r>
        <r>
          <rPr>
            <b/>
            <sz val="8"/>
            <color indexed="12"/>
            <rFont val="Tahoma"/>
            <family val="2"/>
          </rPr>
          <t>Observera</t>
        </r>
        <r>
          <rPr>
            <b/>
            <sz val="8"/>
            <color indexed="81"/>
            <rFont val="Tahoma"/>
            <family val="2"/>
          </rPr>
          <t xml:space="preserve"> att det är möjligt att ange </t>
        </r>
        <r>
          <rPr>
            <b/>
            <sz val="8"/>
            <color indexed="12"/>
            <rFont val="Tahoma"/>
            <family val="2"/>
          </rPr>
          <t>samma påverkansgrad</t>
        </r>
        <r>
          <rPr>
            <b/>
            <sz val="8"/>
            <color indexed="81"/>
            <rFont val="Tahoma"/>
            <family val="2"/>
          </rPr>
          <t xml:space="preserve"> för flera faktorer, dock max tre (exempel: Grävning 3, Kanalisering 3, Metallutfällning 1). 
Om påverkan har bedömts finnas men där påverkansgraden inte bedömts anges de påverkande faktorerna med ett kryss (</t>
        </r>
        <r>
          <rPr>
            <b/>
            <sz val="8"/>
            <color indexed="12"/>
            <rFont val="Tahoma"/>
            <family val="2"/>
          </rPr>
          <t>X</t>
        </r>
        <r>
          <rPr>
            <b/>
            <sz val="8"/>
            <color indexed="81"/>
            <rFont val="Tahoma"/>
            <family val="2"/>
          </rPr>
          <t>).
Om</t>
        </r>
        <r>
          <rPr>
            <b/>
            <sz val="8"/>
            <color indexed="12"/>
            <rFont val="Tahoma"/>
            <family val="2"/>
          </rPr>
          <t xml:space="preserve"> ingen påverkan</t>
        </r>
        <r>
          <rPr>
            <b/>
            <sz val="8"/>
            <color indexed="81"/>
            <rFont val="Tahoma"/>
            <family val="2"/>
          </rPr>
          <t xml:space="preserve"> bedöms finnas på lokalen anges ett kryss (</t>
        </r>
        <r>
          <rPr>
            <b/>
            <sz val="8"/>
            <color indexed="12"/>
            <rFont val="Tahoma"/>
            <family val="2"/>
          </rPr>
          <t>X</t>
        </r>
        <r>
          <rPr>
            <b/>
            <sz val="8"/>
            <color indexed="81"/>
            <rFont val="Tahoma"/>
            <family val="2"/>
          </rPr>
          <t xml:space="preserve">) i cell AA62 till höger
Om </t>
        </r>
        <r>
          <rPr>
            <b/>
            <sz val="8"/>
            <color indexed="12"/>
            <rFont val="Tahoma"/>
            <family val="2"/>
          </rPr>
          <t>ingen bedömning</t>
        </r>
        <r>
          <rPr>
            <b/>
            <sz val="8"/>
            <color indexed="81"/>
            <rFont val="Tahoma"/>
            <family val="2"/>
          </rPr>
          <t xml:space="preserve"> gjorts lämnas alla fält tomma</t>
        </r>
        <r>
          <rPr>
            <sz val="8"/>
            <color indexed="81"/>
            <rFont val="Tahoma"/>
            <family val="2"/>
          </rPr>
          <t xml:space="preserve">
</t>
        </r>
      </text>
    </comment>
    <comment ref="O62" authorId="2" shapeId="0" xr:uid="{00000000-0006-0000-0000-00003C000000}">
      <text>
        <r>
          <rPr>
            <b/>
            <sz val="9"/>
            <color indexed="81"/>
            <rFont val="Tahoma"/>
            <family val="2"/>
          </rPr>
          <t>Om man bedömer att lokalen/vattendraget är opåverkad/-t förtydligas detta med att sätta kryss i fältet till höger (AA62).
Att inte fylla i något i påverkansfälten nedan kan annars inte särskiljas från "ingen påverkan" och "glömt att fylla i"</t>
        </r>
      </text>
    </comment>
    <comment ref="V69" authorId="5" shapeId="0" xr:uid="{00000000-0006-0000-0000-00003D000000}">
      <text>
        <r>
          <rPr>
            <b/>
            <sz val="8"/>
            <color indexed="81"/>
            <rFont val="Tahoma"/>
            <family val="2"/>
          </rPr>
          <t xml:space="preserve">Provdatum &amp; vattenkemiuppgifter anges om vattenprov tagits i anslutning till elfisket eller under period som motsvarar elfiskeperioden.
Datum anges på formen </t>
        </r>
        <r>
          <rPr>
            <b/>
            <sz val="8"/>
            <color indexed="12"/>
            <rFont val="Tahoma"/>
            <family val="2"/>
          </rPr>
          <t xml:space="preserve">ÅÅÅÅMMDD </t>
        </r>
        <r>
          <rPr>
            <b/>
            <sz val="8"/>
            <color indexed="81"/>
            <rFont val="Tahoma"/>
            <family val="2"/>
          </rPr>
          <t>eller</t>
        </r>
        <r>
          <rPr>
            <b/>
            <sz val="8"/>
            <color indexed="12"/>
            <rFont val="Tahoma"/>
            <family val="2"/>
          </rPr>
          <t xml:space="preserve"> 
ÅÅÅÅ-MM-DD</t>
        </r>
        <r>
          <rPr>
            <b/>
            <sz val="8"/>
            <color indexed="81"/>
            <rFont val="Tahoma"/>
            <family val="2"/>
          </rPr>
          <t xml:space="preserve">
</t>
        </r>
      </text>
    </comment>
    <comment ref="B79" authorId="0" shapeId="0" xr:uid="{00000000-0006-0000-0000-00003E000000}">
      <text>
        <r>
          <rPr>
            <b/>
            <sz val="8"/>
            <color indexed="81"/>
            <rFont val="Tahoma"/>
            <family val="2"/>
          </rPr>
          <t xml:space="preserve">För att infoga bild så kopiera skiss från aktuellt blad och klistra sedan in det i rutan. Markera gärna terrängföremål vid övre resp nedre gräns.
</t>
        </r>
      </text>
    </comment>
    <comment ref="B80" authorId="0" shapeId="0" xr:uid="{00000000-0006-0000-0000-00003F000000}">
      <text>
        <r>
          <rPr>
            <b/>
            <sz val="8"/>
            <color indexed="81"/>
            <rFont val="Tahoma"/>
            <family val="2"/>
          </rPr>
          <t xml:space="preserve">För att infoga bild så kopiera skiss från aktuellt blad och klistra sedan in det i rutan. Markera gärna terrängföremål vid övre resp nedre gräns.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Perca</author>
    <author>Länsstyrelsen</author>
  </authors>
  <commentList>
    <comment ref="A3" authorId="0" shapeId="0" xr:uid="{00000000-0006-0000-0100-000001000000}">
      <text>
        <r>
          <rPr>
            <b/>
            <sz val="10"/>
            <color indexed="81"/>
            <rFont val="Tahoma"/>
            <family val="2"/>
          </rPr>
          <t xml:space="preserve">Ange vattendragsnamn
Fältet </t>
        </r>
        <r>
          <rPr>
            <b/>
            <sz val="10"/>
            <color indexed="12"/>
            <rFont val="Tahoma"/>
            <family val="2"/>
          </rPr>
          <t>fylls i automatiskt</t>
        </r>
        <r>
          <rPr>
            <b/>
            <sz val="10"/>
            <color indexed="81"/>
            <rFont val="Tahoma"/>
            <family val="2"/>
          </rPr>
          <t xml:space="preserve"> om 'Vattendragsnamn' fylls i bladet 'PROTOKOLL'
Omfältet fylls i manuellt både i detta blad och i 'PROTOKOLL': kom ihåg att stavningen måste vara </t>
        </r>
        <r>
          <rPr>
            <b/>
            <sz val="10"/>
            <color indexed="12"/>
            <rFont val="Tahoma"/>
            <family val="2"/>
          </rPr>
          <t>exakt lika</t>
        </r>
        <r>
          <rPr>
            <b/>
            <sz val="10"/>
            <color indexed="81"/>
            <rFont val="Tahoma"/>
            <family val="2"/>
          </rPr>
          <t xml:space="preserve">!
Använd </t>
        </r>
        <r>
          <rPr>
            <b/>
            <sz val="10"/>
            <color indexed="12"/>
            <rFont val="Tahoma"/>
            <family val="2"/>
          </rPr>
          <t>max 20 tecken</t>
        </r>
        <r>
          <rPr>
            <b/>
            <sz val="10"/>
            <color indexed="81"/>
            <rFont val="Tahoma"/>
            <family val="2"/>
          </rPr>
          <t xml:space="preserve"> inklusive mellanslag
</t>
        </r>
      </text>
    </comment>
    <comment ref="E3" authorId="0" shapeId="0" xr:uid="{00000000-0006-0000-0100-000002000000}">
      <text>
        <r>
          <rPr>
            <b/>
            <sz val="10"/>
            <color indexed="81"/>
            <rFont val="Tahoma"/>
            <family val="2"/>
          </rPr>
          <t xml:space="preserve">Ange vattendragskoordinater </t>
        </r>
        <r>
          <rPr>
            <b/>
            <sz val="10"/>
            <color indexed="12"/>
            <rFont val="Tahoma"/>
            <family val="2"/>
          </rPr>
          <t>enligt SMHI:s vattendragsregister</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redan fyllts i i blad PROTOKOLL
Anges med 6 eller 7 siffror
Anges koordinat med 7 siffror kommer de sista två siffrorna att avrundas till närmaste tiotal</t>
        </r>
      </text>
    </comment>
    <comment ref="J3" authorId="0" shapeId="0" xr:uid="{00000000-0006-0000-0100-000003000000}">
      <text>
        <r>
          <rPr>
            <b/>
            <sz val="10"/>
            <color indexed="81"/>
            <rFont val="Tahoma"/>
            <family val="2"/>
          </rPr>
          <t xml:space="preserve">Ange </t>
        </r>
        <r>
          <rPr>
            <b/>
            <sz val="10"/>
            <color indexed="12"/>
            <rFont val="Tahoma"/>
            <family val="2"/>
          </rPr>
          <t>fiskedatum</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fyllts i i blad 'PROTOKOLL'
Datum anges antingen på formen 
</t>
        </r>
        <r>
          <rPr>
            <b/>
            <sz val="10"/>
            <color indexed="12"/>
            <rFont val="Tahoma"/>
            <family val="2"/>
          </rPr>
          <t>ÅÅÅÅ-MM-DD</t>
        </r>
        <r>
          <rPr>
            <b/>
            <sz val="10"/>
            <color indexed="81"/>
            <rFont val="Tahoma"/>
            <family val="2"/>
          </rPr>
          <t xml:space="preserve"> 
eller
</t>
        </r>
        <r>
          <rPr>
            <b/>
            <sz val="10"/>
            <color indexed="12"/>
            <rFont val="Tahoma"/>
            <family val="2"/>
          </rPr>
          <t>ÅÅÅÅMMDD</t>
        </r>
      </text>
    </comment>
    <comment ref="A4" authorId="0" shapeId="0" xr:uid="{00000000-0006-0000-0100-000004000000}">
      <text>
        <r>
          <rPr>
            <b/>
            <sz val="10"/>
            <color indexed="81"/>
            <rFont val="Tahoma"/>
            <family val="2"/>
          </rPr>
          <t xml:space="preserve">Ange lokalnamn + ev. lokalNR
Fältet </t>
        </r>
        <r>
          <rPr>
            <b/>
            <sz val="10"/>
            <color indexed="12"/>
            <rFont val="Tahoma"/>
            <family val="2"/>
          </rPr>
          <t>fylls i automatiskt</t>
        </r>
        <r>
          <rPr>
            <b/>
            <sz val="10"/>
            <color indexed="81"/>
            <rFont val="Tahoma"/>
            <family val="2"/>
          </rPr>
          <t xml:space="preserve"> om 'Lokalnamn' fyllts i bladet 'PROTOKOLL'
Lokalnamnet </t>
        </r>
        <r>
          <rPr>
            <b/>
            <sz val="10"/>
            <color indexed="12"/>
            <rFont val="Tahoma"/>
            <family val="2"/>
          </rPr>
          <t>får max innehålla 20 tecken</t>
        </r>
        <r>
          <rPr>
            <b/>
            <sz val="10"/>
            <color indexed="81"/>
            <rFont val="Tahoma"/>
            <family val="2"/>
          </rPr>
          <t xml:space="preserve"> (inkl mellanslag) </t>
        </r>
        <r>
          <rPr>
            <b/>
            <sz val="10"/>
            <color indexed="12"/>
            <rFont val="Tahoma"/>
            <family val="2"/>
          </rPr>
          <t>+ max 5 tecken för ev lokalnr</t>
        </r>
        <r>
          <rPr>
            <b/>
            <sz val="10"/>
            <color indexed="81"/>
            <rFont val="Tahoma"/>
            <family val="2"/>
          </rPr>
          <t xml:space="preserve">.
Om lokalnr anges:
 Ange detta efter lokalnamnet med ett </t>
        </r>
        <r>
          <rPr>
            <b/>
            <sz val="10"/>
            <color indexed="12"/>
            <rFont val="Tahoma"/>
            <family val="2"/>
          </rPr>
          <t>snedsteck</t>
        </r>
        <r>
          <rPr>
            <b/>
            <sz val="10"/>
            <color indexed="81"/>
            <rFont val="Tahoma"/>
            <family val="2"/>
          </rPr>
          <t xml:space="preserve"> (</t>
        </r>
        <r>
          <rPr>
            <b/>
            <sz val="10"/>
            <color indexed="12"/>
            <rFont val="Tahoma"/>
            <family val="2"/>
          </rPr>
          <t>/</t>
        </r>
        <r>
          <rPr>
            <b/>
            <sz val="10"/>
            <color indexed="81"/>
            <rFont val="Tahoma"/>
            <family val="2"/>
          </rPr>
          <t>) mellan lokalnamn &amp; -nr.</t>
        </r>
      </text>
    </comment>
    <comment ref="E4" authorId="0" shapeId="0" xr:uid="{00000000-0006-0000-0100-000005000000}">
      <text>
        <r>
          <rPr>
            <b/>
            <sz val="10"/>
            <color indexed="81"/>
            <rFont val="Tahoma"/>
            <family val="2"/>
          </rPr>
          <t xml:space="preserve">Ange </t>
        </r>
        <r>
          <rPr>
            <b/>
            <sz val="10"/>
            <color indexed="12"/>
            <rFont val="Tahoma"/>
            <family val="2"/>
          </rPr>
          <t>lokalens koordinater</t>
        </r>
        <r>
          <rPr>
            <b/>
            <sz val="10"/>
            <color indexed="81"/>
            <rFont val="Tahoma"/>
            <family val="2"/>
          </rPr>
          <t xml:space="preserve">
Detta fält </t>
        </r>
        <r>
          <rPr>
            <b/>
            <sz val="10"/>
            <color indexed="12"/>
            <rFont val="Tahoma"/>
            <family val="2"/>
          </rPr>
          <t>fylls i automatiskt</t>
        </r>
        <r>
          <rPr>
            <b/>
            <sz val="10"/>
            <color indexed="81"/>
            <rFont val="Tahoma"/>
            <family val="2"/>
          </rPr>
          <t xml:space="preserve"> om motsvarande uppgift redan fyllts i i blad PROTOKOLL
Anges med 6 eller 7 siffror
Anges koordinat med 7 siffror kommer de sista två siffrorna att avrundas till närmaste tiotal</t>
        </r>
      </text>
    </comment>
    <comment ref="J4" authorId="0" shapeId="0" xr:uid="{00000000-0006-0000-0100-000006000000}">
      <text>
        <r>
          <rPr>
            <b/>
            <sz val="10"/>
            <color indexed="81"/>
            <rFont val="Tahoma"/>
            <family val="2"/>
          </rPr>
          <t xml:space="preserve">Ange </t>
        </r>
        <r>
          <rPr>
            <b/>
            <sz val="10"/>
            <color indexed="12"/>
            <rFont val="Tahoma"/>
            <family val="2"/>
          </rPr>
          <t>huvudflodsområde enlight SMHI</t>
        </r>
        <r>
          <rPr>
            <b/>
            <sz val="10"/>
            <color indexed="81"/>
            <rFont val="Tahoma"/>
            <family val="2"/>
          </rPr>
          <t xml:space="preserve">, dvs det huvudvattensystem som lokalen ligger i
Anges med </t>
        </r>
        <r>
          <rPr>
            <b/>
            <sz val="10"/>
            <color indexed="12"/>
            <rFont val="Tahoma"/>
            <family val="2"/>
          </rPr>
          <t>rullista</t>
        </r>
        <r>
          <rPr>
            <b/>
            <sz val="10"/>
            <color indexed="81"/>
            <rFont val="Tahoma"/>
            <family val="2"/>
          </rPr>
          <t xml:space="preserve">
</t>
        </r>
        <r>
          <rPr>
            <b/>
            <sz val="10"/>
            <color indexed="12"/>
            <rFont val="Tahoma"/>
            <family val="2"/>
          </rPr>
          <t>eller</t>
        </r>
        <r>
          <rPr>
            <b/>
            <sz val="10"/>
            <color indexed="81"/>
            <rFont val="Tahoma"/>
            <family val="2"/>
          </rPr>
          <t xml:space="preserve">
med en </t>
        </r>
        <r>
          <rPr>
            <b/>
            <sz val="10"/>
            <color indexed="12"/>
            <rFont val="Tahoma"/>
            <family val="2"/>
          </rPr>
          <t>tre- eller sexsiffrig kod</t>
        </r>
        <r>
          <rPr>
            <b/>
            <sz val="10"/>
            <color indexed="81"/>
            <rFont val="Tahoma"/>
            <family val="2"/>
          </rPr>
          <t>, tex 001 för Torneälven &amp; 001002 för 1/2 kustområde (vattensystemet  mellan Torneälv &amp; Keräsjokki).</t>
        </r>
      </text>
    </comment>
    <comment ref="A6" authorId="0" shapeId="0" xr:uid="{00000000-0006-0000-0100-000007000000}">
      <text>
        <r>
          <rPr>
            <b/>
            <sz val="10"/>
            <color indexed="81"/>
            <rFont val="Tahoma"/>
            <family val="2"/>
          </rPr>
          <t>Ange lokalens längd i meter</t>
        </r>
      </text>
    </comment>
    <comment ref="E6" authorId="0" shapeId="0" xr:uid="{00000000-0006-0000-0100-000008000000}">
      <text>
        <r>
          <rPr>
            <b/>
            <sz val="10"/>
            <color indexed="81"/>
            <rFont val="Tahoma"/>
            <family val="2"/>
          </rPr>
          <t xml:space="preserve">Ange </t>
        </r>
        <r>
          <rPr>
            <b/>
            <sz val="10"/>
            <color indexed="12"/>
            <rFont val="Tahoma"/>
            <family val="2"/>
          </rPr>
          <t>avfiskad bredd</t>
        </r>
        <r>
          <rPr>
            <b/>
            <sz val="10"/>
            <color indexed="81"/>
            <rFont val="Tahoma"/>
            <family val="2"/>
          </rPr>
          <t xml:space="preserve">
Den bredd av vattendraget som elfisket har omfattat. Om endast en del av vattendraget kunnat fiskats, t.ex. p.g.a. högt vattenstånd.
Anges som i m med en decimal.
Fältet</t>
        </r>
        <r>
          <rPr>
            <b/>
            <sz val="10"/>
            <color indexed="12"/>
            <rFont val="Tahoma"/>
            <family val="2"/>
          </rPr>
          <t xml:space="preserve"> fylls i automatiskt</t>
        </r>
        <r>
          <rPr>
            <b/>
            <sz val="10"/>
            <color indexed="81"/>
            <rFont val="Tahoma"/>
            <family val="2"/>
          </rPr>
          <t xml:space="preserve"> om blad 'PROTOKOLL' fyllts i m.a.p. motsvarande uppgifter.
</t>
        </r>
      </text>
    </comment>
    <comment ref="I6" authorId="1" shapeId="0" xr:uid="{00000000-0006-0000-0100-000009000000}">
      <text>
        <r>
          <rPr>
            <b/>
            <sz val="12"/>
            <color indexed="81"/>
            <rFont val="Tahoma"/>
            <family val="2"/>
          </rPr>
          <t xml:space="preserve">Räknas vanligtvis ut </t>
        </r>
        <r>
          <rPr>
            <b/>
            <sz val="12"/>
            <color indexed="12"/>
            <rFont val="Tahoma"/>
            <family val="2"/>
          </rPr>
          <t>automatiskt</t>
        </r>
        <r>
          <rPr>
            <b/>
            <sz val="12"/>
            <color indexed="81"/>
            <rFont val="Tahoma"/>
            <family val="2"/>
          </rPr>
          <t xml:space="preserve"> (lokalens längd * lokalens bredd).
Om lokalens form gör att dess längd * bredd inte lämpar sig som ytberäkning kan ytan anges manuellt</t>
        </r>
      </text>
    </comment>
    <comment ref="A7" authorId="0" shapeId="0" xr:uid="{00000000-0006-0000-0100-00000A000000}">
      <text>
        <r>
          <rPr>
            <b/>
            <sz val="10"/>
            <color indexed="81"/>
            <rFont val="Tahoma"/>
            <family val="2"/>
          </rPr>
          <t xml:space="preserve">Ange vattennivå/flöde vid fisketillfället
</t>
        </r>
        <r>
          <rPr>
            <b/>
            <sz val="10"/>
            <color indexed="12"/>
            <rFont val="Tahoma"/>
            <family val="2"/>
          </rPr>
          <t>L</t>
        </r>
        <r>
          <rPr>
            <b/>
            <sz val="10"/>
            <color indexed="81"/>
            <rFont val="Tahoma"/>
            <family val="2"/>
          </rPr>
          <t xml:space="preserve"> = Lågt
</t>
        </r>
        <r>
          <rPr>
            <b/>
            <sz val="10"/>
            <color indexed="12"/>
            <rFont val="Tahoma"/>
            <family val="2"/>
          </rPr>
          <t>M</t>
        </r>
        <r>
          <rPr>
            <b/>
            <sz val="10"/>
            <color indexed="81"/>
            <rFont val="Tahoma"/>
            <family val="2"/>
          </rPr>
          <t xml:space="preserve"> = Medel
</t>
        </r>
        <r>
          <rPr>
            <b/>
            <sz val="10"/>
            <color indexed="12"/>
            <rFont val="Tahoma"/>
            <family val="2"/>
          </rPr>
          <t>H</t>
        </r>
        <r>
          <rPr>
            <b/>
            <sz val="10"/>
            <color indexed="81"/>
            <rFont val="Tahoma"/>
            <family val="2"/>
          </rPr>
          <t xml:space="preserve"> = Högt</t>
        </r>
      </text>
    </comment>
    <comment ref="E7" authorId="0" shapeId="0" xr:uid="{00000000-0006-0000-0100-00000B000000}">
      <text>
        <r>
          <rPr>
            <b/>
            <sz val="10"/>
            <color indexed="81"/>
            <rFont val="Tahoma"/>
            <family val="2"/>
          </rPr>
          <t xml:space="preserve">Ange </t>
        </r>
        <r>
          <rPr>
            <b/>
            <sz val="10"/>
            <color indexed="12"/>
            <rFont val="Tahoma"/>
            <family val="2"/>
          </rPr>
          <t>lokalens medelbredd</t>
        </r>
        <r>
          <rPr>
            <b/>
            <sz val="10"/>
            <color indexed="81"/>
            <rFont val="Tahoma"/>
            <family val="2"/>
          </rPr>
          <t xml:space="preserve">
Fältet </t>
        </r>
        <r>
          <rPr>
            <b/>
            <sz val="10"/>
            <color indexed="12"/>
            <rFont val="Tahoma"/>
            <family val="2"/>
          </rPr>
          <t>fylls i automatiskt</t>
        </r>
        <r>
          <rPr>
            <b/>
            <sz val="10"/>
            <color indexed="81"/>
            <rFont val="Tahoma"/>
            <family val="2"/>
          </rPr>
          <t xml:space="preserve"> om blad 'PROTOKOLL' fyllts i m.a.p. motsvarande uppgift.
Elfiskelokalens medelbredd vid normal lågvattenföring avses.  
Denna medelbredd  </t>
        </r>
        <r>
          <rPr>
            <b/>
            <sz val="10"/>
            <color indexed="12"/>
            <rFont val="Tahoma"/>
            <family val="2"/>
          </rPr>
          <t>kan endast beräknas efter att lokalen fiskats flera år</t>
        </r>
        <r>
          <rPr>
            <b/>
            <sz val="10"/>
            <color indexed="81"/>
            <rFont val="Tahoma"/>
            <family val="2"/>
          </rPr>
          <t>.</t>
        </r>
      </text>
    </comment>
    <comment ref="E8" authorId="0" shapeId="0" xr:uid="{00000000-0006-0000-0100-00000C000000}">
      <text>
        <r>
          <rPr>
            <b/>
            <sz val="10"/>
            <color indexed="81"/>
            <rFont val="Tahoma"/>
            <family val="2"/>
          </rPr>
          <t xml:space="preserve">Ange </t>
        </r>
        <r>
          <rPr>
            <b/>
            <sz val="10"/>
            <color indexed="12"/>
            <rFont val="Tahoma"/>
            <family val="2"/>
          </rPr>
          <t>lokalens medelyta</t>
        </r>
        <r>
          <rPr>
            <b/>
            <sz val="10"/>
            <color indexed="81"/>
            <rFont val="Tahoma"/>
            <family val="2"/>
          </rPr>
          <t xml:space="preserve">
Fältet </t>
        </r>
        <r>
          <rPr>
            <b/>
            <sz val="10"/>
            <color indexed="12"/>
            <rFont val="Tahoma"/>
            <family val="2"/>
          </rPr>
          <t>fylls i automatiskt</t>
        </r>
        <r>
          <rPr>
            <b/>
            <sz val="10"/>
            <color indexed="81"/>
            <rFont val="Tahoma"/>
            <family val="2"/>
          </rPr>
          <t xml:space="preserve"> om blad 'PROTOKOLL' fyllts i m.a.p. motsvarande uppgift.
Elfiskelokalens genomsnittliga yta angiven i hela m2 avses.
Denna yta </t>
        </r>
        <r>
          <rPr>
            <b/>
            <sz val="10"/>
            <color indexed="12"/>
            <rFont val="Tahoma"/>
            <family val="2"/>
          </rPr>
          <t>kan endast beräknas efter att lokalen fiskats flera år</t>
        </r>
        <r>
          <rPr>
            <b/>
            <sz val="10"/>
            <color indexed="81"/>
            <rFont val="Tahoma"/>
            <family val="2"/>
          </rPr>
          <t>.</t>
        </r>
      </text>
    </comment>
    <comment ref="H8" authorId="0" shapeId="0" xr:uid="{00000000-0006-0000-0100-00000D000000}">
      <text>
        <r>
          <rPr>
            <b/>
            <sz val="10"/>
            <color indexed="81"/>
            <rFont val="Tahoma"/>
            <family val="2"/>
          </rPr>
          <t xml:space="preserve">Ange </t>
        </r>
        <r>
          <rPr>
            <b/>
            <sz val="10"/>
            <color indexed="12"/>
            <rFont val="Tahoma"/>
            <family val="2"/>
          </rPr>
          <t>lokalens andel torra ytor</t>
        </r>
        <r>
          <rPr>
            <b/>
            <sz val="10"/>
            <color indexed="81"/>
            <rFont val="Tahoma"/>
            <family val="2"/>
          </rPr>
          <t xml:space="preserve">
Anges endast om andelen torra partier (stenar, block, öar, etc) är lika med eller överstiger 5 %. Denna yta kommer då att frånräknas lokalens yta.
Ange procentandel som heltal (0-100)</t>
        </r>
      </text>
    </comment>
    <comment ref="M13" authorId="0" shapeId="0" xr:uid="{00000000-0006-0000-0100-00000E000000}">
      <text>
        <r>
          <rPr>
            <b/>
            <sz val="8"/>
            <color indexed="81"/>
            <rFont val="Tahoma"/>
            <family val="2"/>
          </rPr>
          <t>Finsand: &lt;0,2 mm</t>
        </r>
      </text>
    </comment>
    <comment ref="M14" authorId="0" shapeId="0" xr:uid="{00000000-0006-0000-0100-00000F000000}">
      <text>
        <r>
          <rPr>
            <b/>
            <sz val="8"/>
            <color indexed="81"/>
            <rFont val="Tahoma"/>
            <family val="2"/>
          </rPr>
          <t>Sand: 0,2 - 2 mm</t>
        </r>
      </text>
    </comment>
    <comment ref="M15" authorId="0" shapeId="0" xr:uid="{00000000-0006-0000-0100-000010000000}">
      <text>
        <r>
          <rPr>
            <b/>
            <sz val="8"/>
            <color indexed="81"/>
            <rFont val="Tahoma"/>
            <family val="2"/>
          </rPr>
          <t>Grus: 2 - 20 mm</t>
        </r>
      </text>
    </comment>
    <comment ref="M16" authorId="0" shapeId="0" xr:uid="{00000000-0006-0000-0100-000011000000}">
      <text>
        <r>
          <rPr>
            <b/>
            <sz val="8"/>
            <color indexed="81"/>
            <rFont val="Tahoma"/>
            <family val="2"/>
          </rPr>
          <t>Sten: 2 - 10 cm</t>
        </r>
      </text>
    </comment>
    <comment ref="M17" authorId="0" shapeId="0" xr:uid="{00000000-0006-0000-0100-000012000000}">
      <text>
        <r>
          <rPr>
            <b/>
            <sz val="8"/>
            <color indexed="81"/>
            <rFont val="Tahoma"/>
            <family val="2"/>
          </rPr>
          <t>Sten: 10 - 20 cm</t>
        </r>
      </text>
    </comment>
    <comment ref="M18" authorId="0" shapeId="0" xr:uid="{00000000-0006-0000-0100-000013000000}">
      <text>
        <r>
          <rPr>
            <b/>
            <sz val="8"/>
            <color indexed="81"/>
            <rFont val="Tahoma"/>
            <family val="2"/>
          </rPr>
          <t>Block: 20 - 30 cm</t>
        </r>
      </text>
    </comment>
    <comment ref="M19" authorId="0" shapeId="0" xr:uid="{00000000-0006-0000-0100-000014000000}">
      <text>
        <r>
          <rPr>
            <b/>
            <sz val="8"/>
            <color indexed="81"/>
            <rFont val="Tahoma"/>
            <family val="2"/>
          </rPr>
          <t>Block: 30 - 40 cm</t>
        </r>
      </text>
    </comment>
    <comment ref="M20" authorId="0" shapeId="0" xr:uid="{00000000-0006-0000-0100-000015000000}">
      <text>
        <r>
          <rPr>
            <b/>
            <sz val="8"/>
            <color indexed="81"/>
            <rFont val="Tahoma"/>
            <family val="2"/>
          </rPr>
          <t>Block: 40 - 200 cm</t>
        </r>
      </text>
    </comment>
    <comment ref="M21" authorId="0" shapeId="0" xr:uid="{00000000-0006-0000-0100-000016000000}">
      <text>
        <r>
          <rPr>
            <b/>
            <sz val="8"/>
            <color indexed="81"/>
            <rFont val="Tahoma"/>
            <family val="2"/>
          </rPr>
          <t>Häll: &gt;2 m</t>
        </r>
      </text>
    </comment>
    <comment ref="A34" authorId="1" shapeId="0" xr:uid="{00000000-0006-0000-0100-000017000000}">
      <text>
        <r>
          <rPr>
            <b/>
            <sz val="10"/>
            <color indexed="81"/>
            <rFont val="Tahoma"/>
            <family val="2"/>
          </rPr>
          <t>Medelvärdet av uppmätta värden ovan</t>
        </r>
      </text>
    </comment>
    <comment ref="D34" authorId="1" shapeId="0" xr:uid="{00000000-0006-0000-0100-000018000000}">
      <text>
        <r>
          <rPr>
            <b/>
            <sz val="10"/>
            <color indexed="81"/>
            <rFont val="Tahoma"/>
            <family val="2"/>
          </rPr>
          <t>Medelvärde av fälten</t>
        </r>
        <r>
          <rPr>
            <b/>
            <sz val="10"/>
            <color indexed="12"/>
            <rFont val="Tahoma"/>
            <family val="2"/>
          </rPr>
          <t xml:space="preserve"> D12 - F27</t>
        </r>
      </text>
    </comment>
    <comment ref="B36" authorId="1" shapeId="0" xr:uid="{00000000-0006-0000-0100-000019000000}">
      <text>
        <r>
          <rPr>
            <b/>
            <sz val="10"/>
            <color indexed="81"/>
            <rFont val="Tahoma"/>
            <family val="2"/>
          </rPr>
          <t>Minsta uppmätta våta bredd ovan</t>
        </r>
      </text>
    </comment>
    <comment ref="D36" authorId="1" shapeId="0" xr:uid="{00000000-0006-0000-0100-00001A000000}">
      <text>
        <r>
          <rPr>
            <b/>
            <sz val="10"/>
            <color indexed="81"/>
            <rFont val="Tahoma"/>
            <family val="2"/>
          </rPr>
          <t>Ange maxdjup inom den uppmätta lokalen. Observera att maxdjup kan vara större än största uppmätta djup vid transektmätningarna</t>
        </r>
      </text>
    </comment>
    <comment ref="B37" authorId="1" shapeId="0" xr:uid="{00000000-0006-0000-0100-00001B000000}">
      <text>
        <r>
          <rPr>
            <b/>
            <sz val="10"/>
            <color indexed="81"/>
            <rFont val="Tahoma"/>
            <family val="2"/>
          </rPr>
          <t>Strörsta uppmätta våta bredd ovan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davlu</author>
    <author>Perca</author>
  </authors>
  <commentList>
    <comment ref="N3" authorId="0" shapeId="0" xr:uid="{00000000-0006-0000-0300-000001000000}">
      <text>
        <r>
          <rPr>
            <b/>
            <sz val="12"/>
            <color indexed="81"/>
            <rFont val="Tahoma"/>
            <family val="2"/>
          </rPr>
          <t>Genom att välja "</t>
        </r>
        <r>
          <rPr>
            <b/>
            <sz val="12"/>
            <color indexed="12"/>
            <rFont val="Tahoma"/>
            <family val="2"/>
          </rPr>
          <t>Längd (mm)</t>
        </r>
        <r>
          <rPr>
            <b/>
            <sz val="12"/>
            <color indexed="81"/>
            <rFont val="Tahoma"/>
            <family val="2"/>
          </rPr>
          <t>" eller "</t>
        </r>
        <r>
          <rPr>
            <b/>
            <sz val="12"/>
            <color indexed="12"/>
            <rFont val="Tahoma"/>
            <family val="2"/>
          </rPr>
          <t>Vikt (g)</t>
        </r>
        <r>
          <rPr>
            <b/>
            <sz val="12"/>
            <color indexed="81"/>
            <rFont val="Tahoma"/>
            <family val="2"/>
          </rPr>
          <t xml:space="preserve">" i fältet nedan (N2), ändras saqmtliga "andra"-rubriker i tabellen Individuppgifter till vänster (kolumnerna C, E, G, I, K &amp; M), dvs ska ni skriva i </t>
        </r>
        <r>
          <rPr>
            <b/>
            <sz val="12"/>
            <color indexed="20"/>
            <rFont val="Tahoma"/>
            <family val="2"/>
          </rPr>
          <t>enbart längder, välj Längd (mm)</t>
        </r>
        <r>
          <rPr>
            <b/>
            <sz val="12"/>
            <color indexed="81"/>
            <rFont val="Tahoma"/>
            <family val="2"/>
          </rPr>
          <t xml:space="preserve">, ska ni skriva i </t>
        </r>
        <r>
          <rPr>
            <b/>
            <sz val="12"/>
            <color indexed="10"/>
            <rFont val="Tahoma"/>
            <family val="2"/>
          </rPr>
          <t>längd och vikt, välj Vikt (g)</t>
        </r>
        <r>
          <rPr>
            <b/>
            <sz val="12"/>
            <color indexed="81"/>
            <rFont val="Tahoma"/>
            <family val="2"/>
          </rPr>
          <t>.</t>
        </r>
      </text>
    </comment>
    <comment ref="B8" authorId="1" shapeId="0" xr:uid="{00000000-0006-0000-0300-000002000000}">
      <text>
        <r>
          <rPr>
            <b/>
            <sz val="12"/>
            <color indexed="81"/>
            <rFont val="Tahoma"/>
            <family val="2"/>
          </rPr>
          <t xml:space="preserve">Ange </t>
        </r>
        <r>
          <rPr>
            <b/>
            <sz val="12"/>
            <color indexed="12"/>
            <rFont val="Tahoma"/>
            <family val="2"/>
          </rPr>
          <t>utfiskningsomgång</t>
        </r>
        <r>
          <rPr>
            <b/>
            <sz val="12"/>
            <color indexed="81"/>
            <rFont val="Tahoma"/>
            <family val="2"/>
          </rPr>
          <t xml:space="preserve"> (1, 2, 3)
Villkor:
* Utfiskningsomgång måste först anges i blad PROTOKOLL (H13:I13)</t>
        </r>
      </text>
    </comment>
    <comment ref="E8" authorId="0" shapeId="0" xr:uid="{00000000-0006-0000-0300-000003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 ref="E53" authorId="0" shapeId="0" xr:uid="{00000000-0006-0000-0300-000004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 ref="E98" authorId="0" shapeId="0" xr:uid="{00000000-0006-0000-0300-000005000000}">
      <text>
        <r>
          <rPr>
            <b/>
            <sz val="14"/>
            <color indexed="81"/>
            <rFont val="Tahoma"/>
            <family val="2"/>
          </rPr>
          <t xml:space="preserve">Här kan man kortfattat ange kommentarer till längd och viktuppgifter nedan. I rullistan som finns i fältet finns några </t>
        </r>
        <r>
          <rPr>
            <b/>
            <sz val="14"/>
            <color indexed="12"/>
            <rFont val="Tahoma"/>
            <family val="2"/>
          </rPr>
          <t>exempel</t>
        </r>
        <r>
          <rPr>
            <b/>
            <sz val="14"/>
            <color indexed="81"/>
            <rFont val="Tahoma"/>
            <family val="2"/>
          </rPr>
          <t xml:space="preserve"> på vad man kan ange. Det är dock f</t>
        </r>
        <r>
          <rPr>
            <b/>
            <sz val="14"/>
            <color indexed="12"/>
            <rFont val="Tahoma"/>
            <family val="2"/>
          </rPr>
          <t>ritt att ange vad man vill</t>
        </r>
        <r>
          <rPr>
            <b/>
            <sz val="14"/>
            <color indexed="81"/>
            <rFont val="Tahoma"/>
            <family val="2"/>
          </rPr>
          <t xml:space="preserve"> i detta fält
Exempel:
I händelse av att man väger flera små individer tillsammans, för att de är för små för att man ska kunna erhålla tillförlitliga vikter för varje individ. Om man då vill ange viktuppgifter måste vikten anges för varje enskild individ för att uppgiften ska gå att mata in i protokollet. Lämpligen anges då medelvikten för dessa individer. Detta bör kommenteras i anmärkningsfältet. Använd gärna rullistan och ändra sedan xxxx till aktuellt artnamn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Tägtslingan</author>
  </authors>
  <commentList>
    <comment ref="A1" authorId="0" shapeId="0" xr:uid="{00000000-0006-0000-0400-000001000000}">
      <text>
        <r>
          <rPr>
            <b/>
            <sz val="9"/>
            <color indexed="81"/>
            <rFont val="Tahoma"/>
            <family val="2"/>
          </rPr>
          <t>För angiven art visas längdfördelning i diagrammet.
För laxfiskar (öring, lax, röding, bäckröding, harr, etc), krävs att art anges för att kunna ange 0+/&gt;0+ gräns</t>
        </r>
      </text>
    </comment>
    <comment ref="A2" authorId="0" shapeId="0" xr:uid="{00000000-0006-0000-0400-000002000000}">
      <text>
        <r>
          <rPr>
            <b/>
            <sz val="9"/>
            <color indexed="39"/>
            <rFont val="Tahoma"/>
            <family val="2"/>
          </rPr>
          <t>Valfritt</t>
        </r>
        <r>
          <rPr>
            <b/>
            <sz val="9"/>
            <color indexed="81"/>
            <rFont val="Tahoma"/>
            <family val="2"/>
          </rPr>
          <t xml:space="preserve">
Vid behov ange numersikt värde för att ändra var på X-skalan diagrammet ska börja. Om inget värde anges börjar diagrammets X-skala med värdet 1 (ett).</t>
        </r>
      </text>
    </comment>
    <comment ref="A3" authorId="0" shapeId="0" xr:uid="{00000000-0006-0000-0400-000003000000}">
      <text>
        <r>
          <rPr>
            <b/>
            <sz val="9"/>
            <color indexed="39"/>
            <rFont val="Tahoma"/>
            <family val="2"/>
          </rPr>
          <t>Valfritt</t>
        </r>
        <r>
          <rPr>
            <b/>
            <sz val="9"/>
            <color indexed="81"/>
            <rFont val="Tahoma"/>
            <family val="2"/>
          </rPr>
          <t xml:space="preserve">
Vid behov ange numeriskt värde längdintervall i diagrammets X-skala. Om inget värde anges är längdintervall för inställt på 5 mm.</t>
        </r>
      </text>
    </comment>
    <comment ref="A4" authorId="0" shapeId="0" xr:uid="{00000000-0006-0000-0400-000004000000}">
      <text>
        <r>
          <rPr>
            <b/>
            <sz val="9"/>
            <color indexed="39"/>
            <rFont val="Tahoma"/>
            <family val="2"/>
          </rPr>
          <t>Valfritt</t>
        </r>
        <r>
          <rPr>
            <b/>
            <sz val="9"/>
            <color indexed="81"/>
            <rFont val="Tahoma"/>
            <family val="2"/>
          </rPr>
          <t xml:space="preserve"> att ange värde i fältet till höger.
Används till exempel om man vill att Y-skalan ska visas lika för alla arter eller om man vill ha lika skala som vid ett annat fisketillfälle. Kan vara önskvärt vid utskrift av denna sida eller kopiering till annat dokument.
Endast värdena 10, 20, 50 och 100 kan anges.
Värden större än 100 kan anges fritt.</t>
        </r>
      </text>
    </comment>
    <comment ref="K10" authorId="0" shapeId="0" xr:uid="{00000000-0006-0000-0400-000005000000}">
      <text>
        <r>
          <rPr>
            <b/>
            <sz val="9"/>
            <color indexed="81"/>
            <rFont val="Tahoma"/>
            <family val="2"/>
          </rPr>
          <t xml:space="preserve">Ange vilkor för längsta "0+", dvs den längd som utgör gräns mellan "0+" &amp; "&gt;0+". Anges i fält nedan. Angiven gräns visas som en </t>
        </r>
        <r>
          <rPr>
            <b/>
            <sz val="9"/>
            <color indexed="12"/>
            <rFont val="Tahoma"/>
            <family val="2"/>
          </rPr>
          <t>streckad linje</t>
        </r>
        <r>
          <rPr>
            <b/>
            <sz val="9"/>
            <color indexed="81"/>
            <rFont val="Tahoma"/>
            <family val="2"/>
          </rPr>
          <t xml:space="preserve"> eller stapel i diagramet.
Tecknen "</t>
        </r>
        <r>
          <rPr>
            <b/>
            <sz val="9"/>
            <color indexed="12"/>
            <rFont val="Tahoma"/>
            <family val="2"/>
          </rPr>
          <t>&lt;</t>
        </r>
        <r>
          <rPr>
            <b/>
            <sz val="9"/>
            <color indexed="81"/>
            <rFont val="Tahoma"/>
            <family val="2"/>
          </rPr>
          <t>" &amp; "</t>
        </r>
        <r>
          <rPr>
            <b/>
            <sz val="9"/>
            <color indexed="12"/>
            <rFont val="Tahoma"/>
            <family val="2"/>
          </rPr>
          <t>&lt;=</t>
        </r>
        <r>
          <rPr>
            <b/>
            <sz val="9"/>
            <color indexed="81"/>
            <rFont val="Tahoma"/>
            <family val="2"/>
          </rPr>
          <t xml:space="preserve">" kan användas framför ett siffervärde. Anges </t>
        </r>
        <r>
          <rPr>
            <b/>
            <sz val="9"/>
            <color indexed="12"/>
            <rFont val="Tahoma"/>
            <family val="2"/>
          </rPr>
          <t>endast ett siffervärde</t>
        </r>
        <r>
          <rPr>
            <b/>
            <sz val="9"/>
            <color indexed="81"/>
            <rFont val="Tahoma"/>
            <family val="2"/>
          </rPr>
          <t xml:space="preserve"> kommer detta att tolkas som "&lt;=" (mindre-eller-lika-med)
Variera "</t>
        </r>
        <r>
          <rPr>
            <b/>
            <sz val="9"/>
            <color indexed="12"/>
            <rFont val="Tahoma"/>
            <family val="2"/>
          </rPr>
          <t>Diagram start</t>
        </r>
        <r>
          <rPr>
            <b/>
            <sz val="9"/>
            <color indexed="81"/>
            <rFont val="Tahoma"/>
            <family val="2"/>
          </rPr>
          <t>" &amp; "</t>
        </r>
        <r>
          <rPr>
            <b/>
            <sz val="9"/>
            <color indexed="12"/>
            <rFont val="Tahoma"/>
            <family val="2"/>
          </rPr>
          <t>Diagramintervall</t>
        </r>
        <r>
          <rPr>
            <b/>
            <sz val="9"/>
            <color indexed="81"/>
            <rFont val="Tahoma"/>
            <family val="2"/>
          </rPr>
          <t xml:space="preserve">" i vänsta övre hörnet, och studera diagrammet för att avgöra var gränsen mellan "0+" och "&gt;0+" går.
Om ingen 0+ fångats anges </t>
        </r>
        <r>
          <rPr>
            <b/>
            <sz val="9"/>
            <color indexed="12"/>
            <rFont val="Tahoma"/>
            <family val="2"/>
          </rPr>
          <t>X</t>
        </r>
        <r>
          <rPr>
            <b/>
            <sz val="9"/>
            <color indexed="81"/>
            <rFont val="Tahoma"/>
            <family val="2"/>
          </rPr>
          <t xml:space="preserve">, saknas alternativt anger </t>
        </r>
        <r>
          <rPr>
            <b/>
            <sz val="9"/>
            <color indexed="49"/>
            <rFont val="Tahoma"/>
            <family val="2"/>
          </rPr>
          <t>en längd som är mindre än den minsta fångade individen</t>
        </r>
        <r>
          <rPr>
            <b/>
            <sz val="9"/>
            <color indexed="81"/>
            <rFont val="Tahoma"/>
            <family val="2"/>
          </rPr>
          <t xml:space="preserve">, annars kommer inte avsaknades av 0+ att registreras i de uppgifter som redovisas till SLU.
Om ingen åtskillnad mellan 0+ och större fisk görs lämnas fältet tomt. Observera att åtskillnad mellan 0+ och större fisk är obligatoriskt för vissa arter (Laxfiskarterna). Obligatoriska arter som normalt delas upp i 0+/&gt;0+ är </t>
        </r>
        <r>
          <rPr>
            <b/>
            <sz val="9"/>
            <color indexed="10"/>
            <rFont val="Tahoma"/>
            <family val="2"/>
          </rPr>
          <t>markerade i rött</t>
        </r>
        <r>
          <rPr>
            <b/>
            <sz val="9"/>
            <color indexed="81"/>
            <rFont val="Tahoma"/>
            <family val="2"/>
          </rPr>
          <t xml:space="preserve"> tills 0+/&gt;0+ gräns angivits.</t>
        </r>
      </text>
    </comment>
    <comment ref="J26" authorId="0" shapeId="0" xr:uid="{00000000-0006-0000-0400-000006000000}">
      <text>
        <r>
          <rPr>
            <b/>
            <sz val="9"/>
            <color indexed="81"/>
            <rFont val="Tahoma"/>
            <family val="2"/>
          </rPr>
          <t>Kan endast beräknas för tätheter som skattats med Zippin-metoden (ZIPP)</t>
        </r>
      </text>
    </comment>
    <comment ref="N26" authorId="0" shapeId="0" xr:uid="{00000000-0006-0000-0400-000007000000}">
      <text>
        <r>
          <rPr>
            <b/>
            <sz val="9"/>
            <color indexed="81"/>
            <rFont val="Tahoma"/>
            <family val="2"/>
          </rPr>
          <t>Om man bedömer att den antals-/täthetsskattning som automatberäknats för en eller flera arter är felaktig, så finns möjligheten att  ange eget p1-värde för respektive art där man anser att det behövs. p1-värdet anger den (genomsnittliga) andel av samtliga individer för en art som fångades vid en utfiskningsomgång. Att ange eget p1-värde kan vara aktuellt i vissa fall när mycket få fiskar fångas och den faktiska fångsteffektiviteten är ovanligt låg eller hög.
Denna möjlighet tillämpas vanligtvis när man utfört elprovfske där endast en utfiskningsomgång genomförts, och(/eller) när man fångat mycket få fiskar.</t>
        </r>
        <r>
          <rPr>
            <b/>
            <i/>
            <sz val="9"/>
            <color indexed="23"/>
            <rFont val="Tahoma"/>
            <family val="2"/>
          </rPr>
          <t xml:space="preserve"> (Om möjligheten att ange eget p1-värde när fler än en utfiskningsomgång utförts måste man försöka att uppskatta egen genomsnittsfångsteffektivitet för de utfiskningsomgångar som utförts vid tillfället. Det kan vra svårt och riskerar att ge ett mer felaktigt värde än att inte ange något. Tillämpa med försiktighet och endast om man är säker på att det förbättrar skattningen!)</t>
        </r>
        <r>
          <rPr>
            <b/>
            <sz val="9"/>
            <color indexed="81"/>
            <rFont val="Tahoma"/>
            <family val="2"/>
          </rPr>
          <t xml:space="preserve">
</t>
        </r>
        <r>
          <rPr>
            <b/>
            <sz val="9"/>
            <color indexed="39"/>
            <rFont val="Tahoma"/>
            <family val="2"/>
          </rPr>
          <t xml:space="preserve">
</t>
        </r>
        <r>
          <rPr>
            <b/>
            <u/>
            <sz val="9"/>
            <color indexed="39"/>
            <rFont val="Tahoma"/>
            <family val="2"/>
          </rPr>
          <t>Exempel där endast en utfiskningsomgång utförts:</t>
        </r>
        <r>
          <rPr>
            <b/>
            <sz val="9"/>
            <color indexed="81"/>
            <rFont val="Tahoma"/>
            <family val="2"/>
          </rPr>
          <t xml:space="preserve">
3 årsungar av öringar fångas. Det innebär att det totala antalet öringar som fanns inom lokalen vid fisketillfället skattas till 6,25 individer. Detta eftersom man sällan fånga samtliga individer vid första utfiskningsomgången. Eftersom det inte går att skatta fiskarens effektivitet (p-värde) när endast en utfiskningsomgång genomförs, så används framräknade genomsnittsvärden för arten (från SLU:s databas). För årsungar av öring är detta värde 0,48, dvs 48% av individerna fångas i genomsnitt per utfiskningsomgång.
Om den som utförde fisket vet med sig att totalskattningen på 6 individer är missvisande (vilket det lätt blir när man fångar få individer och där varje fisk som bommas eller fångas får stor betydelse för slutresultatet). I detta exempel finns tre tänkbarra alternativ:
</t>
        </r>
        <r>
          <rPr>
            <b/>
            <sz val="9"/>
            <color indexed="39"/>
            <rFont val="Tahoma"/>
            <family val="2"/>
          </rPr>
          <t>1:</t>
        </r>
        <r>
          <rPr>
            <b/>
            <sz val="9"/>
            <color indexed="81"/>
            <rFont val="Tahoma"/>
            <family val="2"/>
          </rPr>
          <t xml:space="preserve"> Fångstresultatet speglar det rätta förhållandet, dvs ungefär 50% av fiskarna fångades
</t>
        </r>
        <r>
          <rPr>
            <b/>
            <sz val="9"/>
            <color indexed="39"/>
            <rFont val="Tahoma"/>
            <family val="2"/>
          </rPr>
          <t>2:</t>
        </r>
        <r>
          <rPr>
            <b/>
            <sz val="9"/>
            <color indexed="81"/>
            <rFont val="Tahoma"/>
            <family val="2"/>
          </rPr>
          <t xml:space="preserve"> Fiskaren vet helt säkert att hen sett fler än totalt 6 årsungar av öring, exempelvis 11 st. Det innebär att den faktiska fångsteffektiviteten var som bäst 27% (3 dividerat med 11). Att då ange ett eget p1-värde på 0,27 ger då ett mycket mer rättvisande resultat än den automatiska beräkning som använder genomsnittsvärden.
</t>
        </r>
        <r>
          <rPr>
            <b/>
            <sz val="9"/>
            <color indexed="39"/>
            <rFont val="Tahoma"/>
            <family val="2"/>
          </rPr>
          <t>3:</t>
        </r>
        <r>
          <rPr>
            <b/>
            <sz val="9"/>
            <color indexed="81"/>
            <rFont val="Tahoma"/>
            <family val="2"/>
          </rPr>
          <t xml:space="preserve"> Fiskaren observerade en endaste fisk till utöver de tre som fångades, och är övertygad om att det totala antalet fiskar som fanns på lokalen innan fisket påbörjades var 4. Det innebr att fångsteffektiviteten var 75% (3 dividerat med 4). Att då ange "eget p1-värde" 0,75 ger en mer rättvisande bild av det faktiska antalet fiskar på lokalen vid fisketillfället. Man skulle också kunna tänka sig att ange ett p1-värde på 0,6 mot bakgrund av följande resonemang: "3 fiskar fångades och ytterligare en observerades. Det fanns definitivt inte så många som 6 individer, men det kan tänkas att ytterligare en fisk undgick att fångas eller observeras. Det ger ett totalt antal på 5 individer." Att då ange eget p1-värde 0,6 (3 dividerat med 5) ger en mer rättvisande skattning av totalantalet fiskar.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Tägtslingan</author>
    <author>Lundvall David</author>
  </authors>
  <commentList>
    <comment ref="F10" authorId="0" shapeId="0" xr:uid="{00000000-0006-0000-0500-000001000000}">
      <text>
        <r>
          <rPr>
            <b/>
            <sz val="9"/>
            <color indexed="81"/>
            <rFont val="Tahoma"/>
            <family val="2"/>
          </rPr>
          <t>Skattad täthet  (ind/100m</t>
        </r>
        <r>
          <rPr>
            <b/>
            <vertAlign val="superscript"/>
            <sz val="9"/>
            <color indexed="81"/>
            <rFont val="Tahoma"/>
            <family val="2"/>
          </rPr>
          <t>2</t>
        </r>
        <r>
          <rPr>
            <b/>
            <sz val="9"/>
            <color indexed="81"/>
            <rFont val="Tahoma"/>
            <family val="2"/>
          </rPr>
          <t>) av äldre fiskindivider (&gt;0+).
Om ingen uppdelning av äldre och årsyngel ha gjorts så visas här den totala skattade tätheten för respektive art</t>
        </r>
      </text>
    </comment>
    <comment ref="G10" authorId="0" shapeId="0" xr:uid="{00000000-0006-0000-0500-000002000000}">
      <text>
        <r>
          <rPr>
            <b/>
            <sz val="9"/>
            <color indexed="81"/>
            <rFont val="Tahoma"/>
            <family val="2"/>
          </rPr>
          <t>Täthet (ind/100m</t>
        </r>
        <r>
          <rPr>
            <b/>
            <vertAlign val="superscript"/>
            <sz val="9"/>
            <color indexed="81"/>
            <rFont val="Tahoma"/>
            <family val="2"/>
          </rPr>
          <t>2</t>
        </r>
        <r>
          <rPr>
            <b/>
            <sz val="9"/>
            <color indexed="81"/>
            <rFont val="Tahoma"/>
            <family val="2"/>
          </rPr>
          <t>) av årsyngel (0+) för respektive art, om sådan uppdelning gjorts (gäller endast laxfiskarter)
-9 = ingen uppdelning av äldre/årsyngel har gjorts eller tillåtits</t>
        </r>
      </text>
    </comment>
    <comment ref="H10" authorId="0" shapeId="0" xr:uid="{00000000-0006-0000-0500-000003000000}">
      <text>
        <r>
          <rPr>
            <b/>
            <sz val="9"/>
            <color indexed="81"/>
            <rFont val="Tahoma"/>
            <family val="2"/>
          </rPr>
          <t>Skattningsmetod som använts vid beräkningen av fisktäthet för äldre fiskindivider (eller samtliga om ingen uppdelning genomförts/tillåtits), för respektive art</t>
        </r>
      </text>
    </comment>
    <comment ref="I10" authorId="0" shapeId="0" xr:uid="{00000000-0006-0000-0500-000004000000}">
      <text>
        <r>
          <rPr>
            <b/>
            <sz val="9"/>
            <color indexed="81"/>
            <rFont val="Tahoma"/>
            <family val="2"/>
          </rPr>
          <t>Skattningsmetod som använts vid beräkningen av fisktäthet för årsyngel om sådan uppdelning genomförts/tillåtits, för respektive art</t>
        </r>
      </text>
    </comment>
    <comment ref="O10" authorId="1" shapeId="0" xr:uid="{00000000-0006-0000-0500-000005000000}">
      <text>
        <r>
          <rPr>
            <b/>
            <sz val="9"/>
            <color indexed="81"/>
            <rFont val="Tahoma"/>
            <family val="2"/>
          </rPr>
          <t>Plats för egen kommentar. Fälten nedan innehåller funktion för automatisk överföring av kommentar om eget p-värde angivits i bladet 'Artuppgifter'. Denna går dock bra att skriva över. Kan behövas att man raderar aktuellt fält innan man ersätter innehållet med egen kommentar</t>
        </r>
      </text>
    </comment>
    <comment ref="D25" authorId="0" shapeId="0" xr:uid="{00000000-0006-0000-0500-000006000000}">
      <text>
        <r>
          <rPr>
            <b/>
            <sz val="9"/>
            <color indexed="81"/>
            <rFont val="Tahoma"/>
            <family val="2"/>
          </rPr>
          <t>Fiskedatum
på formen ÅÅÅÅMMDD</t>
        </r>
      </text>
    </comment>
    <comment ref="F25" authorId="0" shapeId="0" xr:uid="{00000000-0006-0000-0500-000007000000}">
      <text>
        <r>
          <rPr>
            <b/>
            <sz val="9"/>
            <color indexed="81"/>
            <rFont val="Tahoma"/>
            <family val="2"/>
          </rPr>
          <t>Ålder:
0 = 0+, dvs årsyngel
1 = &gt;0+, dvs äldre än årsyngel
-9 = ingen åtskillnad av årsyngel och äldre har gjorts.</t>
        </r>
      </text>
    </comment>
    <comment ref="G25" authorId="0" shapeId="0" xr:uid="{00000000-0006-0000-0500-000008000000}">
      <text>
        <r>
          <rPr>
            <b/>
            <sz val="9"/>
            <color indexed="81"/>
            <rFont val="Tahoma"/>
            <family val="2"/>
          </rPr>
          <t>Antal fångade individer i utfiskningsomgång 1</t>
        </r>
      </text>
    </comment>
    <comment ref="H25" authorId="0" shapeId="0" xr:uid="{00000000-0006-0000-0500-000009000000}">
      <text>
        <r>
          <rPr>
            <b/>
            <sz val="9"/>
            <color indexed="81"/>
            <rFont val="Tahoma"/>
            <family val="2"/>
          </rPr>
          <t>Antal fångade individer i utfiskningsomgång 1</t>
        </r>
      </text>
    </comment>
    <comment ref="I25" authorId="0" shapeId="0" xr:uid="{00000000-0006-0000-0500-00000A000000}">
      <text>
        <r>
          <rPr>
            <b/>
            <sz val="9"/>
            <color indexed="81"/>
            <rFont val="Tahoma"/>
            <family val="2"/>
          </rPr>
          <t>Antal fångade individer i utfiskningsomgång 1</t>
        </r>
      </text>
    </comment>
    <comment ref="J25" authorId="0" shapeId="0" xr:uid="{00000000-0006-0000-0500-00000B000000}">
      <text>
        <r>
          <rPr>
            <b/>
            <sz val="9"/>
            <color indexed="81"/>
            <rFont val="Tahoma"/>
            <family val="2"/>
          </rPr>
          <t>Antal fångade individer i utfiskningsomgång 1</t>
        </r>
      </text>
    </comment>
    <comment ref="K25" authorId="0" shapeId="0" xr:uid="{00000000-0006-0000-0500-00000C000000}">
      <text>
        <r>
          <rPr>
            <b/>
            <sz val="9"/>
            <color indexed="81"/>
            <rFont val="Tahoma"/>
            <family val="2"/>
          </rPr>
          <t>Antal utfiskningsomgångar som genomförts</t>
        </r>
      </text>
    </comment>
    <comment ref="L25" authorId="0" shapeId="0" xr:uid="{00000000-0006-0000-0500-00000D000000}">
      <text>
        <r>
          <rPr>
            <b/>
            <sz val="9"/>
            <color indexed="81"/>
            <rFont val="Tahoma"/>
            <family val="2"/>
          </rPr>
          <t>Egna anmärkningar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Länsstyrelsen Dalarna</author>
    <author>Perca</author>
    <author>davlu</author>
    <author>Lundvall David</author>
  </authors>
  <commentList>
    <comment ref="O1" authorId="0" shapeId="0" xr:uid="{00000000-0006-0000-0800-000001000000}">
      <text>
        <r>
          <rPr>
            <b/>
            <sz val="8"/>
            <color indexed="81"/>
            <rFont val="Tahoma"/>
            <family val="2"/>
          </rPr>
          <t>För överföring till DATA TILL FiV. (ELFISKEN &amp; FANGSTER)</t>
        </r>
      </text>
    </comment>
    <comment ref="P1" authorId="1" shapeId="0" xr:uid="{00000000-0006-0000-0800-000002000000}">
      <text>
        <r>
          <rPr>
            <b/>
            <sz val="8"/>
            <color indexed="81"/>
            <rFont val="Tahoma"/>
            <family val="2"/>
          </rPr>
          <t>Tilläggspoäng till Poäng (till höger)
Arter som normalt delas upp i 0+/&gt;0+ (laxfiskar). Används till att bestämma skattningsmetod om ingen uppdelning av 0+/&gt;0+ görs</t>
        </r>
      </text>
    </comment>
    <comment ref="V1" authorId="2" shapeId="0" xr:uid="{00000000-0006-0000-0800-000003000000}">
      <text>
        <r>
          <rPr>
            <b/>
            <sz val="8"/>
            <color indexed="81"/>
            <rFont val="Tahoma"/>
            <family val="2"/>
          </rPr>
          <t>Villkor artspecifik konditionsfaktor minimum</t>
        </r>
      </text>
    </comment>
    <comment ref="W1" authorId="2" shapeId="0" xr:uid="{00000000-0006-0000-0800-000004000000}">
      <text>
        <r>
          <rPr>
            <b/>
            <sz val="8"/>
            <color indexed="81"/>
            <rFont val="Tahoma"/>
            <family val="2"/>
          </rPr>
          <t>Villkor artspecifik konditionsfaktor maximum</t>
        </r>
      </text>
    </comment>
    <comment ref="I3" authorId="2" shapeId="0" xr:uid="{00000000-0006-0000-0800-000005000000}">
      <text>
        <r>
          <rPr>
            <b/>
            <sz val="8"/>
            <color indexed="81"/>
            <rFont val="Tahoma"/>
            <family val="2"/>
          </rPr>
          <t>Verksamhet/syfte
(PROTOKOLL, Y4)</t>
        </r>
      </text>
    </comment>
    <comment ref="J3" authorId="2" shapeId="0" xr:uid="{00000000-0006-0000-0800-000006000000}">
      <text>
        <r>
          <rPr>
            <b/>
            <sz val="8"/>
            <color indexed="81"/>
            <rFont val="Tahoma"/>
            <family val="2"/>
          </rPr>
          <t>Organisation/Avd.
(PROTOKOLL, AA10)</t>
        </r>
      </text>
    </comment>
    <comment ref="G6" authorId="2" shapeId="0" xr:uid="{00000000-0006-0000-0800-000007000000}">
      <text>
        <r>
          <rPr>
            <b/>
            <sz val="8"/>
            <color indexed="81"/>
            <rFont val="Tahoma"/>
            <family val="2"/>
          </rPr>
          <t>Namn:
fisklängdmin
&amp;
fisklängdmax
Villkor för fisklängder i blad LÄNGDER</t>
        </r>
      </text>
    </comment>
    <comment ref="F37" authorId="3" shapeId="0" xr:uid="{00000000-0006-0000-0800-000008000000}">
      <text>
        <r>
          <rPr>
            <b/>
            <sz val="8"/>
            <color indexed="81"/>
            <rFont val="Tahoma"/>
            <family val="2"/>
          </rPr>
          <t>LöpNR för arter som ej längdmätts</t>
        </r>
      </text>
    </comment>
    <comment ref="G37" authorId="2" shapeId="0" xr:uid="{00000000-0006-0000-0800-000009000000}">
      <text>
        <r>
          <rPr>
            <b/>
            <sz val="8"/>
            <color indexed="81"/>
            <rFont val="Tahoma"/>
            <family val="2"/>
          </rPr>
          <t>För beräkning i "LANGDER" av "icke längdmätta individer"</t>
        </r>
      </text>
    </comment>
    <comment ref="I85" authorId="1" shapeId="0" xr:uid="{00000000-0006-0000-0800-00000A000000}">
      <text>
        <r>
          <rPr>
            <b/>
            <sz val="8"/>
            <color indexed="81"/>
            <rFont val="Tahoma"/>
            <family val="2"/>
          </rPr>
          <t>För ARTNR-beräkning i blad 'Antal &amp; Längder' (Icke längdmätta individer)</t>
        </r>
      </text>
    </comment>
  </commentList>
</comments>
</file>

<file path=xl/sharedStrings.xml><?xml version="1.0" encoding="utf-8"?>
<sst xmlns="http://schemas.openxmlformats.org/spreadsheetml/2006/main" count="4502" uniqueCount="2535">
  <si>
    <t>Träslag</t>
  </si>
  <si>
    <t>Al</t>
  </si>
  <si>
    <t>Bok</t>
  </si>
  <si>
    <t>Björk</t>
  </si>
  <si>
    <t>Gran</t>
  </si>
  <si>
    <t>Tall</t>
  </si>
  <si>
    <t>Sälg</t>
  </si>
  <si>
    <t>Dom.träslag</t>
  </si>
  <si>
    <t>Näst.dom.träslag</t>
  </si>
  <si>
    <t>Lista 10</t>
  </si>
  <si>
    <t>Lista 11</t>
  </si>
  <si>
    <t>108109</t>
  </si>
  <si>
    <t>108/109 Kustområde</t>
  </si>
  <si>
    <t>109 Bäveån</t>
  </si>
  <si>
    <t>109110</t>
  </si>
  <si>
    <t>109/110 Kustområde</t>
  </si>
  <si>
    <t>110 Örekilsälven</t>
  </si>
  <si>
    <t>110111</t>
  </si>
  <si>
    <t>110/111 Kustområde</t>
  </si>
  <si>
    <t>111 Strömsån</t>
  </si>
  <si>
    <t>111/112 Kustområde</t>
  </si>
  <si>
    <t>112 Enningdalsälven</t>
  </si>
  <si>
    <t>117 Gothemsån</t>
  </si>
  <si>
    <t>117/118 Kustområde</t>
  </si>
  <si>
    <t>118 Snoderån</t>
  </si>
  <si>
    <t>118/117 Kustområde</t>
  </si>
  <si>
    <t>30 - 40</t>
  </si>
  <si>
    <t>40 - 200</t>
  </si>
  <si>
    <t>&gt;200</t>
  </si>
  <si>
    <t>10 - 20</t>
  </si>
  <si>
    <t>2 - 10</t>
  </si>
  <si>
    <t>Bottensubstrat (förklaring)</t>
  </si>
  <si>
    <t>Partikeldiameter (cm)</t>
  </si>
  <si>
    <t>Kod</t>
  </si>
  <si>
    <t>Dom. Substrat (D1 - D3)</t>
  </si>
  <si>
    <t>Avstånd (m) från lokalens nedre avgr.</t>
  </si>
  <si>
    <t>BOTTENSUBSTRAT</t>
  </si>
  <si>
    <t>Rang</t>
  </si>
  <si>
    <t>Transektprotokoll för tidsserievattendrag (IKEU- och NMÖV-vattendrag)</t>
  </si>
  <si>
    <t>Förekomst (0 - 3)</t>
  </si>
  <si>
    <t>Vattensystem (SMHI):</t>
  </si>
  <si>
    <t>Medeldjup (m):</t>
  </si>
  <si>
    <t xml:space="preserve"> Jämn</t>
  </si>
  <si>
    <t xml:space="preserve"> Intermediär</t>
  </si>
  <si>
    <t xml:space="preserve"> STRÖMT</t>
  </si>
  <si>
    <t xml:space="preserve"> MEDEL</t>
  </si>
  <si>
    <t xml:space="preserve"> LUGNT</t>
  </si>
  <si>
    <t xml:space="preserve"> LÅG</t>
  </si>
  <si>
    <t xml:space="preserve"> STRÅK-FORS</t>
  </si>
  <si>
    <t xml:space="preserve"> Vattenhastighet:</t>
  </si>
  <si>
    <t xml:space="preserve"> Vattenföring:</t>
  </si>
  <si>
    <t xml:space="preserve">  VEGETATION (D1, D2, D3): </t>
  </si>
  <si>
    <t>BERAKN0P</t>
  </si>
  <si>
    <t>LOKAL. MEDELBREDD (m):</t>
  </si>
  <si>
    <r>
      <t>LOKAL. MEDELYTA (m</t>
    </r>
    <r>
      <rPr>
        <i/>
        <vertAlign val="superscript"/>
        <sz val="9"/>
        <rFont val="Arial"/>
        <family val="2"/>
      </rPr>
      <t>2</t>
    </r>
    <r>
      <rPr>
        <i/>
        <sz val="9"/>
        <rFont val="Arial"/>
        <family val="2"/>
      </rPr>
      <t>):</t>
    </r>
  </si>
  <si>
    <r>
      <t>Lokalens medelyta (m</t>
    </r>
    <r>
      <rPr>
        <i/>
        <vertAlign val="superscript"/>
        <sz val="10"/>
        <rFont val="Arial"/>
        <family val="2"/>
      </rPr>
      <t>2</t>
    </r>
    <r>
      <rPr>
        <i/>
        <sz val="10"/>
        <rFont val="Arial"/>
        <family val="2"/>
      </rPr>
      <t>)</t>
    </r>
  </si>
  <si>
    <t>Förekomsten klassas 0 - 3 (se nedan)</t>
  </si>
  <si>
    <t xml:space="preserve">Instruktion för tabell nedan </t>
  </si>
  <si>
    <t>Dominerande substrat:            =D1</t>
  </si>
  <si>
    <t>Subdominerande substrat1:    =D2</t>
  </si>
  <si>
    <t>Subdominerande substrat2:    =D3</t>
  </si>
  <si>
    <r>
      <t>Avfiskad        yta (m</t>
    </r>
    <r>
      <rPr>
        <b/>
        <vertAlign val="superscript"/>
        <sz val="10"/>
        <rFont val="Arial"/>
        <family val="2"/>
      </rPr>
      <t>2</t>
    </r>
    <r>
      <rPr>
        <b/>
        <sz val="10"/>
        <rFont val="Arial"/>
        <family val="2"/>
      </rPr>
      <t>):</t>
    </r>
  </si>
  <si>
    <r>
      <t>0</t>
    </r>
    <r>
      <rPr>
        <i/>
        <sz val="9"/>
        <rFont val="Arial"/>
        <family val="2"/>
      </rPr>
      <t xml:space="preserve">= Saknas </t>
    </r>
    <r>
      <rPr>
        <b/>
        <i/>
        <sz val="9"/>
        <rFont val="Arial"/>
        <family val="2"/>
      </rPr>
      <t>1</t>
    </r>
    <r>
      <rPr>
        <i/>
        <sz val="9"/>
        <rFont val="Arial"/>
        <family val="2"/>
      </rPr>
      <t>&lt;</t>
    </r>
    <r>
      <rPr>
        <b/>
        <i/>
        <sz val="9"/>
        <rFont val="Arial"/>
        <family val="2"/>
      </rPr>
      <t>=</t>
    </r>
    <r>
      <rPr>
        <i/>
        <sz val="9"/>
        <rFont val="Arial"/>
        <family val="2"/>
      </rPr>
      <t xml:space="preserve">5% </t>
    </r>
    <r>
      <rPr>
        <b/>
        <i/>
        <sz val="9"/>
        <rFont val="Arial"/>
        <family val="2"/>
      </rPr>
      <t>2</t>
    </r>
    <r>
      <rPr>
        <i/>
        <sz val="9"/>
        <rFont val="Arial"/>
        <family val="2"/>
      </rPr>
      <t xml:space="preserve">=5-50% </t>
    </r>
    <r>
      <rPr>
        <b/>
        <i/>
        <sz val="9"/>
        <rFont val="Arial"/>
        <family val="2"/>
      </rPr>
      <t>3</t>
    </r>
    <r>
      <rPr>
        <i/>
        <sz val="9"/>
        <rFont val="Arial"/>
        <family val="2"/>
      </rPr>
      <t xml:space="preserve">&gt;=50% </t>
    </r>
  </si>
  <si>
    <t>BÄCNE</t>
  </si>
  <si>
    <t>SNVKOD</t>
  </si>
  <si>
    <t>Kommun:</t>
  </si>
  <si>
    <t>Kommunnr:</t>
  </si>
  <si>
    <t>Klimat/högflödeerosion</t>
  </si>
  <si>
    <t>Klimat/högflödeserosion</t>
  </si>
  <si>
    <t>HÖGFL</t>
  </si>
  <si>
    <t>ASP</t>
  </si>
  <si>
    <t>AVFISKBR</t>
  </si>
  <si>
    <t>Omgång</t>
  </si>
  <si>
    <t>Art</t>
  </si>
  <si>
    <t>Poäng</t>
  </si>
  <si>
    <t>ARTNR</t>
  </si>
  <si>
    <t>&gt;0</t>
  </si>
  <si>
    <t>Lista 1</t>
  </si>
  <si>
    <t>Längd (mm)</t>
  </si>
  <si>
    <t>Vikt (g)</t>
  </si>
  <si>
    <t>NR</t>
  </si>
  <si>
    <t>Ja</t>
  </si>
  <si>
    <t>Nej</t>
  </si>
  <si>
    <t>Lista 3</t>
  </si>
  <si>
    <t>INVENT</t>
  </si>
  <si>
    <t>MKB</t>
  </si>
  <si>
    <t>MONITOR</t>
  </si>
  <si>
    <t>IKEU</t>
  </si>
  <si>
    <t>IKEUREF</t>
  </si>
  <si>
    <t>UPPF</t>
  </si>
  <si>
    <t>VMÅL</t>
  </si>
  <si>
    <t>UTBILD</t>
  </si>
  <si>
    <t>REPR</t>
  </si>
  <si>
    <t>Lista4</t>
  </si>
  <si>
    <t>FVO</t>
  </si>
  <si>
    <t>KONS</t>
  </si>
  <si>
    <t>FN</t>
  </si>
  <si>
    <t>ÄBY</t>
  </si>
  <si>
    <t>SÖLAB</t>
  </si>
  <si>
    <t>FVÄ</t>
  </si>
  <si>
    <t>SNV</t>
  </si>
  <si>
    <t>IVL</t>
  </si>
  <si>
    <t>SF</t>
  </si>
  <si>
    <t>ACLAX</t>
  </si>
  <si>
    <t>SAMHA</t>
  </si>
  <si>
    <t>NRM</t>
  </si>
  <si>
    <t>FHS</t>
  </si>
  <si>
    <t>Lista5</t>
  </si>
  <si>
    <t>AVEL</t>
  </si>
  <si>
    <t>LN_NAMN</t>
  </si>
  <si>
    <t>Blekinge län</t>
  </si>
  <si>
    <t>KN_NAMN</t>
  </si>
  <si>
    <t>Dalarnas län</t>
  </si>
  <si>
    <t>Ale</t>
  </si>
  <si>
    <t>Västra Götalands län</t>
  </si>
  <si>
    <t>Gotlands län</t>
  </si>
  <si>
    <t>Alingsås</t>
  </si>
  <si>
    <t>Gävleborgs län</t>
  </si>
  <si>
    <t>Alvesta</t>
  </si>
  <si>
    <t>Kronobergs län</t>
  </si>
  <si>
    <t>Hallands län</t>
  </si>
  <si>
    <t>Aneby</t>
  </si>
  <si>
    <t>Jönköpings län</t>
  </si>
  <si>
    <t>Jämtlands län</t>
  </si>
  <si>
    <t>Arboga</t>
  </si>
  <si>
    <t>Västmanlands län</t>
  </si>
  <si>
    <t>Arjeplog</t>
  </si>
  <si>
    <t>Norrbottens län</t>
  </si>
  <si>
    <t>Kalmar län</t>
  </si>
  <si>
    <t>Arvidsjaur</t>
  </si>
  <si>
    <t>Arvika</t>
  </si>
  <si>
    <t>Värmlands län</t>
  </si>
  <si>
    <t>Askersund</t>
  </si>
  <si>
    <t>Örebro län</t>
  </si>
  <si>
    <t>Skåne län</t>
  </si>
  <si>
    <t>Avesta</t>
  </si>
  <si>
    <t>Stockholms län</t>
  </si>
  <si>
    <t>Bengtsfors</t>
  </si>
  <si>
    <t>Södermanlands län</t>
  </si>
  <si>
    <t>Berg</t>
  </si>
  <si>
    <t>Uppsala län</t>
  </si>
  <si>
    <t>Bjurholm</t>
  </si>
  <si>
    <t>Västerbottens län</t>
  </si>
  <si>
    <t>Bjuv</t>
  </si>
  <si>
    <t>Boden</t>
  </si>
  <si>
    <t>Västernorrlands län</t>
  </si>
  <si>
    <t>Bollebygd</t>
  </si>
  <si>
    <t>Bollnäs</t>
  </si>
  <si>
    <t>Borgholm</t>
  </si>
  <si>
    <t>Borlänge</t>
  </si>
  <si>
    <t>Östergötlands län</t>
  </si>
  <si>
    <t>Borås</t>
  </si>
  <si>
    <t>Botkyrka</t>
  </si>
  <si>
    <t>Boxholm</t>
  </si>
  <si>
    <t>Bromölla</t>
  </si>
  <si>
    <t>Bräcke</t>
  </si>
  <si>
    <t>Burlöv</t>
  </si>
  <si>
    <t>Båstad</t>
  </si>
  <si>
    <t>Dals-Ed</t>
  </si>
  <si>
    <t>Danderyd</t>
  </si>
  <si>
    <t>Degerfors</t>
  </si>
  <si>
    <t>Dorotea</t>
  </si>
  <si>
    <t>Eda</t>
  </si>
  <si>
    <t>Ekerö</t>
  </si>
  <si>
    <t>Eksjö</t>
  </si>
  <si>
    <t>Emmaboda</t>
  </si>
  <si>
    <t>Enköping</t>
  </si>
  <si>
    <t>Gällivare</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</si>
  <si>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</si>
  <si>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</si>
  <si>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</si>
  <si>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</si>
  <si>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</si>
  <si>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</si>
  <si>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</si>
  <si>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</si>
  <si>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</si>
  <si>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</si>
  <si>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</si>
  <si>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</si>
  <si>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</si>
  <si>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</si>
  <si>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</si>
  <si>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</si>
  <si>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</si>
  <si>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</si>
  <si>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</si>
  <si>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</si>
  <si>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</si>
  <si>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</si>
  <si>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</si>
  <si>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</si>
  <si>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</si>
  <si>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</si>
  <si>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</si>
  <si>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</si>
  <si>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</si>
  <si>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</si>
  <si>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</si>
  <si>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</si>
  <si>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</si>
  <si>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</si>
  <si>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</si>
  <si>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</si>
  <si>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</si>
  <si>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</si>
  <si>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</si>
  <si>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</si>
  <si>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</si>
  <si>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</si>
  <si>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</si>
  <si>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</si>
  <si>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</si>
  <si>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</si>
  <si>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</si>
  <si>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</si>
  <si>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</si>
  <si>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</si>
  <si>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</si>
  <si>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</si>
  <si>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</si>
  <si>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</si>
  <si>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</si>
  <si>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</si>
  <si>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</si>
  <si>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</si>
  <si>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</si>
  <si>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</si>
  <si>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</si>
  <si>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</si>
  <si>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</si>
  <si>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</si>
  <si>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</si>
  <si>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</si>
  <si>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</si>
  <si>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</si>
  <si>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</si>
  <si>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</si>
  <si>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</si>
  <si>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</si>
  <si>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</si>
  <si>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</si>
  <si>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</si>
  <si>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</si>
  <si>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</si>
  <si>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</si>
  <si>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</si>
  <si>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</si>
  <si>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</si>
  <si>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</si>
  <si>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</si>
  <si>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</si>
  <si>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</si>
  <si>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</si>
  <si>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</si>
  <si>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</si>
  <si>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</si>
  <si>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</si>
  <si>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</si>
  <si>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</si>
  <si>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</si>
  <si>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</si>
  <si>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</si>
  <si>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</si>
  <si>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</si>
  <si>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</si>
  <si>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</si>
  <si>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</si>
  <si>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</si>
  <si>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</si>
  <si>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</si>
  <si>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</si>
  <si>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</si>
  <si>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</si>
  <si>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</si>
  <si>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</si>
  <si>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</si>
  <si>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</si>
  <si>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</si>
  <si>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</si>
  <si>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</si>
  <si>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</si>
  <si>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</si>
  <si>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</si>
  <si>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</si>
  <si>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</si>
  <si>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</si>
  <si>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</si>
  <si>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</si>
  <si>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</si>
  <si>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</si>
  <si>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</si>
  <si>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</si>
  <si>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</si>
  <si>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</si>
  <si>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</si>
  <si>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</si>
  <si>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</si>
  <si>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</si>
  <si>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</si>
  <si>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</si>
  <si>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</si>
  <si>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</si>
  <si>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</si>
  <si>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</si>
  <si>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</si>
  <si>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</si>
  <si>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</si>
  <si>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</si>
  <si>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</si>
  <si>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</si>
  <si>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</si>
  <si>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</si>
  <si>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</si>
  <si>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</si>
  <si>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</si>
  <si>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</si>
  <si>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</si>
  <si>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</si>
  <si>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</si>
  <si>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</si>
  <si>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</si>
  <si>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</si>
  <si>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</si>
  <si>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</si>
  <si>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</si>
  <si>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</si>
  <si>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</si>
  <si>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</si>
  <si>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</si>
  <si>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</si>
  <si>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</si>
  <si>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</si>
  <si>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</si>
  <si>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</si>
  <si>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</si>
  <si>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</si>
  <si>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</si>
  <si>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</si>
  <si>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</si>
  <si>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</si>
  <si>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</si>
  <si>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</si>
  <si>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</si>
  <si>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</si>
  <si>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</si>
  <si>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</si>
  <si>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</si>
  <si>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</si>
  <si>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</si>
  <si>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</si>
  <si>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</si>
  <si>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</si>
  <si>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</si>
  <si>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</si>
  <si>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</si>
  <si>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</si>
  <si>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</si>
  <si>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</si>
  <si>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</si>
  <si>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KARPFISK</t>
  </si>
  <si>
    <t>NMÖ</t>
  </si>
  <si>
    <t>RKEU</t>
  </si>
  <si>
    <t>RKEUREF</t>
  </si>
  <si>
    <t>RMÖ</t>
  </si>
  <si>
    <t>DOMÄN</t>
  </si>
  <si>
    <t>HS</t>
  </si>
  <si>
    <t>KOM</t>
  </si>
  <si>
    <t>LST</t>
  </si>
  <si>
    <t>UKGBG</t>
  </si>
  <si>
    <t>UKHÄR</t>
  </si>
  <si>
    <t>UKJÖN</t>
  </si>
  <si>
    <t>UKLUL</t>
  </si>
  <si>
    <t>UKÖRE</t>
  </si>
  <si>
    <t>UNGBG</t>
  </si>
  <si>
    <t>UNKAR</t>
  </si>
  <si>
    <t>UNLUN</t>
  </si>
  <si>
    <t>UNUME</t>
  </si>
  <si>
    <t>UNUPP</t>
  </si>
  <si>
    <t>SLU</t>
  </si>
  <si>
    <t>FAME</t>
  </si>
  <si>
    <t>FLYTTN</t>
  </si>
  <si>
    <t>MILJÖMÅL</t>
  </si>
  <si>
    <t>PROVTAGN</t>
  </si>
  <si>
    <t>RECKONTR</t>
  </si>
  <si>
    <t xml:space="preserve">  Vattendragskoordinater   X:</t>
  </si>
  <si>
    <t xml:space="preserve">   Lokalkoordinater            X:</t>
  </si>
  <si>
    <r>
      <t>Frekvenstabell</t>
    </r>
    <r>
      <rPr>
        <sz val="12"/>
        <rFont val="Arial"/>
        <family val="2"/>
      </rPr>
      <t xml:space="preserve"> (används vid behov) - </t>
    </r>
    <r>
      <rPr>
        <b/>
        <sz val="12"/>
        <color indexed="12"/>
        <rFont val="Arial"/>
        <family val="2"/>
      </rPr>
      <t>Endast för användning som komplement till fältprotokoll</t>
    </r>
  </si>
  <si>
    <t>Knivsta</t>
  </si>
  <si>
    <t>Nykvarn</t>
  </si>
  <si>
    <t>Upplands Väsby</t>
  </si>
  <si>
    <t>Årjäng</t>
  </si>
  <si>
    <t>Trollhättan</t>
  </si>
  <si>
    <t>Trosa</t>
  </si>
  <si>
    <t>Tyresö</t>
  </si>
  <si>
    <t>Täby</t>
  </si>
  <si>
    <t>Töreboda</t>
  </si>
  <si>
    <t>Uddevalla</t>
  </si>
  <si>
    <t>Ulricehamn</t>
  </si>
  <si>
    <t>Umeå</t>
  </si>
  <si>
    <t>Upplands-Bro</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</si>
  <si>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</si>
  <si>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</si>
  <si>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</si>
  <si>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</si>
  <si>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</si>
  <si>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</si>
  <si>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</si>
  <si>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</si>
  <si>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</si>
  <si>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</si>
  <si>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</si>
  <si>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</si>
  <si>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</si>
  <si>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</si>
  <si>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</si>
  <si>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</si>
  <si>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</si>
  <si>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</si>
  <si>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</si>
  <si>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</si>
  <si>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</si>
  <si>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</si>
  <si>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</si>
  <si>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</si>
  <si>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</si>
  <si>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</si>
  <si>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</si>
  <si>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</si>
  <si>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</si>
  <si>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</si>
  <si>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</si>
  <si>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</si>
  <si>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</si>
  <si>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</si>
  <si>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</si>
  <si>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</si>
  <si>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</si>
  <si>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</si>
  <si>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</si>
  <si>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</si>
  <si>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</si>
  <si>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</si>
  <si>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</si>
  <si>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</si>
  <si>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</si>
  <si>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</si>
  <si>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</si>
  <si>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</si>
  <si>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Lista 7</t>
  </si>
  <si>
    <t>Lista 6</t>
  </si>
  <si>
    <t>Används endast för inmatning, ej som fältprotokoll</t>
  </si>
  <si>
    <r>
      <t>ART</t>
    </r>
    <r>
      <rPr>
        <b/>
        <sz val="12"/>
        <rFont val="Arial"/>
        <family val="2"/>
      </rPr>
      <t>NR</t>
    </r>
  </si>
  <si>
    <t>Antal per fiskeomgång</t>
  </si>
  <si>
    <t>Omg. 1</t>
  </si>
  <si>
    <t>Omg. 2</t>
  </si>
  <si>
    <t>Omg. 3</t>
  </si>
  <si>
    <t>Tilägg</t>
  </si>
  <si>
    <t>ICKE LÄNGDMÄTTA INDIVIDER</t>
  </si>
  <si>
    <t>Fisklängder</t>
  </si>
  <si>
    <t>Min</t>
  </si>
  <si>
    <t>Max</t>
  </si>
  <si>
    <t>Ålder</t>
  </si>
  <si>
    <t>0+</t>
  </si>
  <si>
    <t>&gt;0+</t>
  </si>
  <si>
    <t>Lista 8</t>
  </si>
  <si>
    <t xml:space="preserve"> Elfiskelokalens avstånd till  uppströms liggande sjö (km). Saknas sjö uppstr. anges detta med ett kryss (X):</t>
  </si>
  <si>
    <t>Transekt nummer</t>
  </si>
  <si>
    <t>1/4 bredd</t>
  </si>
  <si>
    <t>1/2 bredd</t>
  </si>
  <si>
    <t>3/4 bredd</t>
  </si>
  <si>
    <t>FISKART</t>
  </si>
  <si>
    <t>LANGD</t>
  </si>
  <si>
    <t>STORFISK</t>
  </si>
  <si>
    <t>OPLUS</t>
  </si>
  <si>
    <t>MAXLANGD</t>
  </si>
  <si>
    <t>MINLANGD</t>
  </si>
  <si>
    <t>INREGAR</t>
  </si>
  <si>
    <t>BIFLNR</t>
  </si>
  <si>
    <t>LOKALNR</t>
  </si>
  <si>
    <t>HOH</t>
  </si>
  <si>
    <t>AVSTUPP</t>
  </si>
  <si>
    <t>AVSTNER</t>
  </si>
  <si>
    <t>KOMMUNNR</t>
  </si>
  <si>
    <t>KOMMUN</t>
  </si>
  <si>
    <t>LAN</t>
  </si>
  <si>
    <t>HFLODOMR</t>
  </si>
  <si>
    <t>KALKNTYP</t>
  </si>
  <si>
    <t>PAVERKT1</t>
  </si>
  <si>
    <t>PAVERKT2</t>
  </si>
  <si>
    <t>PAVERKT3</t>
  </si>
  <si>
    <t>PASTYRK1</t>
  </si>
  <si>
    <t>PASTYRK2</t>
  </si>
  <si>
    <t>PASTYRK3</t>
  </si>
  <si>
    <t>KALLA</t>
  </si>
  <si>
    <t>SYFTE</t>
  </si>
  <si>
    <t>ANSVARIG</t>
  </si>
  <si>
    <t>FABRIKAT</t>
  </si>
  <si>
    <t>STRSTYRK</t>
  </si>
  <si>
    <t>PULSFREK</t>
  </si>
  <si>
    <t>AGGREGAT</t>
  </si>
  <si>
    <t>VOLT</t>
  </si>
  <si>
    <t>BREDD</t>
  </si>
  <si>
    <t>AREA</t>
  </si>
  <si>
    <t>MEDBREDD</t>
  </si>
  <si>
    <t>MEDYTA</t>
  </si>
  <si>
    <t>MAXDJUP</t>
  </si>
  <si>
    <t>SUBSTR1</t>
  </si>
  <si>
    <t>SUBSTR2</t>
  </si>
  <si>
    <t>SUBSTR3</t>
  </si>
  <si>
    <t>LUFTTEMP</t>
  </si>
  <si>
    <t>UVEGTYP</t>
  </si>
  <si>
    <t>NARMILJO</t>
  </si>
  <si>
    <t>BESKUGGN</t>
  </si>
  <si>
    <t>VEDIVANT</t>
  </si>
  <si>
    <t>VEDIVPAR</t>
  </si>
  <si>
    <t>ALDERLOK</t>
  </si>
  <si>
    <t>ALDERART</t>
  </si>
  <si>
    <t>pH</t>
  </si>
  <si>
    <t>ALKALIN</t>
  </si>
  <si>
    <t>FARGTAL</t>
  </si>
  <si>
    <t>KALCIUM</t>
  </si>
  <si>
    <t>CAMG</t>
  </si>
  <si>
    <t>MG</t>
  </si>
  <si>
    <t>KEMIKOD</t>
  </si>
  <si>
    <t>VARDE</t>
  </si>
  <si>
    <t>UTF1</t>
  </si>
  <si>
    <t>UTF2</t>
  </si>
  <si>
    <t>UTF3</t>
  </si>
  <si>
    <t>UTF4</t>
  </si>
  <si>
    <t>Biflödesnr:</t>
  </si>
  <si>
    <t>Nr:</t>
  </si>
  <si>
    <t>Pulsfrekvens (Hz):</t>
  </si>
  <si>
    <t>Avstängt fiske (Ja/Nej):</t>
  </si>
  <si>
    <t>SAND</t>
  </si>
  <si>
    <t>GRUS</t>
  </si>
  <si>
    <t>STEN1</t>
  </si>
  <si>
    <t>STEN2</t>
  </si>
  <si>
    <t>BLOCK1</t>
  </si>
  <si>
    <t>BLOCK2</t>
  </si>
  <si>
    <t>BLOCK3</t>
  </si>
  <si>
    <t>HÄLL</t>
  </si>
  <si>
    <t>Provdatum</t>
  </si>
  <si>
    <t>Anmärkning:</t>
  </si>
  <si>
    <t>KOD</t>
  </si>
  <si>
    <t>FREKVENS</t>
  </si>
  <si>
    <t>RANG</t>
  </si>
  <si>
    <t>FINSED</t>
  </si>
  <si>
    <t>LANGD1</t>
  </si>
  <si>
    <t>LANGD2</t>
  </si>
  <si>
    <t>LANGD3</t>
  </si>
  <si>
    <t>LANGD4</t>
  </si>
  <si>
    <t>LANGD5</t>
  </si>
  <si>
    <t>LANGD6</t>
  </si>
  <si>
    <t>LANGD7</t>
  </si>
  <si>
    <t>LANGD8</t>
  </si>
  <si>
    <t>LANGD9</t>
  </si>
  <si>
    <t>LANGD10</t>
  </si>
  <si>
    <t>NEJ</t>
  </si>
  <si>
    <t>JA</t>
  </si>
  <si>
    <t>Maxdjup (m):</t>
  </si>
  <si>
    <t>ÖRING</t>
  </si>
  <si>
    <t>STENSIMPA</t>
  </si>
  <si>
    <t>ABBORRE</t>
  </si>
  <si>
    <t>BENLÖJA</t>
  </si>
  <si>
    <t>BERGSIMPA</t>
  </si>
  <si>
    <t>BÄCKNEJONÖGA</t>
  </si>
  <si>
    <t>ELRITSA</t>
  </si>
  <si>
    <t>FLODKRÄFTA</t>
  </si>
  <si>
    <t>FLODNEJONÖGA</t>
  </si>
  <si>
    <t>FÄRNA</t>
  </si>
  <si>
    <t>GRÖNLING</t>
  </si>
  <si>
    <t>GÄDDA</t>
  </si>
  <si>
    <t>ID</t>
  </si>
  <si>
    <t>LAKE</t>
  </si>
  <si>
    <t>MÖRT</t>
  </si>
  <si>
    <t>SANDKRYPARE</t>
  </si>
  <si>
    <t>SIGNALKRÄFTA</t>
  </si>
  <si>
    <t>SMÅSPIGG</t>
  </si>
  <si>
    <t>STORSPIGG</t>
  </si>
  <si>
    <t>ÅL</t>
  </si>
  <si>
    <t>FÖRKORTNING</t>
  </si>
  <si>
    <t>Fiskart</t>
  </si>
  <si>
    <t>BJÖRKNA</t>
  </si>
  <si>
    <t>NORS</t>
  </si>
  <si>
    <t>SARV</t>
  </si>
  <si>
    <t>SKRUBBA</t>
  </si>
  <si>
    <t>LAX</t>
  </si>
  <si>
    <t>BÄCKRÖDING</t>
  </si>
  <si>
    <t>HARR</t>
  </si>
  <si>
    <t>RÖDING</t>
  </si>
  <si>
    <t>p1</t>
  </si>
  <si>
    <t>PROBVARD</t>
  </si>
  <si>
    <t>BÄCRÖ</t>
  </si>
  <si>
    <t>BÄCRÖXÖR</t>
  </si>
  <si>
    <t>BJÖNA</t>
  </si>
  <si>
    <t>ELRIT</t>
  </si>
  <si>
    <t>FLODKRÄF</t>
  </si>
  <si>
    <t>FLONE</t>
  </si>
  <si>
    <t>GRÖNL</t>
  </si>
  <si>
    <t>RÖDIN</t>
  </si>
  <si>
    <t>SANKR</t>
  </si>
  <si>
    <t>SIGNKRÄF</t>
  </si>
  <si>
    <t>SKRUB</t>
  </si>
  <si>
    <t>SMÅSP</t>
  </si>
  <si>
    <t>STESI</t>
  </si>
  <si>
    <t>STOSP</t>
  </si>
  <si>
    <t>SUTAR</t>
  </si>
  <si>
    <t>SUTARE</t>
  </si>
  <si>
    <t>ABBOR</t>
  </si>
  <si>
    <t>BENLÖ</t>
  </si>
  <si>
    <t>BESIM</t>
  </si>
  <si>
    <t>BRAXE</t>
  </si>
  <si>
    <t>BRAXEN</t>
  </si>
  <si>
    <t>INGEN FÅNGST</t>
  </si>
  <si>
    <t>EJFANGST</t>
  </si>
  <si>
    <t>GERS</t>
  </si>
  <si>
    <t>GÖS</t>
  </si>
  <si>
    <t>GROPLÖJA</t>
  </si>
  <si>
    <t>GROLÖ</t>
  </si>
  <si>
    <t>HAVNE</t>
  </si>
  <si>
    <t>HORNSIMPA</t>
  </si>
  <si>
    <t>HOSIM</t>
  </si>
  <si>
    <t>KANADARÖDING</t>
  </si>
  <si>
    <t>KANRÖ</t>
  </si>
  <si>
    <t>KRÄFTA</t>
  </si>
  <si>
    <t>LAXFISK</t>
  </si>
  <si>
    <t>LAXÖR</t>
  </si>
  <si>
    <t>MAL</t>
  </si>
  <si>
    <t>NISSÖGA</t>
  </si>
  <si>
    <t>NISSÖ</t>
  </si>
  <si>
    <t>REGNBÅGE</t>
  </si>
  <si>
    <t>REGNB</t>
  </si>
  <si>
    <t>RUDA</t>
  </si>
  <si>
    <t>SIK</t>
  </si>
  <si>
    <t>SIKLÖJA</t>
  </si>
  <si>
    <t>SIKLÖ</t>
  </si>
  <si>
    <t>SIMPA</t>
  </si>
  <si>
    <t>SPIGG</t>
  </si>
  <si>
    <t>STÄM</t>
  </si>
  <si>
    <t>VIMMA</t>
  </si>
  <si>
    <t>KARPFISKHYBRID</t>
  </si>
  <si>
    <t>p2</t>
  </si>
  <si>
    <t>p3</t>
  </si>
  <si>
    <t>XKOORLOK</t>
  </si>
  <si>
    <t>YKOORLOK</t>
  </si>
  <si>
    <t>FISKEDAT</t>
  </si>
  <si>
    <t>ALDERSTA</t>
  </si>
  <si>
    <t>ANTUTFIS</t>
  </si>
  <si>
    <t>ANMARKNI</t>
  </si>
  <si>
    <t>LOKALER</t>
  </si>
  <si>
    <t>ELFISKEN</t>
  </si>
  <si>
    <t>FANGSTER</t>
  </si>
  <si>
    <t>UTFISKEN</t>
  </si>
  <si>
    <t>VDRAGNAM</t>
  </si>
  <si>
    <t>XKOORVDR</t>
  </si>
  <si>
    <t>YKOORVDR</t>
  </si>
  <si>
    <t>LOKALNAM</t>
  </si>
  <si>
    <t>AVRIOMRK</t>
  </si>
  <si>
    <t>ANDSJOPR</t>
  </si>
  <si>
    <t>LOKALBRE</t>
  </si>
  <si>
    <t>MEDELDJU</t>
  </si>
  <si>
    <t>BOTTENTO</t>
  </si>
  <si>
    <t>VATTENNI</t>
  </si>
  <si>
    <t>VATTENHA</t>
  </si>
  <si>
    <t>VATTENTE</t>
  </si>
  <si>
    <t>OVEGMANG</t>
  </si>
  <si>
    <t>UVEGMANG</t>
  </si>
  <si>
    <t>DOMTRA1</t>
  </si>
  <si>
    <t>DOMTRA2</t>
  </si>
  <si>
    <t>VANDHIND</t>
  </si>
  <si>
    <t>TYPAVPOP</t>
  </si>
  <si>
    <t>LOKALVAR</t>
  </si>
  <si>
    <t>KALKPAVE</t>
  </si>
  <si>
    <t>KALKDATU</t>
  </si>
  <si>
    <t>BERAKNTY</t>
  </si>
  <si>
    <t>PVARDE0P</t>
  </si>
  <si>
    <t>LANGST0P</t>
  </si>
  <si>
    <r>
      <t>Elfiskeprotokoll</t>
    </r>
    <r>
      <rPr>
        <b/>
        <sz val="14"/>
        <rFont val="Arial"/>
        <family val="2"/>
      </rPr>
      <t xml:space="preserve"> för</t>
    </r>
  </si>
  <si>
    <t xml:space="preserve"> VATTENDRAGSNAMN:</t>
  </si>
  <si>
    <t>Huvudflodomr:</t>
  </si>
  <si>
    <t xml:space="preserve"> Vattendragskoordinater:</t>
  </si>
  <si>
    <t xml:space="preserve"> LOKALKOORDINATER:</t>
  </si>
  <si>
    <t>Höjd över hav (m):</t>
  </si>
  <si>
    <t xml:space="preserve"> LOKALNAMN:</t>
  </si>
  <si>
    <t>DATUM:</t>
  </si>
  <si>
    <t>PROVTAGARE/FISKET UTFÖRT AV:</t>
  </si>
  <si>
    <t>ORGANISATION/AVD:</t>
  </si>
  <si>
    <t>ADRESS/TELE/E-POST:</t>
  </si>
  <si>
    <t>METOD:</t>
  </si>
  <si>
    <t>Kvantitativt</t>
  </si>
  <si>
    <t>Kvalitativt</t>
  </si>
  <si>
    <t>Strömstyrka (A):</t>
  </si>
  <si>
    <t xml:space="preserve"> VOLTSTYRKA (V):</t>
  </si>
  <si>
    <t xml:space="preserve"> LOKALENS LÄNGD (m):</t>
  </si>
  <si>
    <t>AVFISKAD BREDD (m):</t>
  </si>
  <si>
    <t>Ojämn</t>
  </si>
  <si>
    <t>FÖREKOMST (0-3):</t>
  </si>
  <si>
    <t>ÖV.VÄXT.</t>
  </si>
  <si>
    <t>FLYTBL</t>
  </si>
  <si>
    <t>SLINGE</t>
  </si>
  <si>
    <t>ROSETT</t>
  </si>
  <si>
    <t>MOSSA</t>
  </si>
  <si>
    <t>PÅV.ALG</t>
  </si>
  <si>
    <t>LÖVSKOG</t>
  </si>
  <si>
    <t>BARRSKOG</t>
  </si>
  <si>
    <t>BLANDSKOG</t>
  </si>
  <si>
    <t>KALHYGGE</t>
  </si>
  <si>
    <t xml:space="preserve"> ÅKER</t>
  </si>
  <si>
    <t>ÄNG</t>
  </si>
  <si>
    <t>HED</t>
  </si>
  <si>
    <t>MYR</t>
  </si>
  <si>
    <t>KALFJÄLL</t>
  </si>
  <si>
    <t>BERG/BLOCKM.</t>
  </si>
  <si>
    <t>ARTIFICIELL</t>
  </si>
  <si>
    <t>DOMIN.TRÄDSLAG:</t>
  </si>
  <si>
    <t>NÄST DOM.TRÄDSL:</t>
  </si>
  <si>
    <t xml:space="preserve"> ART</t>
  </si>
  <si>
    <t xml:space="preserve"> ANTAL PER FISKEOMGÅNG</t>
  </si>
  <si>
    <r>
      <t xml:space="preserve">OBS! </t>
    </r>
    <r>
      <rPr>
        <sz val="8"/>
        <rFont val="Arial"/>
        <family val="2"/>
      </rPr>
      <t xml:space="preserve">Alla fält med </t>
    </r>
    <r>
      <rPr>
        <b/>
        <sz val="8"/>
        <rFont val="Arial"/>
        <family val="2"/>
      </rPr>
      <t xml:space="preserve">FETSTIL </t>
    </r>
    <r>
      <rPr>
        <sz val="8"/>
        <rFont val="Arial"/>
        <family val="2"/>
      </rPr>
      <t xml:space="preserve">och VERSALER </t>
    </r>
    <r>
      <rPr>
        <u/>
        <sz val="8"/>
        <rFont val="Arial"/>
        <family val="2"/>
      </rPr>
      <t>ska ifyllas.</t>
    </r>
    <r>
      <rPr>
        <sz val="8"/>
        <rFont val="Arial"/>
        <family val="2"/>
      </rPr>
      <t xml:space="preserve"> I de nationella programmen (IKEU m fl) är även fält med </t>
    </r>
    <r>
      <rPr>
        <i/>
        <u/>
        <sz val="8"/>
        <rFont val="Arial"/>
        <family val="2"/>
      </rPr>
      <t>kursiv stil obligatoriska.</t>
    </r>
  </si>
  <si>
    <t>&lt;10</t>
  </si>
  <si>
    <t>&lt;100</t>
  </si>
  <si>
    <t>&lt;1000</t>
  </si>
  <si>
    <t>&gt;1000</t>
  </si>
  <si>
    <t>&lt;1%</t>
  </si>
  <si>
    <t>&lt;5%</t>
  </si>
  <si>
    <t>&lt;10%</t>
  </si>
  <si>
    <t>&gt;10%</t>
  </si>
  <si>
    <t>Lokalens värde som uppväxtbiotop för laxfiskungar (0, 1, 2):</t>
  </si>
  <si>
    <t xml:space="preserve"> pH</t>
  </si>
  <si>
    <t xml:space="preserve"> Alkalinitet (mekv/l)</t>
  </si>
  <si>
    <t xml:space="preserve"> Färgtal (mg Pt/l)</t>
  </si>
  <si>
    <t xml:space="preserve"> Tot-Al (µg/l)</t>
  </si>
  <si>
    <t>Grumlighet (FNU/FTU)</t>
  </si>
  <si>
    <r>
      <t>SKISS ÖVER ELFISKELOKALEN</t>
    </r>
    <r>
      <rPr>
        <sz val="10"/>
        <rFont val="Arial"/>
        <family val="2"/>
      </rPr>
      <t xml:space="preserve"> (</t>
    </r>
    <r>
      <rPr>
        <b/>
        <sz val="10"/>
        <rFont val="Arial"/>
        <family val="2"/>
      </rPr>
      <t>Ange lokalmärkning, norrpil, flödesriktning</t>
    </r>
    <r>
      <rPr>
        <sz val="10"/>
        <rFont val="Arial"/>
        <family val="2"/>
      </rPr>
      <t xml:space="preserve">), </t>
    </r>
    <r>
      <rPr>
        <sz val="9"/>
        <rFont val="Arial"/>
        <family val="2"/>
      </rPr>
      <t>samt ev. foto-id, m m:</t>
    </r>
  </si>
  <si>
    <t>KEMIDATU</t>
  </si>
  <si>
    <t>KONDUKTI</t>
  </si>
  <si>
    <t>KEMI</t>
  </si>
  <si>
    <t>OVRIG KEMI</t>
  </si>
  <si>
    <t>Y:</t>
  </si>
  <si>
    <t>X:</t>
  </si>
  <si>
    <r>
      <t>AGGREGAT</t>
    </r>
    <r>
      <rPr>
        <b/>
        <sz val="8"/>
        <rFont val="Arial"/>
        <family val="2"/>
      </rPr>
      <t xml:space="preserve"> (MÄRKE):</t>
    </r>
  </si>
  <si>
    <t>BATTERI</t>
  </si>
  <si>
    <t>TYP AV AGGREGAT SOM ANVÄNTS (sätt kryss): BENSIN</t>
  </si>
  <si>
    <r>
      <t xml:space="preserve"> VATTENTEMP (</t>
    </r>
    <r>
      <rPr>
        <b/>
        <vertAlign val="superscript"/>
        <sz val="10"/>
        <rFont val="Arial"/>
        <family val="2"/>
      </rPr>
      <t>0</t>
    </r>
    <r>
      <rPr>
        <b/>
        <sz val="10"/>
        <rFont val="Arial"/>
        <family val="2"/>
      </rPr>
      <t>C):</t>
    </r>
  </si>
  <si>
    <t>Klart</t>
  </si>
  <si>
    <t>Grumligt</t>
  </si>
  <si>
    <t>Mycket grumligt</t>
  </si>
  <si>
    <r>
      <t>GRUMLIGHET</t>
    </r>
    <r>
      <rPr>
        <sz val="10"/>
        <rFont val="Arial"/>
        <family val="2"/>
      </rPr>
      <t xml:space="preserve"> </t>
    </r>
    <r>
      <rPr>
        <sz val="10"/>
        <rFont val="Arial Narrow"/>
        <family val="2"/>
      </rPr>
      <t>(sätt X</t>
    </r>
    <r>
      <rPr>
        <sz val="10"/>
        <rFont val="Arial"/>
        <family val="2"/>
      </rPr>
      <t>):</t>
    </r>
  </si>
  <si>
    <t>Färgat</t>
  </si>
  <si>
    <r>
      <t>VATTENFÄRG</t>
    </r>
    <r>
      <rPr>
        <sz val="10"/>
        <rFont val="Arial"/>
        <family val="2"/>
      </rPr>
      <t xml:space="preserve"> </t>
    </r>
    <r>
      <rPr>
        <sz val="10"/>
        <rFont val="Arial Narrow"/>
        <family val="2"/>
      </rPr>
      <t>(sätt X)</t>
    </r>
    <r>
      <rPr>
        <sz val="10"/>
        <rFont val="Arial"/>
        <family val="2"/>
      </rPr>
      <t>:</t>
    </r>
  </si>
  <si>
    <t xml:space="preserve"> Konduktivitet (mS/m)</t>
  </si>
  <si>
    <t>ANTAL UTFISKNINGAR:</t>
  </si>
  <si>
    <t>LÄNSNUMMER:</t>
  </si>
  <si>
    <t>HÖG</t>
  </si>
  <si>
    <r>
      <t xml:space="preserve"> VATTENHASTIGHET:</t>
    </r>
    <r>
      <rPr>
        <sz val="10"/>
        <rFont val="Arial Narrow"/>
        <family val="2"/>
      </rPr>
      <t>(sätt x)</t>
    </r>
  </si>
  <si>
    <r>
      <t xml:space="preserve"> VATTENNIVÅ:</t>
    </r>
    <r>
      <rPr>
        <sz val="10"/>
        <rFont val="Arial Narrow"/>
        <family val="2"/>
      </rPr>
      <t>(sätt x)</t>
    </r>
  </si>
  <si>
    <t>m/s</t>
  </si>
  <si>
    <r>
      <t>m</t>
    </r>
    <r>
      <rPr>
        <vertAlign val="superscript"/>
        <sz val="10"/>
        <rFont val="Arial"/>
        <family val="2"/>
      </rPr>
      <t>3</t>
    </r>
    <r>
      <rPr>
        <sz val="10"/>
        <rFont val="Arial"/>
        <family val="2"/>
      </rPr>
      <t>/s</t>
    </r>
  </si>
  <si>
    <r>
      <t xml:space="preserve"> Bottentopografi: </t>
    </r>
    <r>
      <rPr>
        <sz val="9"/>
        <rFont val="Arial Narrow"/>
        <family val="2"/>
      </rPr>
      <t>(sätt x)</t>
    </r>
  </si>
  <si>
    <t>VERKSAMHET/SYFTE:</t>
  </si>
  <si>
    <t>NEJONÖGA</t>
  </si>
  <si>
    <t>FIN</t>
  </si>
  <si>
    <r>
      <t xml:space="preserve">STRÖMLEVANDE/VANDRANDE LAXFISK? </t>
    </r>
    <r>
      <rPr>
        <sz val="8"/>
        <rFont val="Arial Narrow"/>
        <family val="2"/>
      </rPr>
      <t>(Sätt x)</t>
    </r>
  </si>
  <si>
    <r>
      <t xml:space="preserve"> VANDRINGSHINDER: </t>
    </r>
    <r>
      <rPr>
        <sz val="8"/>
        <rFont val="Arial Narrow"/>
        <family val="2"/>
      </rPr>
      <t>(Sätt x)</t>
    </r>
  </si>
  <si>
    <r>
      <t xml:space="preserve"> Avrinningsområdets storlek (km</t>
    </r>
    <r>
      <rPr>
        <vertAlign val="superscript"/>
        <sz val="10"/>
        <rFont val="Arial"/>
        <family val="2"/>
      </rPr>
      <t>2</t>
    </r>
    <r>
      <rPr>
        <sz val="10"/>
        <rFont val="Arial"/>
        <family val="2"/>
      </rPr>
      <t xml:space="preserve">): </t>
    </r>
    <r>
      <rPr>
        <sz val="8"/>
        <rFont val="Arial Narrow"/>
        <family val="2"/>
      </rPr>
      <t>(sätt x)</t>
    </r>
  </si>
  <si>
    <r>
      <t xml:space="preserve"> Andel sjö i avrinn.omr. (%): </t>
    </r>
    <r>
      <rPr>
        <sz val="8"/>
        <rFont val="Arial Narrow"/>
        <family val="2"/>
      </rPr>
      <t>(sätt x)</t>
    </r>
  </si>
  <si>
    <r>
      <t xml:space="preserve"> KALKPÅVERKAN: </t>
    </r>
    <r>
      <rPr>
        <sz val="8"/>
        <rFont val="Arial Narrow"/>
        <family val="2"/>
      </rPr>
      <t>(Sätt x)</t>
    </r>
  </si>
  <si>
    <t>TORKA</t>
  </si>
  <si>
    <t>AVVER</t>
  </si>
  <si>
    <t>HYGGE</t>
  </si>
  <si>
    <t>TORVT</t>
  </si>
  <si>
    <t>FLOTT</t>
  </si>
  <si>
    <t>DIKN</t>
  </si>
  <si>
    <t>RÖJN</t>
  </si>
  <si>
    <t>JORDB</t>
  </si>
  <si>
    <t>Skogsbruk/  avverkning</t>
  </si>
  <si>
    <t>Försurning</t>
  </si>
  <si>
    <t>Rensning</t>
  </si>
  <si>
    <t>Grävning</t>
  </si>
  <si>
    <t>Skogsbruk/ hygge</t>
  </si>
  <si>
    <t>Skogsbruk/ flottledsrens.</t>
  </si>
  <si>
    <t>Vattenkraft/ reglering</t>
  </si>
  <si>
    <t>Vattenkraft/   torrfåra</t>
  </si>
  <si>
    <t>Fiskevård/ utplantering</t>
  </si>
  <si>
    <t>Fiskevård/ biotopvård</t>
  </si>
  <si>
    <t>Fiskevård/ flottledsrest.</t>
  </si>
  <si>
    <t>Fiskevård/ rotenon</t>
  </si>
  <si>
    <t>INDUS</t>
  </si>
  <si>
    <t>RECIP</t>
  </si>
  <si>
    <t>GRUVA</t>
  </si>
  <si>
    <t>ARTIF</t>
  </si>
  <si>
    <t>OLJA</t>
  </si>
  <si>
    <t>FÖRSU</t>
  </si>
  <si>
    <t>REGL</t>
  </si>
  <si>
    <t>TORRF</t>
  </si>
  <si>
    <t>RENSN</t>
  </si>
  <si>
    <t>GRÄVN</t>
  </si>
  <si>
    <t>UTPL</t>
  </si>
  <si>
    <t>BIOTO</t>
  </si>
  <si>
    <t>ROTEN</t>
  </si>
  <si>
    <t>FLEDR</t>
  </si>
  <si>
    <t>VEGRE</t>
  </si>
  <si>
    <t>Vattenuttag</t>
  </si>
  <si>
    <t>Recipient</t>
  </si>
  <si>
    <t>väg &amp; bebyggelse</t>
  </si>
  <si>
    <t>Fiskdöd</t>
  </si>
  <si>
    <t>Jordbruk allmänt</t>
  </si>
  <si>
    <t>Industri allmänt</t>
  </si>
  <si>
    <t>Skogsbruk allmänt</t>
  </si>
  <si>
    <t>Giftutsläpp</t>
  </si>
  <si>
    <t>Grumling</t>
  </si>
  <si>
    <t>Organisk förorening</t>
  </si>
  <si>
    <t>Metall-utfällning</t>
  </si>
  <si>
    <t>Olje-utsläpp</t>
  </si>
  <si>
    <t>Sjökalk-ning</t>
  </si>
  <si>
    <t>Doserar-kalkning</t>
  </si>
  <si>
    <t>Våtmarks-kalkning</t>
  </si>
  <si>
    <t>Bäckzons-kalkning</t>
  </si>
  <si>
    <r>
      <t xml:space="preserve"> Typ av kalkning:</t>
    </r>
    <r>
      <rPr>
        <sz val="8"/>
        <rFont val="Arial Narrow"/>
        <family val="2"/>
      </rPr>
      <t>(sätt x)</t>
    </r>
  </si>
  <si>
    <t>BTNFR</t>
  </si>
  <si>
    <t>SKOGB</t>
  </si>
  <si>
    <t>Träd- och veg:rester</t>
  </si>
  <si>
    <t>TRÄDR</t>
  </si>
  <si>
    <t>Skogsgödning</t>
  </si>
  <si>
    <t>SGÖDN</t>
  </si>
  <si>
    <t>VATUT</t>
  </si>
  <si>
    <t>IGNVX</t>
  </si>
  <si>
    <t>FISKD</t>
  </si>
  <si>
    <t>METUT</t>
  </si>
  <si>
    <t>GIFTU</t>
  </si>
  <si>
    <t>KANAL</t>
  </si>
  <si>
    <t>SEDIM</t>
  </si>
  <si>
    <t>GRUML</t>
  </si>
  <si>
    <t>REDBR</t>
  </si>
  <si>
    <t xml:space="preserve"> PÅVERKAN</t>
  </si>
  <si>
    <t>VÄRDE</t>
  </si>
  <si>
    <t>Klimat/ bottenfrys.</t>
  </si>
  <si>
    <t>Skogsbruk/ skogsgödning</t>
  </si>
  <si>
    <t>VATTENKEMI:</t>
  </si>
  <si>
    <t>Elfiskelokalens avstånd till nedströms liggande sjö (km):</t>
  </si>
  <si>
    <t>Kraftigt färgat</t>
  </si>
  <si>
    <r>
      <t>AVFISKAD YTA (m</t>
    </r>
    <r>
      <rPr>
        <b/>
        <vertAlign val="superscript"/>
        <sz val="10"/>
        <rFont val="Arial"/>
        <family val="2"/>
      </rPr>
      <t>2</t>
    </r>
    <r>
      <rPr>
        <b/>
        <sz val="10"/>
        <rFont val="Arial"/>
        <family val="2"/>
      </rPr>
      <t>):</t>
    </r>
  </si>
  <si>
    <t>Lokalens andel torra partier (%)</t>
  </si>
  <si>
    <t>Igenväxning</t>
  </si>
  <si>
    <t>Industri/gruva</t>
  </si>
  <si>
    <t>Sedimentation</t>
  </si>
  <si>
    <t>Kanalisering</t>
  </si>
  <si>
    <t>Metallutfällning</t>
  </si>
  <si>
    <t>Oljeutsläpp</t>
  </si>
  <si>
    <t>Klimat/torka</t>
  </si>
  <si>
    <t>Fiskevård/biotopvård</t>
  </si>
  <si>
    <t>Fiskevård/utplantering</t>
  </si>
  <si>
    <t>Skogsbruk/avverkning</t>
  </si>
  <si>
    <t>Fiskevård/flottledsrest.</t>
  </si>
  <si>
    <t>Fiskevård/rotenon</t>
  </si>
  <si>
    <t>Skogsbruk/hygge</t>
  </si>
  <si>
    <t>Skogsbruk/flottledsrens.</t>
  </si>
  <si>
    <t>Vattenkraft/torrfåra</t>
  </si>
  <si>
    <t>Fiskevård/red. Bäckröding</t>
  </si>
  <si>
    <t>Skogsbruk/torvtäkt</t>
  </si>
  <si>
    <t>Skogsbruk/dikn.markb.</t>
  </si>
  <si>
    <t>Klimat/bottenfrysning</t>
  </si>
  <si>
    <t/>
  </si>
  <si>
    <t>Skogsbruk/ röjning/gallring</t>
  </si>
  <si>
    <t>Skogsbruk/röjning/gallring</t>
  </si>
  <si>
    <t>ORGFÖ</t>
  </si>
  <si>
    <t>Bäver</t>
  </si>
  <si>
    <t>BÄVER</t>
  </si>
  <si>
    <t>Mink</t>
  </si>
  <si>
    <t>MINK</t>
  </si>
  <si>
    <t>TOPOKART</t>
  </si>
  <si>
    <t>METOD</t>
  </si>
  <si>
    <t>GRUMLIGH</t>
  </si>
  <si>
    <t>SUBVEG</t>
  </si>
  <si>
    <t>FFIN</t>
  </si>
  <si>
    <t>FSAND</t>
  </si>
  <si>
    <t>FGRUS</t>
  </si>
  <si>
    <t>FSTEN1</t>
  </si>
  <si>
    <t>FSTEN2</t>
  </si>
  <si>
    <t>FBLOCK1</t>
  </si>
  <si>
    <t>FBLOCK2</t>
  </si>
  <si>
    <t>FBLOCK3</t>
  </si>
  <si>
    <t>DFLYTBL</t>
  </si>
  <si>
    <t>DSLINGE</t>
  </si>
  <si>
    <t>DROSETT</t>
  </si>
  <si>
    <t>DMOSSA</t>
  </si>
  <si>
    <t>FFLYTBL</t>
  </si>
  <si>
    <t>FSLINGE</t>
  </si>
  <si>
    <t>FROSETT</t>
  </si>
  <si>
    <t>FMOSSA</t>
  </si>
  <si>
    <t>HAVSNEJONÖGA</t>
  </si>
  <si>
    <t>Lokalens längd (m):</t>
  </si>
  <si>
    <t>Vattendrag:</t>
  </si>
  <si>
    <t>Datum:</t>
  </si>
  <si>
    <t>BÄCKRÖDING X ÖRING</t>
  </si>
  <si>
    <t>LAX X ÖRING</t>
  </si>
  <si>
    <t>PÅVERKAN till DATA TILL FiV (ELFISKEN)</t>
  </si>
  <si>
    <r>
      <t xml:space="preserve">P-värden </t>
    </r>
    <r>
      <rPr>
        <b/>
        <sz val="10"/>
        <color indexed="9"/>
        <rFont val="Arial"/>
        <family val="2"/>
      </rPr>
      <t>till ARTUPPGIFTER</t>
    </r>
  </si>
  <si>
    <t>VTNFARG</t>
  </si>
  <si>
    <t>FHALL</t>
  </si>
  <si>
    <t>DOVVAXT</t>
  </si>
  <si>
    <t>DPAVALG</t>
  </si>
  <si>
    <t>FOVVAXT</t>
  </si>
  <si>
    <t>FPAVALG</t>
  </si>
  <si>
    <r>
      <t>VATTENDR</t>
    </r>
    <r>
      <rPr>
        <b/>
        <sz val="8"/>
        <rFont val="Arial"/>
        <family val="2"/>
      </rPr>
      <t>.</t>
    </r>
    <r>
      <rPr>
        <b/>
        <sz val="9"/>
        <rFont val="Arial"/>
        <family val="2"/>
      </rPr>
      <t>VÅTA</t>
    </r>
    <r>
      <rPr>
        <b/>
        <sz val="8"/>
        <rFont val="Arial"/>
        <family val="2"/>
      </rPr>
      <t xml:space="preserve"> BREDD(m):</t>
    </r>
  </si>
  <si>
    <t xml:space="preserve"> FÖREKOMST (0-3):</t>
  </si>
  <si>
    <r>
      <t xml:space="preserve"> LUFTTEMP (</t>
    </r>
    <r>
      <rPr>
        <b/>
        <vertAlign val="superscript"/>
        <sz val="8"/>
        <rFont val="Arial"/>
        <family val="2"/>
      </rPr>
      <t>0</t>
    </r>
    <r>
      <rPr>
        <b/>
        <sz val="10"/>
        <rFont val="Arial"/>
        <family val="2"/>
      </rPr>
      <t>C):</t>
    </r>
  </si>
  <si>
    <t xml:space="preserve"> MEDELDJUP (m):</t>
  </si>
  <si>
    <t xml:space="preserve"> MAXDJUP (m):</t>
  </si>
  <si>
    <t xml:space="preserve"> AVFISKADES HELA VATTENDRAGS(VÅT)BREDDEN (JA/NEJ):</t>
  </si>
  <si>
    <r>
      <t xml:space="preserve"> NÄRMILJÖ</t>
    </r>
    <r>
      <rPr>
        <b/>
        <sz val="10"/>
        <rFont val="Arial Narrow"/>
        <family val="2"/>
      </rPr>
      <t xml:space="preserve"> (Ange dom. typ, D1, D2, D3):</t>
    </r>
  </si>
  <si>
    <r>
      <t>Ved i vatten</t>
    </r>
    <r>
      <rPr>
        <sz val="9"/>
        <rFont val="Arial"/>
        <family val="2"/>
      </rPr>
      <t xml:space="preserve"> </t>
    </r>
    <r>
      <rPr>
        <sz val="10"/>
        <rFont val="Arial"/>
        <family val="2"/>
      </rPr>
      <t>(Antal/100m</t>
    </r>
    <r>
      <rPr>
        <vertAlign val="superscript"/>
        <sz val="10"/>
        <rFont val="Arial"/>
        <family val="2"/>
      </rPr>
      <t>2</t>
    </r>
    <r>
      <rPr>
        <sz val="10"/>
        <rFont val="Arial"/>
        <family val="2"/>
      </rPr>
      <t>):</t>
    </r>
  </si>
  <si>
    <t xml:space="preserve"> Uppströms</t>
  </si>
  <si>
    <t xml:space="preserve"> Vandrande</t>
  </si>
  <si>
    <t xml:space="preserve"> Nedströms</t>
  </si>
  <si>
    <t xml:space="preserve"> Inga</t>
  </si>
  <si>
    <t xml:space="preserve"> Strömlevande</t>
  </si>
  <si>
    <t xml:space="preserve"> Senaste kalkdatum:</t>
  </si>
  <si>
    <r>
      <t xml:space="preserve">Fiskevård/  red. </t>
    </r>
    <r>
      <rPr>
        <sz val="8"/>
        <rFont val="Arial"/>
        <family val="2"/>
      </rPr>
      <t>Bäckröding</t>
    </r>
  </si>
  <si>
    <t>Arb. i v-drag/ grumling</t>
  </si>
  <si>
    <t>Arb. i v-drag/ grävning</t>
  </si>
  <si>
    <t>Arb. i v-drag/ veg.rensad</t>
  </si>
  <si>
    <t>Arb. i v-drag/ kanalisering</t>
  </si>
  <si>
    <t>Vägar/ bebyggelse</t>
  </si>
  <si>
    <t>Arb. i v-drag/ rensning</t>
  </si>
  <si>
    <t>Sedimen-tation</t>
  </si>
  <si>
    <t>Fauna/ bäver</t>
  </si>
  <si>
    <t>Fauna/ mink</t>
  </si>
  <si>
    <r>
      <t xml:space="preserve">Industri/ </t>
    </r>
    <r>
      <rPr>
        <sz val="8"/>
        <rFont val="Arial Narrow"/>
        <family val="2"/>
      </rPr>
      <t>giftutsläpp</t>
    </r>
  </si>
  <si>
    <t>Industri/ gruva</t>
  </si>
  <si>
    <t>Jordbruk/ igenväxning</t>
  </si>
  <si>
    <t>Skogsbruk/träd- &amp;veg.rester</t>
  </si>
  <si>
    <t>Klimat/               torka</t>
  </si>
  <si>
    <t>Jordbruk/ vattenuttag</t>
  </si>
  <si>
    <t>Industri utsläpp</t>
  </si>
  <si>
    <t>Avlopps-recipient</t>
  </si>
  <si>
    <t>Skogsbruk/ dikn.markber.</t>
  </si>
  <si>
    <r>
      <t xml:space="preserve"> PÅVERKAN       </t>
    </r>
    <r>
      <rPr>
        <sz val="8"/>
        <rFont val="Arial Narrow"/>
        <family val="2"/>
      </rPr>
      <t>(1 = måttligt, 2 = kraftigt, 3 = mycket kraftigt)</t>
    </r>
  </si>
  <si>
    <r>
      <t>SUBSTRAT</t>
    </r>
    <r>
      <rPr>
        <b/>
        <vertAlign val="superscript"/>
        <sz val="8"/>
        <rFont val="Arial"/>
        <family val="2"/>
      </rPr>
      <t>*</t>
    </r>
    <r>
      <rPr>
        <b/>
        <sz val="8"/>
        <rFont val="Arial"/>
        <family val="2"/>
      </rPr>
      <t xml:space="preserve"> (D1, D2, D3):</t>
    </r>
  </si>
  <si>
    <r>
      <t xml:space="preserve"> SUBSTRAT</t>
    </r>
    <r>
      <rPr>
        <sz val="11"/>
        <rFont val="Arial"/>
        <family val="2"/>
      </rPr>
      <t xml:space="preserve"> OCH </t>
    </r>
    <r>
      <rPr>
        <b/>
        <sz val="11"/>
        <rFont val="Arial"/>
        <family val="2"/>
      </rPr>
      <t>VEGETATION</t>
    </r>
    <r>
      <rPr>
        <sz val="11"/>
        <rFont val="Arial"/>
        <family val="2"/>
      </rPr>
      <t xml:space="preserve"> </t>
    </r>
    <r>
      <rPr>
        <sz val="8"/>
        <rFont val="Arial"/>
        <family val="2"/>
      </rPr>
      <t>BEDÖMS ENLIGT</t>
    </r>
    <r>
      <rPr>
        <b/>
        <sz val="10"/>
        <rFont val="Arial"/>
        <family val="2"/>
      </rPr>
      <t xml:space="preserve"> </t>
    </r>
    <r>
      <rPr>
        <sz val="8"/>
        <rFont val="Arial"/>
        <family val="2"/>
      </rPr>
      <t>(Domin.=D1, näst domin.=D2 etc.) Förekomsten klassas även 0-3 (se instruktion).</t>
    </r>
  </si>
  <si>
    <r>
      <t>SAND</t>
    </r>
    <r>
      <rPr>
        <sz val="7"/>
        <rFont val="Arial"/>
        <family val="2"/>
      </rPr>
      <t xml:space="preserve"> (0,2-2mm)</t>
    </r>
  </si>
  <si>
    <r>
      <t>GRUS</t>
    </r>
    <r>
      <rPr>
        <sz val="7"/>
        <rFont val="Arial"/>
        <family val="2"/>
      </rPr>
      <t xml:space="preserve"> (0,2-2cm)</t>
    </r>
  </si>
  <si>
    <r>
      <t>FINSED</t>
    </r>
    <r>
      <rPr>
        <sz val="7"/>
        <rFont val="Arial"/>
        <family val="2"/>
      </rPr>
      <t xml:space="preserve"> (&lt;0,2mm)</t>
    </r>
  </si>
  <si>
    <r>
      <t>STEN1</t>
    </r>
    <r>
      <rPr>
        <sz val="7"/>
        <rFont val="Arial"/>
        <family val="2"/>
      </rPr>
      <t xml:space="preserve"> (2-10 cm)</t>
    </r>
  </si>
  <si>
    <r>
      <t>STEN2</t>
    </r>
    <r>
      <rPr>
        <sz val="7"/>
        <rFont val="Arial"/>
        <family val="2"/>
      </rPr>
      <t xml:space="preserve"> (10-20 cm)</t>
    </r>
  </si>
  <si>
    <r>
      <t>BLOCK1</t>
    </r>
    <r>
      <rPr>
        <sz val="7"/>
        <rFont val="Arial"/>
        <family val="2"/>
      </rPr>
      <t xml:space="preserve"> (20-30cm))</t>
    </r>
  </si>
  <si>
    <r>
      <t>BLOCK2</t>
    </r>
    <r>
      <rPr>
        <sz val="7"/>
        <rFont val="Arial"/>
        <family val="2"/>
      </rPr>
      <t xml:space="preserve"> (30-40cm)</t>
    </r>
  </si>
  <si>
    <r>
      <t>BLOCK3</t>
    </r>
    <r>
      <rPr>
        <sz val="7"/>
        <rFont val="Arial"/>
        <family val="2"/>
      </rPr>
      <t xml:space="preserve"> (40-200cm)</t>
    </r>
  </si>
  <si>
    <r>
      <t>HÄLL</t>
    </r>
    <r>
      <rPr>
        <sz val="7"/>
        <rFont val="Arial"/>
        <family val="2"/>
      </rPr>
      <t xml:space="preserve"> (&gt;200cm)</t>
    </r>
  </si>
  <si>
    <t>Torvtäkt</t>
  </si>
  <si>
    <t>INDIVIDUPPGIFTER:</t>
  </si>
  <si>
    <t xml:space="preserve">Fisklängder anges i mm, per fiskeomgång. OBS! För de nationella </t>
  </si>
  <si>
    <t xml:space="preserve"> Art</t>
  </si>
  <si>
    <r>
      <t xml:space="preserve">programmen (IKEU m fl) skall även </t>
    </r>
    <r>
      <rPr>
        <b/>
        <u/>
        <sz val="14"/>
        <rFont val="Arial"/>
        <family val="2"/>
      </rPr>
      <t>alltid</t>
    </r>
    <r>
      <rPr>
        <b/>
        <sz val="14"/>
        <rFont val="Arial"/>
        <family val="2"/>
      </rPr>
      <t xml:space="preserve"> vikten i gram (g) anges (se instruktion).</t>
    </r>
  </si>
  <si>
    <t xml:space="preserve"> Längdklass mm:</t>
  </si>
  <si>
    <t>&lt;25</t>
  </si>
  <si>
    <t>26-30</t>
  </si>
  <si>
    <t>31-35</t>
  </si>
  <si>
    <t>36-40</t>
  </si>
  <si>
    <t>41-45</t>
  </si>
  <si>
    <t>46-50</t>
  </si>
  <si>
    <t>51-55</t>
  </si>
  <si>
    <t>56-60</t>
  </si>
  <si>
    <t>61-65</t>
  </si>
  <si>
    <t>66-70</t>
  </si>
  <si>
    <t>71-75</t>
  </si>
  <si>
    <t>76-80</t>
  </si>
  <si>
    <t>81-85</t>
  </si>
  <si>
    <t>86-90</t>
  </si>
  <si>
    <t>91-95</t>
  </si>
  <si>
    <t>96-100</t>
  </si>
  <si>
    <t>101-105</t>
  </si>
  <si>
    <t>106-110</t>
  </si>
  <si>
    <t>111-115</t>
  </si>
  <si>
    <t>116-120</t>
  </si>
  <si>
    <t>121-125</t>
  </si>
  <si>
    <t>126-130</t>
  </si>
  <si>
    <t>131-135</t>
  </si>
  <si>
    <t>136-140</t>
  </si>
  <si>
    <t>141-145</t>
  </si>
  <si>
    <t>146-150</t>
  </si>
  <si>
    <t>151-155</t>
  </si>
  <si>
    <t>156-160</t>
  </si>
  <si>
    <t>161-165</t>
  </si>
  <si>
    <t>166-170</t>
  </si>
  <si>
    <t>171-175</t>
  </si>
  <si>
    <t>176-180</t>
  </si>
  <si>
    <t>181-185</t>
  </si>
  <si>
    <t>186-190</t>
  </si>
  <si>
    <t>191-195</t>
  </si>
  <si>
    <t>196-200</t>
  </si>
  <si>
    <t>201-205</t>
  </si>
  <si>
    <t>206-210</t>
  </si>
  <si>
    <t>&gt;210</t>
  </si>
  <si>
    <t>Lokalnamn/nr:</t>
  </si>
  <si>
    <t>Lokalens medelbredd (m):</t>
  </si>
  <si>
    <t>Vattennivå (L/M/H):</t>
  </si>
  <si>
    <t>Lista 9</t>
  </si>
  <si>
    <t>Vattennivå (±dm):</t>
  </si>
  <si>
    <t>Avfiskad bredd (m):</t>
  </si>
  <si>
    <t>Torrlagd yta (%):</t>
  </si>
  <si>
    <t>Utförare (namn och tel.):</t>
  </si>
  <si>
    <t>Minvåtbredd (m):</t>
  </si>
  <si>
    <t>Maxvåtbredd (m):</t>
  </si>
  <si>
    <t>Dominerande bottensubstrat (ange kod)</t>
  </si>
  <si>
    <t>Finsediment</t>
  </si>
  <si>
    <t>Sand</t>
  </si>
  <si>
    <t>Grus</t>
  </si>
  <si>
    <t>Häll</t>
  </si>
  <si>
    <t>Mindre sten</t>
  </si>
  <si>
    <t>Större sten</t>
  </si>
  <si>
    <t>Mindre block</t>
  </si>
  <si>
    <t>Medelstora block</t>
  </si>
  <si>
    <t>Större block</t>
  </si>
  <si>
    <t>&lt;0,02</t>
  </si>
  <si>
    <t>0,02 - 0,2</t>
  </si>
  <si>
    <t>0,2 - 2</t>
  </si>
  <si>
    <t>20 - 30</t>
  </si>
  <si>
    <t>Huvudflodskod</t>
  </si>
  <si>
    <t>Huvudflodsområde</t>
  </si>
  <si>
    <t>001</t>
  </si>
  <si>
    <t>1 Torneälven</t>
  </si>
  <si>
    <t>001002</t>
  </si>
  <si>
    <t>1/2 Kustområde</t>
  </si>
  <si>
    <t>002</t>
  </si>
  <si>
    <t>2 Keräsjoki</t>
  </si>
  <si>
    <t>002003</t>
  </si>
  <si>
    <t>2/3 Kustområde</t>
  </si>
  <si>
    <t>003</t>
  </si>
  <si>
    <t>3 Sangisälven</t>
  </si>
  <si>
    <t>003004</t>
  </si>
  <si>
    <t>3/4 Kustområde</t>
  </si>
  <si>
    <t>004</t>
  </si>
  <si>
    <t>4 Kalixälven</t>
  </si>
  <si>
    <t>004005</t>
  </si>
  <si>
    <t>4/5 Kustområde</t>
  </si>
  <si>
    <t>005</t>
  </si>
  <si>
    <t>5 Töreälven</t>
  </si>
  <si>
    <t>005006</t>
  </si>
  <si>
    <t>5/6 Kustområde</t>
  </si>
  <si>
    <t>006</t>
  </si>
  <si>
    <t>6 Vitån</t>
  </si>
  <si>
    <t>006007</t>
  </si>
  <si>
    <t>6/7 Kustområde</t>
  </si>
  <si>
    <t>007</t>
  </si>
  <si>
    <t>7 Råneälven</t>
  </si>
  <si>
    <t>007008</t>
  </si>
  <si>
    <t>7/8 Kustområde</t>
  </si>
  <si>
    <t>008</t>
  </si>
  <si>
    <t>8 Altersundet</t>
  </si>
  <si>
    <t>008009</t>
  </si>
  <si>
    <t>8/9 Kustområde</t>
  </si>
  <si>
    <t>009</t>
  </si>
  <si>
    <t>9 Luleälven</t>
  </si>
  <si>
    <t>009010</t>
  </si>
  <si>
    <t>9/10 Kustområde</t>
  </si>
  <si>
    <t>010</t>
  </si>
  <si>
    <t>10 Alån</t>
  </si>
  <si>
    <t>010011</t>
  </si>
  <si>
    <t>10/11 Kustområde</t>
  </si>
  <si>
    <t>011</t>
  </si>
  <si>
    <t>11 Rosån</t>
  </si>
  <si>
    <t>011012</t>
  </si>
  <si>
    <t>11/12 Kustområde</t>
  </si>
  <si>
    <t>012</t>
  </si>
  <si>
    <t>12 Alterälven</t>
  </si>
  <si>
    <t>012013</t>
  </si>
  <si>
    <t>12/13 Kustområde</t>
  </si>
  <si>
    <t>013</t>
  </si>
  <si>
    <t>13 Piteälven</t>
  </si>
  <si>
    <t>013014</t>
  </si>
  <si>
    <t>13/14 Kustområde</t>
  </si>
  <si>
    <t>014</t>
  </si>
  <si>
    <t>14 Lillpiteälven</t>
  </si>
  <si>
    <t>014015</t>
  </si>
  <si>
    <t>14/15 Kustområde</t>
  </si>
  <si>
    <t>015</t>
  </si>
  <si>
    <t>15 Rokån</t>
  </si>
  <si>
    <t>015016</t>
  </si>
  <si>
    <t>15/16 Kustområde</t>
  </si>
  <si>
    <t>016</t>
  </si>
  <si>
    <t>16 Jävreån</t>
  </si>
  <si>
    <t>016017</t>
  </si>
  <si>
    <t>16/17 Kustområde</t>
  </si>
  <si>
    <t>017</t>
  </si>
  <si>
    <t>17 Åbyälven</t>
  </si>
  <si>
    <t>017018</t>
  </si>
  <si>
    <t>17/18 Kustområde</t>
  </si>
  <si>
    <t>018</t>
  </si>
  <si>
    <t>18 Byskeälven</t>
  </si>
  <si>
    <t>018019</t>
  </si>
  <si>
    <t>18/19 Kustområde</t>
  </si>
  <si>
    <t>019</t>
  </si>
  <si>
    <t>19 Kågeälven</t>
  </si>
  <si>
    <t>019020</t>
  </si>
  <si>
    <t>19/20 Kustområde</t>
  </si>
  <si>
    <t>020</t>
  </si>
  <si>
    <t>20 Skellefteälven</t>
  </si>
  <si>
    <t>020021</t>
  </si>
  <si>
    <t>20/21 Kustområde</t>
  </si>
  <si>
    <t>021</t>
  </si>
  <si>
    <t>21 Bureälven</t>
  </si>
  <si>
    <t>021022</t>
  </si>
  <si>
    <t>21/22 Kustområde</t>
  </si>
  <si>
    <t>022</t>
  </si>
  <si>
    <t>22 Mångbyälven</t>
  </si>
  <si>
    <t>022023</t>
  </si>
  <si>
    <t>22/23 Kustområde</t>
  </si>
  <si>
    <t>023</t>
  </si>
  <si>
    <t>23 Kålabodaån</t>
  </si>
  <si>
    <t>023024</t>
  </si>
  <si>
    <t>23/24 Kustområde</t>
  </si>
  <si>
    <t>024</t>
  </si>
  <si>
    <t>24 Rickleån</t>
  </si>
  <si>
    <t>024025</t>
  </si>
  <si>
    <t>24/25 Kustområde</t>
  </si>
  <si>
    <t>025</t>
  </si>
  <si>
    <t>25 Dalkarlsån</t>
  </si>
  <si>
    <t>025026</t>
  </si>
  <si>
    <t>25/26 Kustområde</t>
  </si>
  <si>
    <t>026</t>
  </si>
  <si>
    <t>26 Sävarån</t>
  </si>
  <si>
    <t>026027</t>
  </si>
  <si>
    <t>26/27 Kustområde</t>
  </si>
  <si>
    <t>027</t>
  </si>
  <si>
    <t>27 Tavelån</t>
  </si>
  <si>
    <t>027028</t>
  </si>
  <si>
    <t>27/28 Kustområde</t>
  </si>
  <si>
    <t>028</t>
  </si>
  <si>
    <t>28 Umeälven</t>
  </si>
  <si>
    <t>028029</t>
  </si>
  <si>
    <t>28/29 Kustområde</t>
  </si>
  <si>
    <t>029</t>
  </si>
  <si>
    <t>29 Hörnån</t>
  </si>
  <si>
    <t>029030</t>
  </si>
  <si>
    <t>29/30 Kustområde</t>
  </si>
  <si>
    <t>030</t>
  </si>
  <si>
    <t>30 Öreälven</t>
  </si>
  <si>
    <t>030031</t>
  </si>
  <si>
    <t>30/31 Kustområde</t>
  </si>
  <si>
    <t>031</t>
  </si>
  <si>
    <t>31 Leduån</t>
  </si>
  <si>
    <t>031032</t>
  </si>
  <si>
    <t>31/32 Kustområde</t>
  </si>
  <si>
    <t>032</t>
  </si>
  <si>
    <t>32 Lögdeälven</t>
  </si>
  <si>
    <t>032033</t>
  </si>
  <si>
    <t>32/33 Kustområde</t>
  </si>
  <si>
    <t>033</t>
  </si>
  <si>
    <t>33 Husån</t>
  </si>
  <si>
    <t>033034</t>
  </si>
  <si>
    <t>33/34 Kustområde</t>
  </si>
  <si>
    <t>034</t>
  </si>
  <si>
    <t>34 Gideälven</t>
  </si>
  <si>
    <t>034035</t>
  </si>
  <si>
    <t>34/35 Kustområde</t>
  </si>
  <si>
    <t>035</t>
  </si>
  <si>
    <t>35 Idbyån</t>
  </si>
  <si>
    <t>035036</t>
  </si>
  <si>
    <t>35/36 Kustområde</t>
  </si>
  <si>
    <t>036</t>
  </si>
  <si>
    <t>36 Moälven</t>
  </si>
  <si>
    <t>036037</t>
  </si>
  <si>
    <t>36/37 Kustområde</t>
  </si>
  <si>
    <t>037</t>
  </si>
  <si>
    <t>37 Nättraån</t>
  </si>
  <si>
    <t>037038</t>
  </si>
  <si>
    <t>37/38 Kustområde</t>
  </si>
  <si>
    <t>038</t>
  </si>
  <si>
    <t>38 Ångerm.älv.</t>
  </si>
  <si>
    <t>038039</t>
  </si>
  <si>
    <t>38/39 Kustområde</t>
  </si>
  <si>
    <t>039</t>
  </si>
  <si>
    <t>39 Gådeån</t>
  </si>
  <si>
    <t>039040</t>
  </si>
  <si>
    <t>39/40 Kustområde</t>
  </si>
  <si>
    <t>040</t>
  </si>
  <si>
    <t>40 Indalsälven</t>
  </si>
  <si>
    <t>040041</t>
  </si>
  <si>
    <t>40/41 Kustområde</t>
  </si>
  <si>
    <t>041</t>
  </si>
  <si>
    <t>41 Selångersån</t>
  </si>
  <si>
    <t>041042</t>
  </si>
  <si>
    <t>41/42 Kustområde</t>
  </si>
  <si>
    <t>042</t>
  </si>
  <si>
    <t>42 Ljungan</t>
  </si>
  <si>
    <t>042043</t>
  </si>
  <si>
    <t>42/43 Kustområde</t>
  </si>
  <si>
    <t>043</t>
  </si>
  <si>
    <t>43 Gnarpsån</t>
  </si>
  <si>
    <t>043044</t>
  </si>
  <si>
    <t>43/44 Kustområde</t>
  </si>
  <si>
    <t>044</t>
  </si>
  <si>
    <t>44 Harmångeån</t>
  </si>
  <si>
    <t>044045</t>
  </si>
  <si>
    <t>44/45 Kustområde</t>
  </si>
  <si>
    <t>045</t>
  </si>
  <si>
    <t>45 Delångersån</t>
  </si>
  <si>
    <t>045046</t>
  </si>
  <si>
    <t>45/46 Kustområde</t>
  </si>
  <si>
    <t>046</t>
  </si>
  <si>
    <t>46 Nianån</t>
  </si>
  <si>
    <t>046047</t>
  </si>
  <si>
    <t>46/47 Kustområde</t>
  </si>
  <si>
    <t>047</t>
  </si>
  <si>
    <t>47 Norralaån</t>
  </si>
  <si>
    <t>047048</t>
  </si>
  <si>
    <t>47/48 Kustområde</t>
  </si>
  <si>
    <t>048</t>
  </si>
  <si>
    <t>48 Ljusnan</t>
  </si>
  <si>
    <t>048049</t>
  </si>
  <si>
    <t>48/49 Kustområde</t>
  </si>
  <si>
    <t>049</t>
  </si>
  <si>
    <t>49 Skärjån</t>
  </si>
  <si>
    <t>049050</t>
  </si>
  <si>
    <t>49/50 Kustområde</t>
  </si>
  <si>
    <t>050</t>
  </si>
  <si>
    <t>50 Hamrångeån</t>
  </si>
  <si>
    <t>050051</t>
  </si>
  <si>
    <t>50/51 Kustområde</t>
  </si>
  <si>
    <t>051</t>
  </si>
  <si>
    <t>51 Testeboån</t>
  </si>
  <si>
    <t>051052</t>
  </si>
  <si>
    <t>51/52 Kustområde</t>
  </si>
  <si>
    <t>052</t>
  </si>
  <si>
    <t>52 Gavleån</t>
  </si>
  <si>
    <t>052053</t>
  </si>
  <si>
    <t>52/53 Kustområde</t>
  </si>
  <si>
    <t>053</t>
  </si>
  <si>
    <t>53 Dalälven</t>
  </si>
  <si>
    <t>053054</t>
  </si>
  <si>
    <t>53/54 Kustområde</t>
  </si>
  <si>
    <t>054</t>
  </si>
  <si>
    <t>54 Tämnarån</t>
  </si>
  <si>
    <t>054055</t>
  </si>
  <si>
    <t>54/55 Kustområde</t>
  </si>
  <si>
    <t>055</t>
  </si>
  <si>
    <t>55 Forsmarksån</t>
  </si>
  <si>
    <t>055056</t>
  </si>
  <si>
    <t>55/56 Kustområde</t>
  </si>
  <si>
    <t>056</t>
  </si>
  <si>
    <t>56 Olandsån</t>
  </si>
  <si>
    <t>056057</t>
  </si>
  <si>
    <t>56/57 Kustområde</t>
  </si>
  <si>
    <t>057</t>
  </si>
  <si>
    <t>57 Skeboån</t>
  </si>
  <si>
    <t>057058</t>
  </si>
  <si>
    <t>57/58 Kustområde</t>
  </si>
  <si>
    <t>058</t>
  </si>
  <si>
    <t>58 Broströmmen</t>
  </si>
  <si>
    <t>058059</t>
  </si>
  <si>
    <t>58/59 Kustområde</t>
  </si>
  <si>
    <t>059</t>
  </si>
  <si>
    <t>59 Norrtäljeån</t>
  </si>
  <si>
    <t>059060</t>
  </si>
  <si>
    <t>59/60 Kustområde</t>
  </si>
  <si>
    <t>060</t>
  </si>
  <si>
    <t>60 Åkersström</t>
  </si>
  <si>
    <t>060061</t>
  </si>
  <si>
    <t>60/61 Kustområde</t>
  </si>
  <si>
    <t>061</t>
  </si>
  <si>
    <t>61 Norrström</t>
  </si>
  <si>
    <t>061062</t>
  </si>
  <si>
    <t>61/62 Kustområde</t>
  </si>
  <si>
    <t>062</t>
  </si>
  <si>
    <t>62 Tyresån</t>
  </si>
  <si>
    <t>062063</t>
  </si>
  <si>
    <t>62/63 Kustområde</t>
  </si>
  <si>
    <t>063</t>
  </si>
  <si>
    <t>63 Trosaån</t>
  </si>
  <si>
    <t>063064</t>
  </si>
  <si>
    <t>63/64 Kustområde</t>
  </si>
  <si>
    <t>064</t>
  </si>
  <si>
    <t>64 Svärtaån</t>
  </si>
  <si>
    <t>064065</t>
  </si>
  <si>
    <t>64/65 Kustområde</t>
  </si>
  <si>
    <t>065</t>
  </si>
  <si>
    <t>65 Nyköpingsån</t>
  </si>
  <si>
    <t>065066</t>
  </si>
  <si>
    <t>65/66 Kustområde</t>
  </si>
  <si>
    <t>066</t>
  </si>
  <si>
    <t>66 Kilaån</t>
  </si>
  <si>
    <t>066067</t>
  </si>
  <si>
    <t>66/67 Kustområde</t>
  </si>
  <si>
    <t>067</t>
  </si>
  <si>
    <t>67 Motala Ström</t>
  </si>
  <si>
    <t>067068</t>
  </si>
  <si>
    <t>67/68 Kustområde</t>
  </si>
  <si>
    <t>068</t>
  </si>
  <si>
    <t>68 Söderköpingsån</t>
  </si>
  <si>
    <t>068069</t>
  </si>
  <si>
    <t>68/69 Kustområde</t>
  </si>
  <si>
    <t>069</t>
  </si>
  <si>
    <t>69 Vindån</t>
  </si>
  <si>
    <t>069070</t>
  </si>
  <si>
    <t>69/70 Kustområde</t>
  </si>
  <si>
    <t>070</t>
  </si>
  <si>
    <t>70 Storån</t>
  </si>
  <si>
    <t>070071</t>
  </si>
  <si>
    <t>70/71 Kustområde</t>
  </si>
  <si>
    <t>071</t>
  </si>
  <si>
    <t>71 Botorpsström</t>
  </si>
  <si>
    <t>071072</t>
  </si>
  <si>
    <t>71/72 Kustområde</t>
  </si>
  <si>
    <t>072</t>
  </si>
  <si>
    <t>72 Marströmmen</t>
  </si>
  <si>
    <t>072073</t>
  </si>
  <si>
    <t>72/73 Kustområde</t>
  </si>
  <si>
    <t>073</t>
  </si>
  <si>
    <t>73 Virån</t>
  </si>
  <si>
    <t>073074</t>
  </si>
  <si>
    <t>73/74 Kustområde</t>
  </si>
  <si>
    <t>074</t>
  </si>
  <si>
    <t>74 Emån</t>
  </si>
  <si>
    <t>074075</t>
  </si>
  <si>
    <t>74/75 Kustområde</t>
  </si>
  <si>
    <t>075</t>
  </si>
  <si>
    <t>75 Alsterån</t>
  </si>
  <si>
    <t>075076</t>
  </si>
  <si>
    <t>75/76 Kustområde</t>
  </si>
  <si>
    <t>076</t>
  </si>
  <si>
    <t>76 Snärjebäcken</t>
  </si>
  <si>
    <t>076077</t>
  </si>
  <si>
    <t>76/77 Kustområde</t>
  </si>
  <si>
    <t>077</t>
  </si>
  <si>
    <t>77 Ljungbyån</t>
  </si>
  <si>
    <t>077078</t>
  </si>
  <si>
    <t>77/78 Kustområde</t>
  </si>
  <si>
    <t>078</t>
  </si>
  <si>
    <t>78 Hagbyån</t>
  </si>
  <si>
    <t>078079</t>
  </si>
  <si>
    <t>78/79 Kustområde</t>
  </si>
  <si>
    <t>079</t>
  </si>
  <si>
    <t>79 Bruatorpsån</t>
  </si>
  <si>
    <t>079080</t>
  </si>
  <si>
    <t>79/80 Kustområde</t>
  </si>
  <si>
    <t>080</t>
  </si>
  <si>
    <t>80 Lyckebyån</t>
  </si>
  <si>
    <t>080081</t>
  </si>
  <si>
    <t>80/81 Kustområde</t>
  </si>
  <si>
    <t>081</t>
  </si>
  <si>
    <t>81 Nättrabyån</t>
  </si>
  <si>
    <t>081082</t>
  </si>
  <si>
    <t>81/82 Kustområde</t>
  </si>
  <si>
    <t>082</t>
  </si>
  <si>
    <t>82 Ronnebyån</t>
  </si>
  <si>
    <t>082083</t>
  </si>
  <si>
    <t>82/83 Kustområde</t>
  </si>
  <si>
    <t>083</t>
  </si>
  <si>
    <t>83 Vierydsån</t>
  </si>
  <si>
    <t>083084</t>
  </si>
  <si>
    <t>83/84 Kustområde</t>
  </si>
  <si>
    <t>084</t>
  </si>
  <si>
    <t>84 Bräkneån</t>
  </si>
  <si>
    <t>084085</t>
  </si>
  <si>
    <t>84/85 Kustområde</t>
  </si>
  <si>
    <t>085</t>
  </si>
  <si>
    <t>85 Mieån</t>
  </si>
  <si>
    <t>085086</t>
  </si>
  <si>
    <t>85/86 Kustområde</t>
  </si>
  <si>
    <t>086</t>
  </si>
  <si>
    <t>86 Mörrumsån</t>
  </si>
  <si>
    <t>086087</t>
  </si>
  <si>
    <t>86/87 Kustområde</t>
  </si>
  <si>
    <t>087</t>
  </si>
  <si>
    <t>87 Skräbeån</t>
  </si>
  <si>
    <t>087088</t>
  </si>
  <si>
    <t>87/88 Kustområde</t>
  </si>
  <si>
    <t>088</t>
  </si>
  <si>
    <t>88 Helgeån</t>
  </si>
  <si>
    <t>088089</t>
  </si>
  <si>
    <t>88/89 Kustområde</t>
  </si>
  <si>
    <t>089</t>
  </si>
  <si>
    <t>89 Nybroån</t>
  </si>
  <si>
    <t>089090</t>
  </si>
  <si>
    <t>89/90 Kustområde</t>
  </si>
  <si>
    <t>090</t>
  </si>
  <si>
    <t>90 Segeå</t>
  </si>
  <si>
    <t>090091</t>
  </si>
  <si>
    <t>90/91 Kustområde</t>
  </si>
  <si>
    <t>091</t>
  </si>
  <si>
    <t>91 Höjeå</t>
  </si>
  <si>
    <t>091092</t>
  </si>
  <si>
    <t>91/92 Kustområde</t>
  </si>
  <si>
    <t>092</t>
  </si>
  <si>
    <t>092093</t>
  </si>
  <si>
    <t>92/93 Kustområde</t>
  </si>
  <si>
    <t>093</t>
  </si>
  <si>
    <t>93 Saxån</t>
  </si>
  <si>
    <t>093094</t>
  </si>
  <si>
    <t>93/94 Kustområde</t>
  </si>
  <si>
    <t>094</t>
  </si>
  <si>
    <t>94 Råån</t>
  </si>
  <si>
    <t>094095</t>
  </si>
  <si>
    <t>94/95 Kustområde</t>
  </si>
  <si>
    <t>095</t>
  </si>
  <si>
    <t>95 Vegeå</t>
  </si>
  <si>
    <t>095096</t>
  </si>
  <si>
    <t>95/96 Kustområde</t>
  </si>
  <si>
    <t>096</t>
  </si>
  <si>
    <t>96 Rönneå</t>
  </si>
  <si>
    <t>096097</t>
  </si>
  <si>
    <t>96/97 Kustområde</t>
  </si>
  <si>
    <t>097</t>
  </si>
  <si>
    <t>97 Stensån</t>
  </si>
  <si>
    <t>097098</t>
  </si>
  <si>
    <t>97/98 Kustområde</t>
  </si>
  <si>
    <t>098</t>
  </si>
  <si>
    <t>98 Lagan</t>
  </si>
  <si>
    <t>098099</t>
  </si>
  <si>
    <t>98/99 Kustområde</t>
  </si>
  <si>
    <t>099</t>
  </si>
  <si>
    <t>99 Genevadsån</t>
  </si>
  <si>
    <t>099100</t>
  </si>
  <si>
    <t>99/100 Kustområde</t>
  </si>
  <si>
    <t>100 Fylleån</t>
  </si>
  <si>
    <t>100101</t>
  </si>
  <si>
    <t>100/101 Kustområde</t>
  </si>
  <si>
    <t>101 Nissan</t>
  </si>
  <si>
    <t>101102</t>
  </si>
  <si>
    <t>101/102 Kustområde</t>
  </si>
  <si>
    <t>102 Suseån</t>
  </si>
  <si>
    <t>102103</t>
  </si>
  <si>
    <t>102/103 Kustområde</t>
  </si>
  <si>
    <t>103 Ätran</t>
  </si>
  <si>
    <t>103104</t>
  </si>
  <si>
    <t>103/104 Kustområde</t>
  </si>
  <si>
    <t>104 Himleån</t>
  </si>
  <si>
    <t>104105</t>
  </si>
  <si>
    <t>104/105 Kustområde</t>
  </si>
  <si>
    <t>105 Viskan</t>
  </si>
  <si>
    <t>105106</t>
  </si>
  <si>
    <t>105/106 Kustområde</t>
  </si>
  <si>
    <t>106 Rolfsån</t>
  </si>
  <si>
    <t>106107</t>
  </si>
  <si>
    <t>106/107 Kustområde</t>
  </si>
  <si>
    <t>107 Kungsbackaån</t>
  </si>
  <si>
    <t>107108</t>
  </si>
  <si>
    <t>107/108 Kustområde</t>
  </si>
  <si>
    <t>108 Götaälv</t>
  </si>
  <si>
    <t>Välj kolumnrubrik</t>
  </si>
  <si>
    <t>Alm</t>
  </si>
  <si>
    <t>Ask</t>
  </si>
  <si>
    <t>Asp</t>
  </si>
  <si>
    <t>Avenbok</t>
  </si>
  <si>
    <t>Brakved</t>
  </si>
  <si>
    <t>Contortatall</t>
  </si>
  <si>
    <t>Ek</t>
  </si>
  <si>
    <t>En</t>
  </si>
  <si>
    <t>Fjällbjörk</t>
  </si>
  <si>
    <t>Fläder</t>
  </si>
  <si>
    <t>Glasbjörk</t>
  </si>
  <si>
    <t>Gråal</t>
  </si>
  <si>
    <t>Hagtorn</t>
  </si>
  <si>
    <t>Hassel</t>
  </si>
  <si>
    <t>Hägg</t>
  </si>
  <si>
    <t>Hästkastanj</t>
  </si>
  <si>
    <t>Klibbal</t>
  </si>
  <si>
    <t>Körsbär</t>
  </si>
  <si>
    <t>Lind</t>
  </si>
  <si>
    <t>Lärkträd</t>
  </si>
  <si>
    <t>Lönn</t>
  </si>
  <si>
    <t>Oxel</t>
  </si>
  <si>
    <t>Pil</t>
  </si>
  <si>
    <t>Poppel</t>
  </si>
  <si>
    <t>Pors</t>
  </si>
  <si>
    <t>Päron</t>
  </si>
  <si>
    <t>Rönn</t>
  </si>
  <si>
    <t>Salix</t>
  </si>
  <si>
    <t>Vide</t>
  </si>
  <si>
    <t>Vitpil</t>
  </si>
  <si>
    <t>100</t>
  </si>
  <si>
    <t>101</t>
  </si>
  <si>
    <t>102</t>
  </si>
  <si>
    <t>103</t>
  </si>
  <si>
    <t>104</t>
  </si>
  <si>
    <t>105</t>
  </si>
  <si>
    <t>106</t>
  </si>
  <si>
    <t>107</t>
  </si>
  <si>
    <t>108</t>
  </si>
  <si>
    <t>109</t>
  </si>
  <si>
    <t>110</t>
  </si>
  <si>
    <t>111</t>
  </si>
  <si>
    <t>111112</t>
  </si>
  <si>
    <t>112</t>
  </si>
  <si>
    <t>117</t>
  </si>
  <si>
    <t>117118</t>
  </si>
  <si>
    <t>118</t>
  </si>
  <si>
    <t>118117</t>
  </si>
  <si>
    <t>K min</t>
  </si>
  <si>
    <t>K max</t>
  </si>
  <si>
    <t>Anmärkningar:</t>
  </si>
  <si>
    <t>veg.rens.</t>
  </si>
  <si>
    <t>Lista12</t>
  </si>
  <si>
    <t>Angivna längduppgifter för xxxx är max- &amp; minimivärden</t>
  </si>
  <si>
    <t>De mista xxxx har vägts tillsammans, vikter för dessa är medelvikter</t>
  </si>
  <si>
    <t>Koord:</t>
  </si>
  <si>
    <t>Lokal:</t>
  </si>
  <si>
    <t>LERSTUBB</t>
  </si>
  <si>
    <t>LERST</t>
  </si>
  <si>
    <t>SANDSTUBB</t>
  </si>
  <si>
    <t>SANST</t>
  </si>
  <si>
    <t>MÖRTFISX</t>
  </si>
  <si>
    <t>OBESTÄMD KARPFISK</t>
  </si>
  <si>
    <t>92 Kävlingeån</t>
  </si>
  <si>
    <t>BASINV</t>
  </si>
  <si>
    <t>USKYDD</t>
  </si>
  <si>
    <t>IKEUAVSL</t>
  </si>
  <si>
    <t>UPPLSTIFT</t>
  </si>
  <si>
    <t>FIV</t>
  </si>
  <si>
    <t>SKOGSST</t>
  </si>
  <si>
    <t>115</t>
  </si>
  <si>
    <t>113</t>
  </si>
  <si>
    <t>113 Glomma</t>
  </si>
  <si>
    <t>114 Nean</t>
  </si>
  <si>
    <t>114</t>
  </si>
  <si>
    <t>115 Vapstälven</t>
  </si>
  <si>
    <t>116</t>
  </si>
  <si>
    <t>116 Rana</t>
  </si>
  <si>
    <t xml:space="preserve">Kopia ska också skickas till den </t>
  </si>
  <si>
    <t>Länsstyrelse som beviljat tillståndet.</t>
  </si>
  <si>
    <t>FINANSIÄR:</t>
  </si>
  <si>
    <t>Naturvårdsverket</t>
  </si>
  <si>
    <t>Länsstyrelsen</t>
  </si>
  <si>
    <t>Kommunen</t>
  </si>
  <si>
    <t>Fvof</t>
  </si>
  <si>
    <t>UTFÖRARE</t>
  </si>
  <si>
    <t>UTFORARE</t>
  </si>
  <si>
    <t>UTFORKOD</t>
  </si>
  <si>
    <t>Älvräddarna</t>
  </si>
  <si>
    <t>Älvrädd</t>
  </si>
  <si>
    <t>Gekås Ullared</t>
  </si>
  <si>
    <t>Hylte kommun</t>
  </si>
  <si>
    <t>Kom1315</t>
  </si>
  <si>
    <t>Sportfiske för morgondagen</t>
  </si>
  <si>
    <t>Bol/LKAB</t>
  </si>
  <si>
    <t>Fiskeriförsöksstationen Älvkarleby</t>
  </si>
  <si>
    <t>Äby</t>
  </si>
  <si>
    <t>Projekt Västerbottenslax</t>
  </si>
  <si>
    <t>Aclax</t>
  </si>
  <si>
    <t>ALcontrol Laboratories</t>
  </si>
  <si>
    <t>Alcontrol</t>
  </si>
  <si>
    <t>Allumite Konsult AB</t>
  </si>
  <si>
    <t>Allumite</t>
  </si>
  <si>
    <t>Aquanord AB</t>
  </si>
  <si>
    <t>Aquanord</t>
  </si>
  <si>
    <t>Åsundens fiskevårdsområdesförening</t>
  </si>
  <si>
    <t>Åsundfvof</t>
  </si>
  <si>
    <t>Beowulf Mining</t>
  </si>
  <si>
    <t>Beowulf</t>
  </si>
  <si>
    <t>Boliden Minerals</t>
  </si>
  <si>
    <t>Boliden</t>
  </si>
  <si>
    <t>Calluna AB</t>
  </si>
  <si>
    <t>Calluna</t>
  </si>
  <si>
    <t>Dannemora Mineral AB</t>
  </si>
  <si>
    <t>Dannemora</t>
  </si>
  <si>
    <t>Domänverket</t>
  </si>
  <si>
    <t>Domän</t>
  </si>
  <si>
    <t>Ekologgruppen i Landskrona AB</t>
  </si>
  <si>
    <t>Ekologgr</t>
  </si>
  <si>
    <t>Enskild markägare</t>
  </si>
  <si>
    <t>Enskmarkäg</t>
  </si>
  <si>
    <t>Enskild vägförening</t>
  </si>
  <si>
    <t>Enskvägför</t>
  </si>
  <si>
    <t>Envix Nord AB</t>
  </si>
  <si>
    <t>Envix</t>
  </si>
  <si>
    <t>E.ON Sverige AB</t>
  </si>
  <si>
    <t>Eon</t>
  </si>
  <si>
    <t>EQC Karlstad</t>
  </si>
  <si>
    <t>EQCKarlst</t>
  </si>
  <si>
    <t>Europeiska unionen</t>
  </si>
  <si>
    <t>EU</t>
  </si>
  <si>
    <t>Färnebofjärdens fiskevårdsområdesförening</t>
  </si>
  <si>
    <t>Fäfvof</t>
  </si>
  <si>
    <t>F.A.S.T. - Fiskeresursgruppen</t>
  </si>
  <si>
    <t>Fast</t>
  </si>
  <si>
    <t>Folkhögskola</t>
  </si>
  <si>
    <t>Fhs</t>
  </si>
  <si>
    <t>Fiskeriintendenten</t>
  </si>
  <si>
    <t>Fi</t>
  </si>
  <si>
    <t>Fiskeriverket</t>
  </si>
  <si>
    <t>Fiv</t>
  </si>
  <si>
    <t>Fiskenämnden</t>
  </si>
  <si>
    <t>Fn</t>
  </si>
  <si>
    <t>Fiskenämnden i Jönköpings län</t>
  </si>
  <si>
    <t>Fn06</t>
  </si>
  <si>
    <t>Fiskenämnden i Kronobergs län</t>
  </si>
  <si>
    <t>Fn07</t>
  </si>
  <si>
    <t>Fiskenämnden i Kalmar län</t>
  </si>
  <si>
    <t>Fn08</t>
  </si>
  <si>
    <t>Fiskenämnden i Blekinge län</t>
  </si>
  <si>
    <t>Fn10</t>
  </si>
  <si>
    <t>Fiskenämnden i Kristianstads län</t>
  </si>
  <si>
    <t>Fn11</t>
  </si>
  <si>
    <t>Fiskenämnden i Hallands län</t>
  </si>
  <si>
    <t>Fn13</t>
  </si>
  <si>
    <t>Fiskenämnden i Göteborgs och Bohus län</t>
  </si>
  <si>
    <t>Fn14</t>
  </si>
  <si>
    <t>Fiskenämnden i Skaraborgs län</t>
  </si>
  <si>
    <t>Fn16</t>
  </si>
  <si>
    <t>Fiskenämnden i Värmlands län</t>
  </si>
  <si>
    <t>Fn17</t>
  </si>
  <si>
    <t>Fiskenämnden i Örebro län</t>
  </si>
  <si>
    <t>Fn18</t>
  </si>
  <si>
    <t>Fisk- och Vattenvård i Norrland AB</t>
  </si>
  <si>
    <t>Fovin</t>
  </si>
  <si>
    <t>Fröslida Kraft AB</t>
  </si>
  <si>
    <t>Fröslida</t>
  </si>
  <si>
    <t>Fiskeritjänst - Olle Lindh</t>
  </si>
  <si>
    <t>Fiskevattenägarna</t>
  </si>
  <si>
    <t>Fvä</t>
  </si>
  <si>
    <t>Fiskevårdsområdet</t>
  </si>
  <si>
    <t>Fvo</t>
  </si>
  <si>
    <t>Fiskevårdsområdesföreningen</t>
  </si>
  <si>
    <t>Gränges Aluminium/Akzo Nobel/SCA</t>
  </si>
  <si>
    <t>GANSCA</t>
  </si>
  <si>
    <t>Grängesberg Iron AB</t>
  </si>
  <si>
    <t>Gränges</t>
  </si>
  <si>
    <t>Harsco Metals Sweden AB</t>
  </si>
  <si>
    <t>Harsco</t>
  </si>
  <si>
    <t>Havs- och vattenmyndigheten</t>
  </si>
  <si>
    <t>Hav</t>
  </si>
  <si>
    <t>Hjoåns fiskevårdsområde</t>
  </si>
  <si>
    <t>Hjoånsfvo</t>
  </si>
  <si>
    <t>Hushållningssällskapet</t>
  </si>
  <si>
    <t>Hs</t>
  </si>
  <si>
    <t>Hushållningssällskapet Östergötland</t>
  </si>
  <si>
    <t>Hs05</t>
  </si>
  <si>
    <t>Hushållningssällskapet Jönköping</t>
  </si>
  <si>
    <t>Hs06</t>
  </si>
  <si>
    <t>Hushållningssällskapet i Göteborgs och Bohus län</t>
  </si>
  <si>
    <t>Hs14</t>
  </si>
  <si>
    <t>Hushållningssällskapet Värmland</t>
  </si>
  <si>
    <t>Hs17</t>
  </si>
  <si>
    <t>Hushållningssällskapet Örebro</t>
  </si>
  <si>
    <t>Hs18</t>
  </si>
  <si>
    <t>Hushållningssällskapet Kalmar-Kronoberg-Blekinge</t>
  </si>
  <si>
    <t>HsKKB</t>
  </si>
  <si>
    <t>Huskvarna Ekologi</t>
  </si>
  <si>
    <t>Huskv</t>
  </si>
  <si>
    <t>Institutet för vatten- och luftvårdsforskning</t>
  </si>
  <si>
    <t>Ivl</t>
  </si>
  <si>
    <t>Ivösjökommittén</t>
  </si>
  <si>
    <t>Ivösjökom</t>
  </si>
  <si>
    <t>Kinda Turistförening</t>
  </si>
  <si>
    <t>Kjell Leander konsult</t>
  </si>
  <si>
    <t>Kjelea</t>
  </si>
  <si>
    <t>Kolbäcksåns vattenförbund</t>
  </si>
  <si>
    <t>Kolbäckvf</t>
  </si>
  <si>
    <t>Kom</t>
  </si>
  <si>
    <t>Järfälla kommun</t>
  </si>
  <si>
    <t>Kom0123</t>
  </si>
  <si>
    <t>Botkyrka kommun</t>
  </si>
  <si>
    <t>Kom0127</t>
  </si>
  <si>
    <t>Upplands-Bro kommun</t>
  </si>
  <si>
    <t>Kom0139</t>
  </si>
  <si>
    <t>Täby kommun</t>
  </si>
  <si>
    <t>Kom0160</t>
  </si>
  <si>
    <t>Danderyds kommun</t>
  </si>
  <si>
    <t>Kom0162</t>
  </si>
  <si>
    <t>Sollentuna kommun</t>
  </si>
  <si>
    <t>Kom0163</t>
  </si>
  <si>
    <t>Stockholms stad</t>
  </si>
  <si>
    <t>Kom0180</t>
  </si>
  <si>
    <t>Nacka kommun</t>
  </si>
  <si>
    <t>Kom0182</t>
  </si>
  <si>
    <t>Sigtuna kommun</t>
  </si>
  <si>
    <t>Kom0191</t>
  </si>
  <si>
    <t>Gnesta kommun</t>
  </si>
  <si>
    <t>Kom0461</t>
  </si>
  <si>
    <t>Nyköpings kommun</t>
  </si>
  <si>
    <t>Kom0480</t>
  </si>
  <si>
    <t>Flens kommun</t>
  </si>
  <si>
    <t>Kom0482</t>
  </si>
  <si>
    <t>Kinda kommun</t>
  </si>
  <si>
    <t>Kom0513</t>
  </si>
  <si>
    <t>Norrköpings kommun</t>
  </si>
  <si>
    <t>Kom0581</t>
  </si>
  <si>
    <t>Aneby kommun</t>
  </si>
  <si>
    <t>Kom0604</t>
  </si>
  <si>
    <t>Gnosjö kommun</t>
  </si>
  <si>
    <t>Kom0617</t>
  </si>
  <si>
    <t>Habo kommun</t>
  </si>
  <si>
    <t>Kom0643</t>
  </si>
  <si>
    <t>Gislaveds kommun</t>
  </si>
  <si>
    <t>Kom0662</t>
  </si>
  <si>
    <t>Vaggeryds kommun</t>
  </si>
  <si>
    <t>Kom0665</t>
  </si>
  <si>
    <t>Jönköpings kommun</t>
  </si>
  <si>
    <t>Kom0680</t>
  </si>
  <si>
    <t>Nässjö kommun</t>
  </si>
  <si>
    <t>Kom0682</t>
  </si>
  <si>
    <t>Vetlanda kommun</t>
  </si>
  <si>
    <t>Kom0685</t>
  </si>
  <si>
    <t>Eksjö kommun</t>
  </si>
  <si>
    <t>Kom0686</t>
  </si>
  <si>
    <t>Tranås kommun</t>
  </si>
  <si>
    <t>Kom0687</t>
  </si>
  <si>
    <t>Växjö kommun</t>
  </si>
  <si>
    <t>Kom0780</t>
  </si>
  <si>
    <t>Ljungby kommun</t>
  </si>
  <si>
    <t>Kom0781</t>
  </si>
  <si>
    <t>Högsby kommun</t>
  </si>
  <si>
    <t>Kom0821</t>
  </si>
  <si>
    <t>Torsås kommun</t>
  </si>
  <si>
    <t>Kom0834</t>
  </si>
  <si>
    <t>Hultsfreds kommun</t>
  </si>
  <si>
    <t>Kom0860</t>
  </si>
  <si>
    <t>Mönsterås kommun</t>
  </si>
  <si>
    <t>Kom0861</t>
  </si>
  <si>
    <t>Emmaboda kommun</t>
  </si>
  <si>
    <t>Kom0862</t>
  </si>
  <si>
    <t>Nybro kommun</t>
  </si>
  <si>
    <t>Kom0881</t>
  </si>
  <si>
    <t>Västerviks kommun</t>
  </si>
  <si>
    <t>Kom0883</t>
  </si>
  <si>
    <t>Vimmerby kommun</t>
  </si>
  <si>
    <t>Kom0884</t>
  </si>
  <si>
    <t>Lomma kommun</t>
  </si>
  <si>
    <t>Kom1262</t>
  </si>
  <si>
    <t>Skurups kommun</t>
  </si>
  <si>
    <t>Kom1264</t>
  </si>
  <si>
    <t>Kristianstad kommun</t>
  </si>
  <si>
    <t>Kom1290</t>
  </si>
  <si>
    <t>Hässleholms kommun</t>
  </si>
  <si>
    <t>Kom1293</t>
  </si>
  <si>
    <t>Hjo kommun</t>
  </si>
  <si>
    <t>Kom1497</t>
  </si>
  <si>
    <t>Eda kommun</t>
  </si>
  <si>
    <t>Kom1730</t>
  </si>
  <si>
    <t>Årjängs kommun</t>
  </si>
  <si>
    <t>Kom1765</t>
  </si>
  <si>
    <t>Askersunds kommun</t>
  </si>
  <si>
    <t>Kom1882</t>
  </si>
  <si>
    <t>Malungs kommun</t>
  </si>
  <si>
    <t>Kom2023</t>
  </si>
  <si>
    <t>Orsa kommun</t>
  </si>
  <si>
    <t>Kom2034</t>
  </si>
  <si>
    <t>Mora kommun</t>
  </si>
  <si>
    <t>Kom2062</t>
  </si>
  <si>
    <t>Falu kommun</t>
  </si>
  <si>
    <t>Kom2080</t>
  </si>
  <si>
    <t>Borlänge kommun</t>
  </si>
  <si>
    <t>Kom2081</t>
  </si>
  <si>
    <t>Ovanåkers kommun</t>
  </si>
  <si>
    <t>Kom2121</t>
  </si>
  <si>
    <t>Söderhamns kommun</t>
  </si>
  <si>
    <t>Kom2182</t>
  </si>
  <si>
    <t>Hudiksvalls kommun</t>
  </si>
  <si>
    <t>Kom2184</t>
  </si>
  <si>
    <t>Sundsvalls kommun</t>
  </si>
  <si>
    <t>Kom2281</t>
  </si>
  <si>
    <t>Örnsköldsviks kommun</t>
  </si>
  <si>
    <t>Kom2284</t>
  </si>
  <si>
    <t>Storumans kommun</t>
  </si>
  <si>
    <t>Kom2421</t>
  </si>
  <si>
    <t>Vännäs kommun</t>
  </si>
  <si>
    <t>Kom2460</t>
  </si>
  <si>
    <t>Umeå kommun</t>
  </si>
  <si>
    <t>Kom2480</t>
  </si>
  <si>
    <t>Skellefteå kommun</t>
  </si>
  <si>
    <t>Kom2482</t>
  </si>
  <si>
    <t>Bodens kommun</t>
  </si>
  <si>
    <t>Kom2582</t>
  </si>
  <si>
    <t>Konsult</t>
  </si>
  <si>
    <t>Kons</t>
  </si>
  <si>
    <t>Laxsjöns sportfiskare</t>
  </si>
  <si>
    <t>Laxsjönsf</t>
  </si>
  <si>
    <t>Leader (Jordbruksverket)</t>
  </si>
  <si>
    <t>Leader</t>
  </si>
  <si>
    <t>Luftfartsverket</t>
  </si>
  <si>
    <t>Lfv</t>
  </si>
  <si>
    <t>LKAB</t>
  </si>
  <si>
    <t>Lantbruksnämnden i Jönköpings län</t>
  </si>
  <si>
    <t>Ln06</t>
  </si>
  <si>
    <t>Lantbruksnämnden i Kronobergs län</t>
  </si>
  <si>
    <t>Ln07</t>
  </si>
  <si>
    <t>Lantbruksnämnden i Blekinge län</t>
  </si>
  <si>
    <t>Ln10</t>
  </si>
  <si>
    <t>Lantbruksnämnden i Göteborgs och Bohus län</t>
  </si>
  <si>
    <t>Ln14</t>
  </si>
  <si>
    <t>Lantbruksnämnden i Örebro län</t>
  </si>
  <si>
    <t>Ln18</t>
  </si>
  <si>
    <t>Lantbruksnämnden i Kopparbergs län</t>
  </si>
  <si>
    <t>Ln20</t>
  </si>
  <si>
    <t>Lantbruksnämnden i Jämtlands län</t>
  </si>
  <si>
    <t>Ln23</t>
  </si>
  <si>
    <t>Lst</t>
  </si>
  <si>
    <t>Länsstyrelsen i Stockholms län</t>
  </si>
  <si>
    <t>Lst01</t>
  </si>
  <si>
    <t>Länsstyrelsen i Uppsala län</t>
  </si>
  <si>
    <t>Lst03</t>
  </si>
  <si>
    <t>Länsstyrelsen i Södermanlands län</t>
  </si>
  <si>
    <t>Lst04</t>
  </si>
  <si>
    <t>Länsstyrelsen i Östergötlands län</t>
  </si>
  <si>
    <t>Lst05</t>
  </si>
  <si>
    <t>Länsstyrelsen i Jönköpings län</t>
  </si>
  <si>
    <t>Lst06</t>
  </si>
  <si>
    <t>Länsstyrelsen i Kronobergs län</t>
  </si>
  <si>
    <t>Lst07</t>
  </si>
  <si>
    <t>Länsstyrelsen i Kalmar län</t>
  </si>
  <si>
    <t>Lst08</t>
  </si>
  <si>
    <t>Länsstyrelsen i Gotlands län</t>
  </si>
  <si>
    <t>Lst09</t>
  </si>
  <si>
    <t>Länsstyrelsen i Blekinge län</t>
  </si>
  <si>
    <t>Lst10</t>
  </si>
  <si>
    <t>Länsstyrelsen i Kristianstads län</t>
  </si>
  <si>
    <t>Lst11</t>
  </si>
  <si>
    <t>Länsstyrelsen i Skåne län</t>
  </si>
  <si>
    <t>Lst12</t>
  </si>
  <si>
    <t>Länsstyrelsen i Hallands län</t>
  </si>
  <si>
    <t>Lst13</t>
  </si>
  <si>
    <t>Länsstyrelsen i Västra Götalands län</t>
  </si>
  <si>
    <t>Lst14</t>
  </si>
  <si>
    <t>Länsstyrelsen i Älvsborgs län</t>
  </si>
  <si>
    <t>Lst15</t>
  </si>
  <si>
    <t>Länsstyrelsen i Skaraborgs län</t>
  </si>
  <si>
    <t>Lst16</t>
  </si>
  <si>
    <t>Länsstyrelsen i Värmlands län</t>
  </si>
  <si>
    <t>Lst17</t>
  </si>
  <si>
    <t>Länsstyrelsen i Örebro län</t>
  </si>
  <si>
    <t>Lst18</t>
  </si>
  <si>
    <t>Länsstyrelsen i Västmanlands län</t>
  </si>
  <si>
    <t>Lst19</t>
  </si>
  <si>
    <t>Länsstyrelsen i Dalarnas län</t>
  </si>
  <si>
    <t>Lst20</t>
  </si>
  <si>
    <t>Länsstyrelsen i Gävleborgs län</t>
  </si>
  <si>
    <t>Lst21</t>
  </si>
  <si>
    <t>Länsstyrelsen i Västernorrlands län</t>
  </si>
  <si>
    <t>Lst22</t>
  </si>
  <si>
    <t>Länsstyrelsen i Jämtlands län</t>
  </si>
  <si>
    <t>Lst23</t>
  </si>
  <si>
    <t>Länsstyrelsen i Västerbottens län</t>
  </si>
  <si>
    <t>Lst24</t>
  </si>
  <si>
    <t>Länsstyrelsen i Norrbottens län</t>
  </si>
  <si>
    <t>Lst25</t>
  </si>
  <si>
    <t>Makkaur Miljö</t>
  </si>
  <si>
    <t>Makkaur</t>
  </si>
  <si>
    <t>Mälarenergi AB</t>
  </si>
  <si>
    <t>Mälenergi</t>
  </si>
  <si>
    <t>Malungs Fiskodling AB</t>
  </si>
  <si>
    <t>Malufisk</t>
  </si>
  <si>
    <t>Medins</t>
  </si>
  <si>
    <t>Melica Miljökonsulter</t>
  </si>
  <si>
    <t>Melica</t>
  </si>
  <si>
    <t>Thorsson &amp; Åberg Miljö och Vattenvård AB</t>
  </si>
  <si>
    <t>Milva</t>
  </si>
  <si>
    <t>MS Naturfakta</t>
  </si>
  <si>
    <t>Naturfakta</t>
  </si>
  <si>
    <t>Naturvatten i Roslagen AB</t>
  </si>
  <si>
    <t>Naturv</t>
  </si>
  <si>
    <t>Karlslunda natur- och fiskevårdsförening</t>
  </si>
  <si>
    <t>Nf1</t>
  </si>
  <si>
    <t>Naturskyddsföreningen, Tjust</t>
  </si>
  <si>
    <t>Nf2</t>
  </si>
  <si>
    <t>Nickel Mountain Resources AB</t>
  </si>
  <si>
    <t>Nickel</t>
  </si>
  <si>
    <t>Naturhistoriska Riksmuséet</t>
  </si>
  <si>
    <t>Nrm</t>
  </si>
  <si>
    <t>Nv</t>
  </si>
  <si>
    <t>Orsa Besparingsskog</t>
  </si>
  <si>
    <t>Orsabesp</t>
  </si>
  <si>
    <t>Oxunda</t>
  </si>
  <si>
    <t>Pelagia</t>
  </si>
  <si>
    <t>Privatperson</t>
  </si>
  <si>
    <t>Privat</t>
  </si>
  <si>
    <t>Ringsjökommittén</t>
  </si>
  <si>
    <t>Ringsjökom</t>
  </si>
  <si>
    <t>Samhall</t>
  </si>
  <si>
    <t>Samha</t>
  </si>
  <si>
    <t>Scandinavian Mining</t>
  </si>
  <si>
    <t>Scandmi</t>
  </si>
  <si>
    <t>Sportfiskarna</t>
  </si>
  <si>
    <t>Sf</t>
  </si>
  <si>
    <t>Stockholms sportfiskedistrikt</t>
  </si>
  <si>
    <t>Sf01</t>
  </si>
  <si>
    <t>Sjöfartsverket</t>
  </si>
  <si>
    <t>Sfv</t>
  </si>
  <si>
    <t>Svensk Kärnbränslehantering AB</t>
  </si>
  <si>
    <t>Skb</t>
  </si>
  <si>
    <t>Skogsstyrelsen</t>
  </si>
  <si>
    <t>Skogsst</t>
  </si>
  <si>
    <t>Högskolan, Kristianstad</t>
  </si>
  <si>
    <t>Skola1</t>
  </si>
  <si>
    <t>Högskolan, Gävle</t>
  </si>
  <si>
    <t>Skola10</t>
  </si>
  <si>
    <t>Blekinge folkhögskola, Bräkne-Hoby</t>
  </si>
  <si>
    <t>Skola2</t>
  </si>
  <si>
    <t>Östersjöskolan, Karlskrona</t>
  </si>
  <si>
    <t>Skola3</t>
  </si>
  <si>
    <t>Klarälvdalens folkhögskola, Stöllet</t>
  </si>
  <si>
    <t>Skola4</t>
  </si>
  <si>
    <t>Företagarnas folkhögskola, Leksand</t>
  </si>
  <si>
    <t>Skola5</t>
  </si>
  <si>
    <t>Älvdalens Utbildningscentrum</t>
  </si>
  <si>
    <t>Skola6</t>
  </si>
  <si>
    <t>Erik Dalbergsgymnasiet, Jönköping</t>
  </si>
  <si>
    <t>Skola7</t>
  </si>
  <si>
    <t>ForshagaAkademin</t>
  </si>
  <si>
    <t>Skola8</t>
  </si>
  <si>
    <t>Sävenfors vattenbruksskola</t>
  </si>
  <si>
    <t>Skola9</t>
  </si>
  <si>
    <t>Sveriges lantbruksuniversitet</t>
  </si>
  <si>
    <t>Slu</t>
  </si>
  <si>
    <t>SMA Mineral</t>
  </si>
  <si>
    <t>SMAmin</t>
  </si>
  <si>
    <t>Sötvattenslaboratoriet</t>
  </si>
  <si>
    <t>Sölab</t>
  </si>
  <si>
    <t>Södra Sveriges fiskeriförening</t>
  </si>
  <si>
    <t>Ssf</t>
  </si>
  <si>
    <t>Statkraft</t>
  </si>
  <si>
    <t>Stockholm Vatten AB</t>
  </si>
  <si>
    <t>Sthlmvatt</t>
  </si>
  <si>
    <t>Stora Enso</t>
  </si>
  <si>
    <t>Sweco Environment AB</t>
  </si>
  <si>
    <t>Sweco</t>
  </si>
  <si>
    <t>Tännäs Fiskecentrum</t>
  </si>
  <si>
    <t>Tännäs</t>
  </si>
  <si>
    <t>Tasmet AB</t>
  </si>
  <si>
    <t>Tasmet</t>
  </si>
  <si>
    <t>Tertiary Minerals Plc</t>
  </si>
  <si>
    <t>Tertiary</t>
  </si>
  <si>
    <t>Trafikverket</t>
  </si>
  <si>
    <t>Trafikv</t>
  </si>
  <si>
    <t>Fiskeriverkets utredningskontor Göteborg</t>
  </si>
  <si>
    <t>Ukgbg</t>
  </si>
  <si>
    <t>Fiskeriverkets utredningskontor Härnösand</t>
  </si>
  <si>
    <t>Ukhär</t>
  </si>
  <si>
    <t>Fiskeriverkets utredningskontor Jönköping</t>
  </si>
  <si>
    <t>Ukjön</t>
  </si>
  <si>
    <t>Fiskeriverkets utredningskontor Luleå</t>
  </si>
  <si>
    <t>Uklul</t>
  </si>
  <si>
    <t>Fiskeriverkets utredningskontor Örebro</t>
  </si>
  <si>
    <t>Uköre</t>
  </si>
  <si>
    <t>Undens fiskevårdsområde</t>
  </si>
  <si>
    <t>Undensfvo</t>
  </si>
  <si>
    <t>Göteborgs universitet</t>
  </si>
  <si>
    <t>Ungbg</t>
  </si>
  <si>
    <t>Unkar</t>
  </si>
  <si>
    <t>Lunds universitet</t>
  </si>
  <si>
    <t>Unlun</t>
  </si>
  <si>
    <t>Unume</t>
  </si>
  <si>
    <t>Uppsala universitet</t>
  </si>
  <si>
    <t>Unupp</t>
  </si>
  <si>
    <t>Upplandsstiftelsen</t>
  </si>
  <si>
    <t>Upplstift</t>
  </si>
  <si>
    <t>Svenska Vanadin AB</t>
  </si>
  <si>
    <t>Vanadin</t>
  </si>
  <si>
    <t>Sveriges Vattenekologer AB</t>
  </si>
  <si>
    <t>Vatteneko</t>
  </si>
  <si>
    <t>Växjö stift</t>
  </si>
  <si>
    <t>Växjöstift</t>
  </si>
  <si>
    <t>Veolia</t>
  </si>
  <si>
    <t>VFK Vatten &amp; Fiskevårdskonsult IT</t>
  </si>
  <si>
    <t>Vfk</t>
  </si>
  <si>
    <t>Västkuststiftelsen</t>
  </si>
  <si>
    <t>Vkuststift</t>
  </si>
  <si>
    <t>Göta älvs vattenvårdsförbund</t>
  </si>
  <si>
    <t>Vvf108</t>
  </si>
  <si>
    <t>Emåförbundet</t>
  </si>
  <si>
    <t>Vvf74</t>
  </si>
  <si>
    <t>Alsteråns vattenvårdsförbund</t>
  </si>
  <si>
    <t>Vvf75</t>
  </si>
  <si>
    <t>Lyckebyåns vattenvårdsförbund</t>
  </si>
  <si>
    <t>Vvf80</t>
  </si>
  <si>
    <t>Ronnebyåns vattenvårdsförbund</t>
  </si>
  <si>
    <t>Vvf82</t>
  </si>
  <si>
    <t>Bräkneåns vattenvårdsförbund</t>
  </si>
  <si>
    <t>Vvf84</t>
  </si>
  <si>
    <t>Mörrumsåns vattenvårdsförbund</t>
  </si>
  <si>
    <t>Vvf86</t>
  </si>
  <si>
    <t>Lagans Vattenråd</t>
  </si>
  <si>
    <t>Vvf98</t>
  </si>
  <si>
    <t>Vänerns vattenvårdsförbund</t>
  </si>
  <si>
    <t>Vvfvänern</t>
  </si>
  <si>
    <t>Vätterns vattenvårdsförbund</t>
  </si>
  <si>
    <t>Vvfvättern</t>
  </si>
  <si>
    <t>WRS Water Revival Systems Uppsala AB</t>
  </si>
  <si>
    <t>WRS</t>
  </si>
  <si>
    <t>Swedish Airports</t>
  </si>
  <si>
    <t>Swedavia</t>
  </si>
  <si>
    <t>VIKT</t>
  </si>
  <si>
    <t>Omg</t>
  </si>
  <si>
    <t>Längd</t>
  </si>
  <si>
    <t>Vikt</t>
  </si>
  <si>
    <t>ART</t>
  </si>
  <si>
    <t>Längdmätta</t>
  </si>
  <si>
    <t>Fångade arter</t>
  </si>
  <si>
    <t>Ange art</t>
  </si>
  <si>
    <t>Antal fångade</t>
  </si>
  <si>
    <t>ArtNR</t>
  </si>
  <si>
    <t>Skattat antal</t>
  </si>
  <si>
    <t>Diagramintervall (mm)</t>
  </si>
  <si>
    <t>Diagram start (mm)</t>
  </si>
  <si>
    <t>&lt;=2</t>
  </si>
  <si>
    <t>Längdintervall (mm)</t>
  </si>
  <si>
    <t>0+ gräns</t>
  </si>
  <si>
    <t>Skattnings-metod</t>
  </si>
  <si>
    <t>Kortaste</t>
  </si>
  <si>
    <t>Längsta</t>
  </si>
  <si>
    <t>0+ (mm)</t>
  </si>
  <si>
    <t>Instruktioner:</t>
  </si>
  <si>
    <t>att se/ändra  storleksfördelning i diagram</t>
  </si>
  <si>
    <t xml:space="preserve">för respektive art. </t>
  </si>
  <si>
    <t>diagrammet.</t>
  </si>
  <si>
    <t>inmatningsfält. För muspekaren över sådant</t>
  </si>
  <si>
    <t>fält för att visa utförligare instruktioner.</t>
  </si>
  <si>
    <t>Gräns</t>
  </si>
  <si>
    <t>0+/&gt;0+</t>
  </si>
  <si>
    <t>individ</t>
  </si>
  <si>
    <t>(mm)</t>
  </si>
  <si>
    <t>Ber p2 t p1</t>
  </si>
  <si>
    <t>p2 ber fr p1</t>
  </si>
  <si>
    <t>Ber p3 t p1</t>
  </si>
  <si>
    <t>p3 ber fr p1</t>
  </si>
  <si>
    <t>p1-värde</t>
  </si>
  <si>
    <t>* Använd inmatningsfälten ovan för</t>
  </si>
  <si>
    <t>* För mer detaljerade instruktioner se</t>
  </si>
  <si>
    <r>
      <t xml:space="preserve">* Data för laxfiskar är markerade i </t>
    </r>
    <r>
      <rPr>
        <b/>
        <sz val="10"/>
        <color indexed="10"/>
        <rFont val="Arial"/>
        <family val="2"/>
      </rPr>
      <t>rött</t>
    </r>
    <r>
      <rPr>
        <b/>
        <sz val="10"/>
        <rFont val="Arial"/>
        <family val="2"/>
      </rPr>
      <t xml:space="preserve"> tills</t>
    </r>
  </si>
  <si>
    <r>
      <t>"</t>
    </r>
    <r>
      <rPr>
        <b/>
        <sz val="10"/>
        <color indexed="10"/>
        <rFont val="Arial"/>
        <family val="2"/>
      </rPr>
      <t>röda hörn</t>
    </r>
    <r>
      <rPr>
        <b/>
        <sz val="10"/>
        <rFont val="Arial"/>
        <family val="2"/>
      </rPr>
      <t xml:space="preserve">" i ansluttning till respektive </t>
    </r>
  </si>
  <si>
    <r>
      <t xml:space="preserve">* </t>
    </r>
    <r>
      <rPr>
        <b/>
        <u/>
        <sz val="10"/>
        <rFont val="Arial"/>
        <family val="2"/>
      </rPr>
      <t>Observera</t>
    </r>
    <r>
      <rPr>
        <b/>
        <sz val="10"/>
        <rFont val="Arial"/>
        <family val="2"/>
      </rPr>
      <t xml:space="preserve"> att man måste välja arten ifråga</t>
    </r>
  </si>
  <si>
    <r>
      <t>Skattad täthet (ind/100m</t>
    </r>
    <r>
      <rPr>
        <b/>
        <vertAlign val="superscript"/>
        <sz val="10"/>
        <rFont val="Arial"/>
        <family val="2"/>
      </rPr>
      <t>2</t>
    </r>
    <r>
      <rPr>
        <b/>
        <sz val="10"/>
        <rFont val="Arial"/>
        <family val="2"/>
      </rPr>
      <t>)</t>
    </r>
  </si>
  <si>
    <r>
      <t>95%-konf.    Intervall (ind/100m</t>
    </r>
    <r>
      <rPr>
        <b/>
        <vertAlign val="superscript"/>
        <sz val="10"/>
        <rFont val="Arial"/>
        <family val="2"/>
      </rPr>
      <t>2</t>
    </r>
    <r>
      <rPr>
        <b/>
        <sz val="10"/>
        <rFont val="Arial"/>
        <family val="2"/>
      </rPr>
      <t>)</t>
    </r>
  </si>
  <si>
    <t>LOKALBESKRIVN</t>
  </si>
  <si>
    <t>SORTKOD</t>
  </si>
  <si>
    <t>ANTALKOD</t>
  </si>
  <si>
    <t>Löpnr L</t>
  </si>
  <si>
    <t>Löpnr LV</t>
  </si>
  <si>
    <t>Max/Min</t>
  </si>
  <si>
    <t>Medelvärden</t>
  </si>
  <si>
    <t>TRANSEKTNR</t>
  </si>
  <si>
    <t>AVST_M_LOK_NEDRE_AVGR</t>
  </si>
  <si>
    <t>VFÅRA_VÅTA_BREDD_M</t>
  </si>
  <si>
    <t>VFÅRA_DJUP_CM_1/4_BREDD</t>
  </si>
  <si>
    <t>VFÅRA_DJUP_CM_1/2_BREDD</t>
  </si>
  <si>
    <t>VFÅRA_DJUP_CM_3/4_BREDD</t>
  </si>
  <si>
    <t>DOM_SUB_1/4_KOD</t>
  </si>
  <si>
    <t>DOM_SUB_1/2_KOD</t>
  </si>
  <si>
    <t>DOM_SUB_3/4_KOD</t>
  </si>
  <si>
    <t>Malung-Sälen</t>
  </si>
  <si>
    <t>Fångat Omg 1</t>
  </si>
  <si>
    <t>Fångat Omg 2</t>
  </si>
  <si>
    <t>Fångat Omg 3</t>
  </si>
  <si>
    <t>Totalt antal fångade</t>
  </si>
  <si>
    <t>Ej mätta</t>
  </si>
  <si>
    <t>Ange eget max på Y-skalan (mm)</t>
  </si>
  <si>
    <t>BESKUGGNING (%):</t>
  </si>
  <si>
    <r>
      <t>VED I VATTNET</t>
    </r>
    <r>
      <rPr>
        <b/>
        <sz val="8"/>
        <rFont val="Arial"/>
        <family val="2"/>
      </rPr>
      <t>(antal, Ø&gt;10cm, &gt;50cm i längd</t>
    </r>
    <r>
      <rPr>
        <b/>
        <sz val="10"/>
        <rFont val="Arial"/>
        <family val="2"/>
      </rPr>
      <t>):</t>
    </r>
  </si>
  <si>
    <t>* Tillåtna inmatningsfält är ljusblå (/grå).</t>
  </si>
  <si>
    <t>0+/&gt;0+-gräns angivits i fälten t.h. om diagram</t>
  </si>
  <si>
    <t>först (fält B1 ovan) innan det går att ange</t>
  </si>
  <si>
    <t>visas som streckad linje eller streckad stapel i</t>
  </si>
  <si>
    <t>0+/&gt;0+ gränsvärde (fält K11:Kx). Angiven gräns</t>
  </si>
  <si>
    <t>OBS, förkortningar Utförare ligger nedanför i samma lista</t>
  </si>
  <si>
    <t>TERRÄNGKARTA:</t>
  </si>
  <si>
    <t xml:space="preserve">                        Vattendrag + Lokalnamn: </t>
  </si>
  <si>
    <t>Träslag som saknas i rullistan i fält R38 och AB38</t>
  </si>
  <si>
    <t>Anges vid behov. Angiven art läggs då till som val i rullistan</t>
  </si>
  <si>
    <t>omg</t>
  </si>
  <si>
    <r>
      <t xml:space="preserve">- Lokalavgränsningar start/stopp (streckade linjer)                                                - Text som beskriver hur avgränsningarna färgmarkerats                                 - Karaktäristiska och lätt igenkännbara strukturer (block, </t>
    </r>
    <r>
      <rPr>
        <b/>
        <sz val="11"/>
        <color indexed="9"/>
        <rFont val="Arial Narrow"/>
        <family val="2"/>
      </rPr>
      <t>xx</t>
    </r>
    <r>
      <rPr>
        <b/>
        <sz val="11"/>
        <color indexed="23"/>
        <rFont val="Arial Narrow"/>
        <family val="2"/>
      </rPr>
      <t>stockar, broar, ledningar, etc)                                                                             - Avstånd till strukturer om dessa ligger en bit från vattenfåran                                                                                                         - Strömriktningspil(-ar)</t>
    </r>
  </si>
  <si>
    <r>
      <rPr>
        <b/>
        <sz val="13"/>
        <color indexed="23"/>
        <rFont val="Arial"/>
        <family val="2"/>
      </rPr>
      <t xml:space="preserve">Skissen ska, förutom ovanstående, innehålla: </t>
    </r>
    <r>
      <rPr>
        <b/>
        <sz val="14"/>
        <color indexed="23"/>
        <rFont val="Arial"/>
        <family val="2"/>
      </rPr>
      <t xml:space="preserve">  </t>
    </r>
    <r>
      <rPr>
        <b/>
        <sz val="11"/>
        <color indexed="23"/>
        <rFont val="Arial"/>
        <family val="2"/>
      </rPr>
      <t xml:space="preserve"> </t>
    </r>
    <r>
      <rPr>
        <b/>
        <i/>
        <sz val="11"/>
        <color indexed="22"/>
        <rFont val="Arial Narrow"/>
        <family val="2"/>
      </rPr>
      <t>(tänk på att inte rita in FÖR mycket eller ovidkommande detaljer. Syftet med skissen är att kunna lokalisera exakt samma plats                     även om man inte varit på platsen tidigare eller om         färgmarkeringarna försvunnit)</t>
    </r>
  </si>
  <si>
    <t>Lokalskiss</t>
  </si>
  <si>
    <t>Anm</t>
  </si>
  <si>
    <t>Öring 0+</t>
  </si>
  <si>
    <t>Öring &gt;0+</t>
  </si>
  <si>
    <t>Lax 0+</t>
  </si>
  <si>
    <t>Lax &gt;0+</t>
  </si>
  <si>
    <t>Harr 0+</t>
  </si>
  <si>
    <t>Harr &gt;0+</t>
  </si>
  <si>
    <t>Röding 0+</t>
  </si>
  <si>
    <t>Röding &gt;0+</t>
  </si>
  <si>
    <t>Abborre</t>
  </si>
  <si>
    <t>Benlöja</t>
  </si>
  <si>
    <t>Bergsimpa</t>
  </si>
  <si>
    <t>Björkna</t>
  </si>
  <si>
    <t>Braxen</t>
  </si>
  <si>
    <t>Bäcknejonöga</t>
  </si>
  <si>
    <t>Elritsa</t>
  </si>
  <si>
    <t>Flodkräfta</t>
  </si>
  <si>
    <t>Flodnejonöga</t>
  </si>
  <si>
    <t>Färna</t>
  </si>
  <si>
    <t>Gers</t>
  </si>
  <si>
    <t>Grönling</t>
  </si>
  <si>
    <t>Gädda</t>
  </si>
  <si>
    <t>Id</t>
  </si>
  <si>
    <t>Lake</t>
  </si>
  <si>
    <t>Mal</t>
  </si>
  <si>
    <t>Mört</t>
  </si>
  <si>
    <t>Ruda</t>
  </si>
  <si>
    <t>Sandkrypare</t>
  </si>
  <si>
    <t>Sarv</t>
  </si>
  <si>
    <t>Signalkräfta</t>
  </si>
  <si>
    <t>Skrubba</t>
  </si>
  <si>
    <t>Småspigg</t>
  </si>
  <si>
    <t>Stensimpa</t>
  </si>
  <si>
    <t>Storspigg</t>
  </si>
  <si>
    <t>Stäm</t>
  </si>
  <si>
    <t>Sutare</t>
  </si>
  <si>
    <t>Ål</t>
  </si>
  <si>
    <t>hybrid lax*öring</t>
  </si>
  <si>
    <t>Laxör 0+</t>
  </si>
  <si>
    <t>Laxör &gt;0+</t>
  </si>
  <si>
    <t>Bäckröding 0+</t>
  </si>
  <si>
    <t>Bäckröding &gt;0+</t>
  </si>
  <si>
    <t>Amerikansk bäckröding</t>
  </si>
  <si>
    <r>
      <t>p</t>
    </r>
    <r>
      <rPr>
        <b/>
        <vertAlign val="superscript"/>
        <sz val="10"/>
        <color indexed="8"/>
        <rFont val="Arial"/>
        <family val="2"/>
      </rPr>
      <t>1</t>
    </r>
  </si>
  <si>
    <r>
      <t>p</t>
    </r>
    <r>
      <rPr>
        <b/>
        <vertAlign val="superscript"/>
        <sz val="10"/>
        <color indexed="8"/>
        <rFont val="Arial"/>
        <family val="2"/>
      </rPr>
      <t>2</t>
    </r>
  </si>
  <si>
    <r>
      <t>p</t>
    </r>
    <r>
      <rPr>
        <b/>
        <vertAlign val="superscript"/>
        <sz val="10"/>
        <color indexed="8"/>
        <rFont val="Arial"/>
        <family val="2"/>
      </rPr>
      <t>3</t>
    </r>
  </si>
  <si>
    <t>Agnico Eagle Mines</t>
  </si>
  <si>
    <t>Agnico</t>
  </si>
  <si>
    <t>Arctic Paper</t>
  </si>
  <si>
    <t>Arctic</t>
  </si>
  <si>
    <t>Arise Windpower</t>
  </si>
  <si>
    <t>Arisewind</t>
  </si>
  <si>
    <t>Avalon Minerals Viscaria AB</t>
  </si>
  <si>
    <t>Avalon</t>
  </si>
  <si>
    <t>Björkdalsgruvan AB</t>
  </si>
  <si>
    <t>Björkdal</t>
  </si>
  <si>
    <t>Boliden minerals/LKAB</t>
  </si>
  <si>
    <t>Borealis</t>
  </si>
  <si>
    <t>Boråsenerg</t>
  </si>
  <si>
    <t>Continental Precious Minerals</t>
  </si>
  <si>
    <t>CPM</t>
  </si>
  <si>
    <t>Dragon Mining Sweden AB</t>
  </si>
  <si>
    <t>Dragon</t>
  </si>
  <si>
    <t>Dalälvens vattenregleringsföretag</t>
  </si>
  <si>
    <t>Dvrf</t>
  </si>
  <si>
    <t>Ekonomisk förening</t>
  </si>
  <si>
    <t>Ekför</t>
  </si>
  <si>
    <t>EKOM AB</t>
  </si>
  <si>
    <t>Ekom</t>
  </si>
  <si>
    <t>Enetjärn Natur AB</t>
  </si>
  <si>
    <t>ENAB</t>
  </si>
  <si>
    <t>Findus AB</t>
  </si>
  <si>
    <t>Findus</t>
  </si>
  <si>
    <t>Fortum</t>
  </si>
  <si>
    <t>Fortifikationsverket</t>
  </si>
  <si>
    <t>Fortverket</t>
  </si>
  <si>
    <t>Ft-OL</t>
  </si>
  <si>
    <t>Gekåsull</t>
  </si>
  <si>
    <t>Golder Associates (ingenjörskonsult)</t>
  </si>
  <si>
    <t>Goldassoc</t>
  </si>
  <si>
    <t>Gävle Energi AB</t>
  </si>
  <si>
    <t>Gävenergi</t>
  </si>
  <si>
    <t>Haddåns Vatten- &amp; Fiskevård</t>
  </si>
  <si>
    <t>Haddån</t>
  </si>
  <si>
    <t>Holmen Energi AB</t>
  </si>
  <si>
    <t>Holmen</t>
  </si>
  <si>
    <t>Ödeshögs kommun</t>
  </si>
  <si>
    <t>Kom0509</t>
  </si>
  <si>
    <t>Kalmar kommun</t>
  </si>
  <si>
    <t>Kom0880</t>
  </si>
  <si>
    <t>Oskarshamns kommun</t>
  </si>
  <si>
    <t>Kom0882</t>
  </si>
  <si>
    <t>Borgholms kommun</t>
  </si>
  <si>
    <t>Kom0885</t>
  </si>
  <si>
    <t>Tomelilla kommun</t>
  </si>
  <si>
    <t>Kom1270</t>
  </si>
  <si>
    <t>Malmö kommun</t>
  </si>
  <si>
    <t>Kom1280</t>
  </si>
  <si>
    <t>Lunds kommun</t>
  </si>
  <si>
    <t>Kom1281</t>
  </si>
  <si>
    <t>Helsingborgs kommun</t>
  </si>
  <si>
    <t>Kom1283</t>
  </si>
  <si>
    <t>Eslövs kommun</t>
  </si>
  <si>
    <t>Kom1285</t>
  </si>
  <si>
    <t>Ystad kommun</t>
  </si>
  <si>
    <t>Kom1286</t>
  </si>
  <si>
    <t>Borås kommun</t>
  </si>
  <si>
    <t>Kom1490</t>
  </si>
  <si>
    <t>Skövde kommun</t>
  </si>
  <si>
    <t>Kom1496</t>
  </si>
  <si>
    <t>Torsby kommun</t>
  </si>
  <si>
    <t>Kom1737</t>
  </si>
  <si>
    <t>Sunne kommun</t>
  </si>
  <si>
    <t>Kom1766</t>
  </si>
  <si>
    <t>Örebro kommun</t>
  </si>
  <si>
    <t>Kom1880</t>
  </si>
  <si>
    <t>Västerås kommun</t>
  </si>
  <si>
    <t>Kom1980</t>
  </si>
  <si>
    <t>Nordanstigs kommun</t>
  </si>
  <si>
    <t>Kom2132</t>
  </si>
  <si>
    <t>Ljusdals kommun</t>
  </si>
  <si>
    <t>Kom2161</t>
  </si>
  <si>
    <t>Gävle kommun</t>
  </si>
  <si>
    <t>Kom2180</t>
  </si>
  <si>
    <t>Bollnäs kommun</t>
  </si>
  <si>
    <t>Kom2183</t>
  </si>
  <si>
    <t>Jokkmokks kommun</t>
  </si>
  <si>
    <t>Kom2510</t>
  </si>
  <si>
    <t>Gällivare kommun</t>
  </si>
  <si>
    <t>Kom2523</t>
  </si>
  <si>
    <t>Litoralis Naturvårdskonsult</t>
  </si>
  <si>
    <t>Litoralis</t>
  </si>
  <si>
    <t>Mörrums kronolaxfiske</t>
  </si>
  <si>
    <t>Mörrum</t>
  </si>
  <si>
    <t>Naturentreprenad Syd</t>
  </si>
  <si>
    <t>Natursyd</t>
  </si>
  <si>
    <t>Northland Resources SE</t>
  </si>
  <si>
    <t>Northland</t>
  </si>
  <si>
    <t>Lokala Naturskyddsföreningen</t>
  </si>
  <si>
    <t>Nsf</t>
  </si>
  <si>
    <t>Pelagia Nature &amp; Environment AB</t>
  </si>
  <si>
    <t>Perstorp Specialty Chemicals AB</t>
  </si>
  <si>
    <t>Ramböll</t>
  </si>
  <si>
    <t>Sportfiskeklubb</t>
  </si>
  <si>
    <t>Sfk</t>
  </si>
  <si>
    <t>SFM</t>
  </si>
  <si>
    <t>Svenska skifferoljebolaget</t>
  </si>
  <si>
    <t>Skiffer</t>
  </si>
  <si>
    <t>Skellefteå kraft</t>
  </si>
  <si>
    <t>Skkraft</t>
  </si>
  <si>
    <t>Skövde högskola</t>
  </si>
  <si>
    <t>Skola11</t>
  </si>
  <si>
    <t>Tornedalens folkhögskola</t>
  </si>
  <si>
    <t>Skola12</t>
  </si>
  <si>
    <t>Structor (konsult)</t>
  </si>
  <si>
    <t>Structor</t>
  </si>
  <si>
    <t>Sveaskog AB</t>
  </si>
  <si>
    <t>Sveaskog</t>
  </si>
  <si>
    <t>Stockholms universitet</t>
  </si>
  <si>
    <t>Unsthlm</t>
  </si>
  <si>
    <t>Umeå universitet</t>
  </si>
  <si>
    <t>UVAT AB</t>
  </si>
  <si>
    <t>UVAT</t>
  </si>
  <si>
    <t>Vankiva avfallsanläggning</t>
  </si>
  <si>
    <t>Vankiva</t>
  </si>
  <si>
    <t>Vattenfall AB</t>
  </si>
  <si>
    <t>Vattenfall</t>
  </si>
  <si>
    <t>Vattenmyndigheten Bottenviken</t>
  </si>
  <si>
    <t>VM1</t>
  </si>
  <si>
    <t>Vattenmyndigheten Bottenhavet</t>
  </si>
  <si>
    <t>VM2</t>
  </si>
  <si>
    <t>Vattenmyndigheten Norra Östersjön</t>
  </si>
  <si>
    <t>VM3</t>
  </si>
  <si>
    <t>Vattenmyndigheten Södra Östersjön</t>
  </si>
  <si>
    <t>VM4</t>
  </si>
  <si>
    <t>Vattenmyndigheten Västerhavet</t>
  </si>
  <si>
    <t>VM5</t>
  </si>
  <si>
    <t>Vattenregleringsföretagen</t>
  </si>
  <si>
    <t>VRF</t>
  </si>
  <si>
    <t>WSP</t>
  </si>
  <si>
    <t>Ätrans vattenvårdsförbund</t>
  </si>
  <si>
    <t>Vvf103</t>
  </si>
  <si>
    <t>Norra Ångermanlands vattenråd</t>
  </si>
  <si>
    <t>Vvf35</t>
  </si>
  <si>
    <t>Skräbeåns Vattenråd</t>
  </si>
  <si>
    <t>Vvf87</t>
  </si>
  <si>
    <t>Helgeåns Vattenråd</t>
  </si>
  <si>
    <t>Vvf88</t>
  </si>
  <si>
    <t>Österlens vattenråd</t>
  </si>
  <si>
    <t>Vvf8889</t>
  </si>
  <si>
    <t>Nybroåns vattenvårdsförbund</t>
  </si>
  <si>
    <t>Vvf89</t>
  </si>
  <si>
    <t>Vvf8990</t>
  </si>
  <si>
    <t>Segeåns Vattenråd</t>
  </si>
  <si>
    <t>Vvf90</t>
  </si>
  <si>
    <t>Höje å Vattenråd</t>
  </si>
  <si>
    <t>Vvf91</t>
  </si>
  <si>
    <t>Kävlingeåns Vattenråd</t>
  </si>
  <si>
    <t>Vvf92</t>
  </si>
  <si>
    <t>Vegeåns vattendragsförbund</t>
  </si>
  <si>
    <t>Vvf95</t>
  </si>
  <si>
    <t>Rönneåkommittén</t>
  </si>
  <si>
    <t>Vvf96</t>
  </si>
  <si>
    <t>Vattenrådet Vänerns sydöstra tillflöden</t>
  </si>
  <si>
    <t>Vvfvänsöt</t>
  </si>
  <si>
    <t>ÅF AB</t>
  </si>
  <si>
    <t>ÅFAB</t>
  </si>
  <si>
    <t>Åseby Elverk HB</t>
  </si>
  <si>
    <t>Åseby</t>
  </si>
  <si>
    <t>PROTVER</t>
  </si>
  <si>
    <t>Om ingen eller obetydlig påverkan (sätt ett kryss (X) i till höger  ---&gt;):</t>
  </si>
  <si>
    <r>
      <t xml:space="preserve">Vattendrag:                              </t>
    </r>
    <r>
      <rPr>
        <b/>
        <sz val="14"/>
        <color theme="0"/>
        <rFont val="Arial"/>
        <family val="2"/>
      </rPr>
      <t>.</t>
    </r>
    <r>
      <rPr>
        <b/>
        <sz val="14"/>
        <rFont val="Arial"/>
        <family val="2"/>
      </rPr>
      <t xml:space="preserve">                                  Koordinater:                                     </t>
    </r>
    <r>
      <rPr>
        <b/>
        <sz val="14"/>
        <color theme="0"/>
        <rFont val="Arial"/>
        <family val="2"/>
      </rPr>
      <t>.</t>
    </r>
    <r>
      <rPr>
        <b/>
        <sz val="14"/>
        <rFont val="Arial"/>
        <family val="2"/>
      </rPr>
      <t xml:space="preserve">                         Märkfärg:</t>
    </r>
  </si>
  <si>
    <r>
      <t xml:space="preserve">                                         </t>
    </r>
    <r>
      <rPr>
        <b/>
        <sz val="13"/>
        <rFont val="Arial"/>
        <family val="2"/>
      </rPr>
      <t xml:space="preserve"> </t>
    </r>
    <r>
      <rPr>
        <b/>
        <sz val="13"/>
        <color indexed="23"/>
        <rFont val="Arial"/>
        <family val="2"/>
      </rPr>
      <t>Datum återbesök</t>
    </r>
    <r>
      <rPr>
        <b/>
        <sz val="13"/>
        <color theme="0" tint="-0.499984740745262"/>
        <rFont val="Arial"/>
        <family val="2"/>
      </rPr>
      <t>:</t>
    </r>
    <r>
      <rPr>
        <b/>
        <sz val="14"/>
        <rFont val="Arial"/>
        <family val="2"/>
      </rPr>
      <t xml:space="preserve">  </t>
    </r>
    <r>
      <rPr>
        <b/>
        <sz val="14"/>
        <color indexed="9"/>
        <rFont val="Arial"/>
        <family val="2"/>
      </rPr>
      <t xml:space="preserve"> </t>
    </r>
    <r>
      <rPr>
        <b/>
        <sz val="14"/>
        <color theme="0"/>
        <rFont val="Arial"/>
        <family val="2"/>
      </rPr>
      <t>.</t>
    </r>
    <r>
      <rPr>
        <b/>
        <sz val="14"/>
        <rFont val="Arial"/>
        <family val="2"/>
      </rPr>
      <t xml:space="preserve">                                                        Lokal:                        Lokallängd (m):   </t>
    </r>
  </si>
  <si>
    <r>
      <t xml:space="preserve">Datum:                  </t>
    </r>
    <r>
      <rPr>
        <b/>
        <sz val="14"/>
        <color theme="0"/>
        <rFont val="Arial"/>
        <family val="2"/>
      </rPr>
      <t>.</t>
    </r>
    <r>
      <rPr>
        <b/>
        <sz val="14"/>
        <rFont val="Arial"/>
        <family val="2"/>
      </rPr>
      <t xml:space="preserve"> </t>
    </r>
    <r>
      <rPr>
        <b/>
        <sz val="9"/>
        <rFont val="Arial"/>
        <family val="2"/>
      </rPr>
      <t>(när skissen ritades)</t>
    </r>
  </si>
  <si>
    <t>Lista_lövskog</t>
  </si>
  <si>
    <t>Lista_barrskog</t>
  </si>
  <si>
    <t>Lista_blandskog</t>
  </si>
  <si>
    <t>Lista_hygge</t>
  </si>
  <si>
    <t>Lista_åker</t>
  </si>
  <si>
    <t>Lista_äng</t>
  </si>
  <si>
    <t>Lista_hed</t>
  </si>
  <si>
    <t>Lista_myr</t>
  </si>
  <si>
    <t>Lista_kalfjäll</t>
  </si>
  <si>
    <t>Lista_berg_block</t>
  </si>
  <si>
    <t>Lista_artificiell</t>
  </si>
  <si>
    <t>Lista_D_finsed</t>
  </si>
  <si>
    <t>Lista_D_sand</t>
  </si>
  <si>
    <t>Lista_D_grus</t>
  </si>
  <si>
    <t>Lista_D_sten1</t>
  </si>
  <si>
    <t>Lista_D_sten2</t>
  </si>
  <si>
    <t>Lista_D_block1</t>
  </si>
  <si>
    <t>Lista_D_block2</t>
  </si>
  <si>
    <t>Lista_D_block3</t>
  </si>
  <si>
    <t>Lista_D_häll</t>
  </si>
  <si>
    <t>Lista_F_finsed</t>
  </si>
  <si>
    <t>Lista_F_sand</t>
  </si>
  <si>
    <t>Lista_F_grus</t>
  </si>
  <si>
    <t>Lista_F_sten1</t>
  </si>
  <si>
    <t>Lista_F_sten2</t>
  </si>
  <si>
    <t>Lista_F_block1</t>
  </si>
  <si>
    <t>Lista_F_block2</t>
  </si>
  <si>
    <t>Lista_F_block3</t>
  </si>
  <si>
    <t>Lista_F_häll</t>
  </si>
  <si>
    <t>Lista_D_öv.växt</t>
  </si>
  <si>
    <t>Lista_D_flytbl</t>
  </si>
  <si>
    <t>Lista_D_slinge</t>
  </si>
  <si>
    <t>Lista_D_rosett</t>
  </si>
  <si>
    <t>Lista_D_mossa</t>
  </si>
  <si>
    <t>Lista_D_påv.alg</t>
  </si>
  <si>
    <t>Lista_F_öv.växt</t>
  </si>
  <si>
    <t>Lista_F_flytbl</t>
  </si>
  <si>
    <t>Lista_F_slinge</t>
  </si>
  <si>
    <t>Lista_F_rosett</t>
  </si>
  <si>
    <t>Lista_F_mossa</t>
  </si>
  <si>
    <t>Lista_F_påv.alg</t>
  </si>
  <si>
    <t>Lista_Metod</t>
  </si>
  <si>
    <t>Lista_grumlig</t>
  </si>
  <si>
    <t>Lista_vattenfärg</t>
  </si>
  <si>
    <t>Lista_vattenhastighet</t>
  </si>
  <si>
    <t>Lista_vattennivå</t>
  </si>
  <si>
    <t>Lista_bottentopografi</t>
  </si>
  <si>
    <t>Lista_vandringhinder</t>
  </si>
  <si>
    <t>Lista_beskuggning</t>
  </si>
  <si>
    <t>Lista_påverkan</t>
  </si>
  <si>
    <t>X</t>
  </si>
  <si>
    <t>Lista_kalkpåverkan</t>
  </si>
  <si>
    <t>Lista_Ström_vandrande</t>
  </si>
  <si>
    <t>Lista_X</t>
  </si>
  <si>
    <t>Lista_Aggregat</t>
  </si>
  <si>
    <t>Lista_typ_aggregat</t>
  </si>
  <si>
    <t>Lista_aro</t>
  </si>
  <si>
    <t>Lista_sjöprocent</t>
  </si>
  <si>
    <t>Lista_inga_hinder</t>
  </si>
  <si>
    <t>Lista_uppväxtbiotop</t>
  </si>
  <si>
    <t>Lista_Kalkningstyp</t>
  </si>
  <si>
    <t>Lista_ingen_påverkan</t>
  </si>
  <si>
    <t>Lugab</t>
  </si>
  <si>
    <t>Smith-R</t>
  </si>
  <si>
    <t>H.Grassl</t>
  </si>
  <si>
    <t>Fa 4</t>
  </si>
  <si>
    <t>Terik</t>
  </si>
  <si>
    <t>Biowave</t>
  </si>
  <si>
    <t>Bosch</t>
  </si>
  <si>
    <t>Edman</t>
  </si>
  <si>
    <t>Efs 1200</t>
  </si>
  <si>
    <t>Efs-3</t>
  </si>
  <si>
    <t>Fa 2</t>
  </si>
  <si>
    <t>Fa 3</t>
  </si>
  <si>
    <t>Geomega</t>
  </si>
  <si>
    <t>Gyllenst</t>
  </si>
  <si>
    <t>Poulsen</t>
  </si>
  <si>
    <t>SE300</t>
  </si>
  <si>
    <t>Sundströ</t>
  </si>
  <si>
    <t>Ale kommun</t>
  </si>
  <si>
    <t>Kom1440</t>
  </si>
  <si>
    <t>Bengtsfors kommun</t>
  </si>
  <si>
    <t>Kom1460</t>
  </si>
  <si>
    <t>Bergvik Skog</t>
  </si>
  <si>
    <t>Bergvik</t>
  </si>
  <si>
    <t>Borealis AB</t>
  </si>
  <si>
    <t>Borås Energi och Miljö</t>
  </si>
  <si>
    <t>Brännebro kraft</t>
  </si>
  <si>
    <t>Brännebro</t>
  </si>
  <si>
    <t>Dalälvens vattenvårdsförening</t>
  </si>
  <si>
    <t>Vvf53</t>
  </si>
  <si>
    <t>Dorotea kommun</t>
  </si>
  <si>
    <t>Kom2425</t>
  </si>
  <si>
    <t>Eklövs Fiske och Fiskevård</t>
  </si>
  <si>
    <t>Eklövs</t>
  </si>
  <si>
    <t>Ekoll AB</t>
  </si>
  <si>
    <t>Ekoll</t>
  </si>
  <si>
    <t>Enviro Planning AB</t>
  </si>
  <si>
    <t>Envplan</t>
  </si>
  <si>
    <t>Falkenbergs kommun</t>
  </si>
  <si>
    <t>Kom1382</t>
  </si>
  <si>
    <t>Fiskenämnden i Västernorrlands län</t>
  </si>
  <si>
    <t>Fn22</t>
  </si>
  <si>
    <t>Fiskmiljö i Nilivaara</t>
  </si>
  <si>
    <t>Fiskmiljö</t>
  </si>
  <si>
    <t>Garphyttans Kraft AB</t>
  </si>
  <si>
    <t>Garphytt</t>
  </si>
  <si>
    <t>Gränsfors Bruk AB</t>
  </si>
  <si>
    <t>Gränsfors</t>
  </si>
  <si>
    <t>Gullmarns vattenråd</t>
  </si>
  <si>
    <t>Gullmarn</t>
  </si>
  <si>
    <t>Gullspångsälvens vattenvårdsförbund</t>
  </si>
  <si>
    <t>Vvf108_44</t>
  </si>
  <si>
    <t>Göteborgs kommun</t>
  </si>
  <si>
    <t>Kom1480</t>
  </si>
  <si>
    <t>Höganäs kommun</t>
  </si>
  <si>
    <t>Kom1284</t>
  </si>
  <si>
    <t>Jönköpings Fiskeribiologi AB</t>
  </si>
  <si>
    <t>jfb</t>
  </si>
  <si>
    <t>Kalix kommun</t>
  </si>
  <si>
    <t>Kom2514</t>
  </si>
  <si>
    <t>Karlshamns kommun</t>
  </si>
  <si>
    <t>Kom1082</t>
  </si>
  <si>
    <t>Karlskrona kommun</t>
  </si>
  <si>
    <t>Kom1080</t>
  </si>
  <si>
    <t>Karlstad kommun</t>
  </si>
  <si>
    <t>Kom1780</t>
  </si>
  <si>
    <t>Karlstad universitet</t>
  </si>
  <si>
    <t>Kaunis Iron AB</t>
  </si>
  <si>
    <t>Kaunis</t>
  </si>
  <si>
    <t>Kindatf</t>
  </si>
  <si>
    <t>Klara Vatten Sverige AB</t>
  </si>
  <si>
    <t>Klara</t>
  </si>
  <si>
    <t>Klarälvens Vattenråd</t>
  </si>
  <si>
    <t>VR_Klarälv</t>
  </si>
  <si>
    <t>Kristinehamns kommun</t>
  </si>
  <si>
    <t>Kom1781</t>
  </si>
  <si>
    <t>Kungsbacka kommun</t>
  </si>
  <si>
    <t>Kom1384</t>
  </si>
  <si>
    <t>Landskrona kommun</t>
  </si>
  <si>
    <t>Kom1282</t>
  </si>
  <si>
    <t>Lerum kommun</t>
  </si>
  <si>
    <t>Kom1441</t>
  </si>
  <si>
    <t>Lessebo kommun</t>
  </si>
  <si>
    <t>Kom0761</t>
  </si>
  <si>
    <t>LimnoIT</t>
  </si>
  <si>
    <t>Linköpings universitet</t>
  </si>
  <si>
    <t>Unlin</t>
  </si>
  <si>
    <t>Ljusdal energi</t>
  </si>
  <si>
    <t>Luleå kommun</t>
  </si>
  <si>
    <t>Kom2580</t>
  </si>
  <si>
    <t>Mariestad kommun</t>
  </si>
  <si>
    <t>Kom1493</t>
  </si>
  <si>
    <t>Mark kommun</t>
  </si>
  <si>
    <t>Kom1463</t>
  </si>
  <si>
    <t>Marströmmens Vattenråd</t>
  </si>
  <si>
    <t>Vr072</t>
  </si>
  <si>
    <t>Medins Havs- och Vattenkonsulter AB</t>
  </si>
  <si>
    <t>Munkfors energi</t>
  </si>
  <si>
    <t>Mölndals kommun</t>
  </si>
  <si>
    <t>Kom1481</t>
  </si>
  <si>
    <t>Naturcentrum AB</t>
  </si>
  <si>
    <t>Naturcentr</t>
  </si>
  <si>
    <t>Naturskyddsföreningen, Örebro</t>
  </si>
  <si>
    <t>Nf3</t>
  </si>
  <si>
    <t>Nordic Paper</t>
  </si>
  <si>
    <t>Nordpaper</t>
  </si>
  <si>
    <t>Ockelbo kommun</t>
  </si>
  <si>
    <t>Kom2101</t>
  </si>
  <si>
    <t>Orust kommun</t>
  </si>
  <si>
    <t>Kom1421</t>
  </si>
  <si>
    <t>Oxunda vattensamverkan</t>
  </si>
  <si>
    <t>Partille kommun</t>
  </si>
  <si>
    <t>Kom1402</t>
  </si>
  <si>
    <t>Projekt Retrout (fiskeområde Vindelälven)</t>
  </si>
  <si>
    <t>Retrout</t>
  </si>
  <si>
    <t>Ramböll Sverige AB</t>
  </si>
  <si>
    <t>Ringsjöns vattenråd</t>
  </si>
  <si>
    <t>Ringsjövr</t>
  </si>
  <si>
    <t>Samfällighetsföreningen</t>
  </si>
  <si>
    <t>Samfäll</t>
  </si>
  <si>
    <t>Serneke Group AB</t>
  </si>
  <si>
    <t>Serneke</t>
  </si>
  <si>
    <t>Skanska Asfalt &amp; Betong</t>
  </si>
  <si>
    <t>Skanska</t>
  </si>
  <si>
    <t>Skivarpsån och Dybäcksån vattendragsförbund</t>
  </si>
  <si>
    <t>Solna stad</t>
  </si>
  <si>
    <t>Kom0184</t>
  </si>
  <si>
    <t>StoraEnso</t>
  </si>
  <si>
    <t>Sundbybergs kommun</t>
  </si>
  <si>
    <t>Kom0183</t>
  </si>
  <si>
    <t>Svenljunga kommun</t>
  </si>
  <si>
    <t>Kom1465</t>
  </si>
  <si>
    <t>Sydostleader (landsbygdsutveckling)</t>
  </si>
  <si>
    <t>Sydostlead</t>
  </si>
  <si>
    <t>Södertälje kommun</t>
  </si>
  <si>
    <t>Kom0181</t>
  </si>
  <si>
    <t>Talga Graphene AB</t>
  </si>
  <si>
    <t>Talga</t>
  </si>
  <si>
    <t>Tanums kommun</t>
  </si>
  <si>
    <t>Kom1435</t>
  </si>
  <si>
    <t>Tranås Energi AB</t>
  </si>
  <si>
    <t>Traenergi</t>
  </si>
  <si>
    <t>Trosaåns vattenvårdsförbund</t>
  </si>
  <si>
    <t>Vvf63</t>
  </si>
  <si>
    <t>Tyresåns vattenvårdsförbund</t>
  </si>
  <si>
    <t>Vvf62</t>
  </si>
  <si>
    <t>Uddevalla kommun</t>
  </si>
  <si>
    <t>Kom1485</t>
  </si>
  <si>
    <t>Upplands-Väsby kommun</t>
  </si>
  <si>
    <t>Kom0114</t>
  </si>
  <si>
    <t>Valdemarsvik kommun</t>
  </si>
  <si>
    <t>Kom0563</t>
  </si>
  <si>
    <t>Veolia Sverige AB</t>
  </si>
  <si>
    <t>WSP Sverige</t>
  </si>
  <si>
    <t>Zinkgruvan Mining</t>
  </si>
  <si>
    <t>Zinkgruvan</t>
  </si>
  <si>
    <t>Åmåls Kommun</t>
  </si>
  <si>
    <t>Kom1492</t>
  </si>
  <si>
    <t>Åsele kommun</t>
  </si>
  <si>
    <t>Kom2463</t>
  </si>
  <si>
    <t>Örnsköldsviks energi</t>
  </si>
  <si>
    <t>Övikenergi</t>
  </si>
  <si>
    <t>Överkalix kommun</t>
  </si>
  <si>
    <t>Kom2513</t>
  </si>
  <si>
    <t>FVP</t>
  </si>
  <si>
    <t>GRIP</t>
  </si>
  <si>
    <t>LONA</t>
  </si>
  <si>
    <t>LOVA</t>
  </si>
  <si>
    <t>METODUTV</t>
  </si>
  <si>
    <t>NÖ-LAX</t>
  </si>
  <si>
    <t>NÖ-ÅL</t>
  </si>
  <si>
    <t>VDUPPF</t>
  </si>
  <si>
    <t>Efter avslutat fiske mottages tacksamt kopia på elfiskeprotokollet.</t>
  </si>
  <si>
    <t xml:space="preserve">Elfiskeprotokollen skickas med fördel till vår e-post. Alternativt </t>
  </si>
  <si>
    <t>kan ett USB-minne med elfiskeprotokoll skickas till vår postadress.</t>
  </si>
  <si>
    <t>SLU, Sötvattenslaboratoriet, Elfiskeregistret,</t>
  </si>
  <si>
    <t>Stångholmsvägen 2, 178 93 Drottningholm</t>
  </si>
  <si>
    <t>e-post SERS@slu.se</t>
  </si>
  <si>
    <t>tele: 010-478 42 82</t>
  </si>
  <si>
    <t>NÖ-HAVSÖR</t>
  </si>
  <si>
    <t>Vet ej</t>
  </si>
  <si>
    <t>NAP</t>
  </si>
  <si>
    <t>Lista_Ny_lokal</t>
  </si>
  <si>
    <t>NYLOKAL</t>
  </si>
  <si>
    <t>NY LOKAL</t>
  </si>
  <si>
    <t>DCF</t>
  </si>
  <si>
    <t>Protokollversion: 2020-06-26</t>
  </si>
  <si>
    <t>Törlan</t>
  </si>
  <si>
    <t>Ovan bro mot Borrås</t>
  </si>
  <si>
    <t>2020-08-19</t>
  </si>
  <si>
    <t>Lats-Göran Pärlklint</t>
  </si>
  <si>
    <t>Tur vattenråd Falkenberg</t>
  </si>
  <si>
    <t>0708-984783</t>
  </si>
  <si>
    <t>D1</t>
  </si>
  <si>
    <t>D2</t>
  </si>
  <si>
    <t>D3</t>
  </si>
  <si>
    <t>Ingen fisk fångad i första fisket, därav inga mera fisken.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</si>
</sst>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kr&quot;_-;\-* #,##0\ &quot;kr&quot;_-;_-* &quot;-&quot;\ &quot;kr&quot;_-;_-@_-"/>
    <numFmt numFmtId="164" formatCode="_-* #,##0\ _k_r_-;\-* #,##0\ _k_r_-;_-* &quot;-&quot;\ _k_r_-;_-@_-"/>
    <numFmt numFmtId="165" formatCode="0.000"/>
    <numFmt numFmtId="166" formatCode="0.0"/>
    <numFmt numFmtId="167" formatCode="#,##0.0"/>
  </numFmts>
  <fonts count="102" x14ac:knownFonts="1">
    <font>
      <sz val="10"/>
      <name val="Arial"/>
    </font>
    <font>
      <sz val="10"/>
      <name val="Arial"/>
      <family val="2"/>
    </font>
    <font>
      <vertAlign val="superscript"/>
      <sz val="10"/>
      <name val="Arial"/>
      <family val="2"/>
    </font>
    <font>
      <b/>
      <sz val="10"/>
      <name val="Arial"/>
      <family val="2"/>
    </font>
    <font>
      <sz val="10"/>
      <name val="Arial"/>
      <family val="2"/>
    </font>
    <font>
      <b/>
      <sz val="12"/>
      <name val="Arial"/>
      <family val="2"/>
    </font>
    <font>
      <b/>
      <sz val="11"/>
      <name val="Arial"/>
      <family val="2"/>
    </font>
    <font>
      <sz val="11"/>
      <name val="Arial"/>
      <family val="2"/>
    </font>
    <font>
      <b/>
      <sz val="9"/>
      <name val="Arial"/>
      <family val="2"/>
    </font>
    <font>
      <sz val="9"/>
      <name val="Arial"/>
      <family val="2"/>
    </font>
    <font>
      <i/>
      <sz val="9"/>
      <name val="Arial"/>
      <family val="2"/>
    </font>
    <font>
      <b/>
      <sz val="8"/>
      <name val="Arial"/>
      <family val="2"/>
    </font>
    <font>
      <sz val="8"/>
      <name val="Arial"/>
      <family val="2"/>
    </font>
    <font>
      <u/>
      <sz val="8"/>
      <name val="Arial"/>
      <family val="2"/>
    </font>
    <font>
      <i/>
      <u/>
      <sz val="8"/>
      <name val="Arial"/>
      <family val="2"/>
    </font>
    <font>
      <b/>
      <sz val="9"/>
      <color indexed="12"/>
      <name val="Arial"/>
      <family val="2"/>
    </font>
    <font>
      <b/>
      <sz val="8"/>
      <color indexed="81"/>
      <name val="Tahoma"/>
      <family val="2"/>
    </font>
    <font>
      <b/>
      <sz val="10"/>
      <color indexed="12"/>
      <name val="Arial"/>
      <family val="2"/>
    </font>
    <font>
      <b/>
      <sz val="8"/>
      <color indexed="12"/>
      <name val="Tahoma"/>
      <family val="2"/>
    </font>
    <font>
      <sz val="10"/>
      <color indexed="12"/>
      <name val="Arial"/>
      <family val="2"/>
    </font>
    <font>
      <b/>
      <sz val="8"/>
      <color indexed="12"/>
      <name val="Arial"/>
      <family val="2"/>
    </font>
    <font>
      <b/>
      <sz val="10"/>
      <color indexed="9"/>
      <name val="Arial"/>
      <family val="2"/>
    </font>
    <font>
      <b/>
      <vertAlign val="superscript"/>
      <sz val="8"/>
      <color indexed="81"/>
      <name val="Tahoma"/>
      <family val="2"/>
    </font>
    <font>
      <b/>
      <sz val="14"/>
      <name val="Arial"/>
      <family val="2"/>
    </font>
    <font>
      <sz val="12"/>
      <name val="Arial"/>
      <family val="2"/>
    </font>
    <font>
      <b/>
      <vertAlign val="superscript"/>
      <sz val="8"/>
      <name val="Arial"/>
      <family val="2"/>
    </font>
    <font>
      <sz val="9"/>
      <name val="Arial Narrow"/>
      <family val="2"/>
    </font>
    <font>
      <sz val="10"/>
      <name val="Arial Narrow"/>
      <family val="2"/>
    </font>
    <font>
      <i/>
      <sz val="10"/>
      <name val="Arial"/>
      <family val="2"/>
    </font>
    <font>
      <sz val="8"/>
      <color indexed="81"/>
      <name val="Tahoma"/>
      <family val="2"/>
    </font>
    <font>
      <b/>
      <sz val="8"/>
      <color indexed="40"/>
      <name val="Tahoma"/>
      <family val="2"/>
    </font>
    <font>
      <b/>
      <vertAlign val="superscript"/>
      <sz val="10"/>
      <name val="Arial"/>
      <family val="2"/>
    </font>
    <font>
      <b/>
      <sz val="12"/>
      <color indexed="12"/>
      <name val="Arial"/>
      <family val="2"/>
    </font>
    <font>
      <sz val="14"/>
      <name val="Arial"/>
      <family val="2"/>
    </font>
    <font>
      <b/>
      <sz val="11"/>
      <name val="Arial Narrow"/>
      <family val="2"/>
    </font>
    <font>
      <sz val="8"/>
      <name val="Arial Narrow"/>
      <family val="2"/>
    </font>
    <font>
      <sz val="11"/>
      <name val="Arial Narrow"/>
      <family val="2"/>
    </font>
    <font>
      <b/>
      <u/>
      <sz val="8"/>
      <color indexed="81"/>
      <name val="Tahoma"/>
      <family val="2"/>
    </font>
    <font>
      <b/>
      <sz val="10"/>
      <color indexed="12"/>
      <name val="Arial Narrow"/>
      <family val="2"/>
    </font>
    <font>
      <b/>
      <sz val="12"/>
      <name val="Arial Narrow"/>
      <family val="2"/>
    </font>
    <font>
      <sz val="10"/>
      <color indexed="9"/>
      <name val="Arial"/>
      <family val="2"/>
    </font>
    <font>
      <b/>
      <sz val="7"/>
      <color indexed="12"/>
      <name val="Arial"/>
      <family val="2"/>
    </font>
    <font>
      <sz val="7"/>
      <color indexed="12"/>
      <name val="Arial"/>
      <family val="2"/>
    </font>
    <font>
      <b/>
      <sz val="10"/>
      <name val="Arial Narrow"/>
      <family val="2"/>
    </font>
    <font>
      <sz val="7"/>
      <name val="Arial"/>
      <family val="2"/>
    </font>
    <font>
      <b/>
      <u/>
      <sz val="16"/>
      <name val="Arial"/>
      <family val="2"/>
    </font>
    <font>
      <b/>
      <u/>
      <sz val="14"/>
      <name val="Arial"/>
      <family val="2"/>
    </font>
    <font>
      <sz val="8"/>
      <color indexed="9"/>
      <name val="Arial"/>
      <family val="2"/>
    </font>
    <font>
      <b/>
      <sz val="12"/>
      <color indexed="81"/>
      <name val="Tahoma"/>
      <family val="2"/>
    </font>
    <font>
      <b/>
      <sz val="12"/>
      <color indexed="12"/>
      <name val="Tahoma"/>
      <family val="2"/>
    </font>
    <font>
      <i/>
      <vertAlign val="superscript"/>
      <sz val="9"/>
      <name val="Arial"/>
      <family val="2"/>
    </font>
    <font>
      <i/>
      <vertAlign val="superscript"/>
      <sz val="10"/>
      <name val="Arial"/>
      <family val="2"/>
    </font>
    <font>
      <b/>
      <i/>
      <sz val="10"/>
      <name val="Arial"/>
      <family val="2"/>
    </font>
    <font>
      <b/>
      <i/>
      <sz val="9"/>
      <name val="Arial"/>
      <family val="2"/>
    </font>
    <font>
      <b/>
      <sz val="10"/>
      <color indexed="81"/>
      <name val="Tahoma"/>
      <family val="2"/>
    </font>
    <font>
      <b/>
      <sz val="10"/>
      <color indexed="12"/>
      <name val="Tahoma"/>
      <family val="2"/>
    </font>
    <font>
      <sz val="12"/>
      <name val="Arial"/>
      <family val="2"/>
    </font>
    <font>
      <sz val="8"/>
      <name val="Arial"/>
      <family val="2"/>
    </font>
    <font>
      <b/>
      <sz val="8"/>
      <color indexed="9"/>
      <name val="Arial"/>
      <family val="2"/>
    </font>
    <font>
      <b/>
      <sz val="12"/>
      <color indexed="9"/>
      <name val="Arial"/>
      <family val="2"/>
    </font>
    <font>
      <b/>
      <sz val="12"/>
      <name val="Arial"/>
      <family val="2"/>
    </font>
    <font>
      <b/>
      <sz val="12"/>
      <color indexed="10"/>
      <name val="Tahoma"/>
      <family val="2"/>
    </font>
    <font>
      <b/>
      <sz val="12"/>
      <color indexed="20"/>
      <name val="Tahoma"/>
      <family val="2"/>
    </font>
    <font>
      <b/>
      <sz val="14"/>
      <color indexed="81"/>
      <name val="Tahoma"/>
      <family val="2"/>
    </font>
    <font>
      <b/>
      <sz val="14"/>
      <color indexed="12"/>
      <name val="Tahoma"/>
      <family val="2"/>
    </font>
    <font>
      <b/>
      <sz val="13"/>
      <name val="Arial"/>
      <family val="2"/>
    </font>
    <font>
      <b/>
      <vertAlign val="superscript"/>
      <sz val="8"/>
      <color indexed="12"/>
      <name val="Tahoma"/>
      <family val="2"/>
    </font>
    <font>
      <b/>
      <sz val="9"/>
      <color indexed="81"/>
      <name val="Tahoma"/>
      <family val="2"/>
    </font>
    <font>
      <b/>
      <sz val="9"/>
      <color indexed="12"/>
      <name val="Tahoma"/>
      <family val="2"/>
    </font>
    <font>
      <b/>
      <sz val="9"/>
      <color indexed="49"/>
      <name val="Tahoma"/>
      <family val="2"/>
    </font>
    <font>
      <b/>
      <sz val="9"/>
      <color indexed="10"/>
      <name val="Tahoma"/>
      <family val="2"/>
    </font>
    <font>
      <b/>
      <u/>
      <sz val="10"/>
      <name val="Arial"/>
      <family val="2"/>
    </font>
    <font>
      <b/>
      <sz val="10"/>
      <color indexed="10"/>
      <name val="Arial"/>
      <family val="2"/>
    </font>
    <font>
      <b/>
      <sz val="9"/>
      <color indexed="39"/>
      <name val="Tahoma"/>
      <family val="2"/>
    </font>
    <font>
      <b/>
      <u/>
      <sz val="9"/>
      <color indexed="39"/>
      <name val="Tahoma"/>
      <family val="2"/>
    </font>
    <font>
      <b/>
      <i/>
      <sz val="9"/>
      <color indexed="23"/>
      <name val="Tahoma"/>
      <family val="2"/>
    </font>
    <font>
      <b/>
      <vertAlign val="superscript"/>
      <sz val="9"/>
      <color indexed="81"/>
      <name val="Tahoma"/>
      <family val="2"/>
    </font>
    <font>
      <b/>
      <sz val="11"/>
      <color indexed="9"/>
      <name val="Arial Narrow"/>
      <family val="2"/>
    </font>
    <font>
      <b/>
      <sz val="11"/>
      <color indexed="23"/>
      <name val="Arial Narrow"/>
      <family val="2"/>
    </font>
    <font>
      <b/>
      <sz val="13"/>
      <color indexed="23"/>
      <name val="Arial"/>
      <family val="2"/>
    </font>
    <font>
      <b/>
      <sz val="14"/>
      <color indexed="9"/>
      <name val="Arial"/>
      <family val="2"/>
    </font>
    <font>
      <b/>
      <sz val="14"/>
      <color indexed="23"/>
      <name val="Arial"/>
      <family val="2"/>
    </font>
    <font>
      <b/>
      <sz val="11"/>
      <color indexed="23"/>
      <name val="Arial"/>
      <family val="2"/>
    </font>
    <font>
      <b/>
      <i/>
      <sz val="11"/>
      <color indexed="22"/>
      <name val="Arial Narrow"/>
      <family val="2"/>
    </font>
    <font>
      <b/>
      <sz val="26"/>
      <name val="Arial"/>
      <family val="2"/>
    </font>
    <font>
      <b/>
      <vertAlign val="superscript"/>
      <sz val="10"/>
      <color indexed="8"/>
      <name val="Arial"/>
      <family val="2"/>
    </font>
    <font>
      <sz val="10"/>
      <color theme="4"/>
      <name val="Arial"/>
      <family val="2"/>
    </font>
    <font>
      <b/>
      <u/>
      <sz val="10"/>
      <color rgb="FF0000FF"/>
      <name val="Arial"/>
      <family val="2"/>
    </font>
    <font>
      <sz val="10"/>
      <color theme="0"/>
      <name val="Arial"/>
      <family val="2"/>
    </font>
    <font>
      <b/>
      <sz val="12"/>
      <color rgb="FFFF0000"/>
      <name val="Arial"/>
      <family val="2"/>
    </font>
    <font>
      <b/>
      <sz val="10"/>
      <color rgb="FF0000FF"/>
      <name val="Arial"/>
      <family val="2"/>
    </font>
    <font>
      <b/>
      <sz val="10"/>
      <color rgb="FFFF0000"/>
      <name val="Arial"/>
      <family val="2"/>
    </font>
    <font>
      <sz val="10"/>
      <color rgb="FFFF0000"/>
      <name val="Arial"/>
      <family val="2"/>
    </font>
    <font>
      <b/>
      <sz val="10"/>
      <color theme="0"/>
      <name val="Arial"/>
      <family val="2"/>
    </font>
    <font>
      <sz val="10"/>
      <color rgb="FF00B0F0"/>
      <name val="Arial"/>
      <family val="2"/>
    </font>
    <font>
      <sz val="9"/>
      <color theme="1"/>
      <name val="Arial"/>
      <family val="2"/>
    </font>
    <font>
      <b/>
      <sz val="10"/>
      <color theme="1"/>
      <name val="Arial"/>
      <family val="2"/>
    </font>
    <font>
      <sz val="10"/>
      <color theme="1"/>
      <name val="Arial"/>
      <family val="2"/>
    </font>
    <font>
      <b/>
      <sz val="11"/>
      <color theme="0" tint="-0.499984740745262"/>
      <name val="Arial Narrow"/>
      <family val="2"/>
    </font>
    <font>
      <b/>
      <sz val="14"/>
      <color theme="0" tint="-0.499984740745262"/>
      <name val="Arial"/>
      <family val="2"/>
    </font>
    <font>
      <b/>
      <sz val="14"/>
      <color theme="0"/>
      <name val="Arial"/>
      <family val="2"/>
    </font>
    <font>
      <b/>
      <sz val="13"/>
      <color theme="0" tint="-0.499984740745262"/>
      <name val="Arial"/>
      <family val="2"/>
    </font>
  </fonts>
  <fills count="4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52"/>
        <bgColor indexed="64"/>
      </patternFill>
    </fill>
    <fill>
      <patternFill patternType="solid">
        <fgColor indexed="50"/>
        <bgColor indexed="64"/>
      </patternFill>
    </fill>
    <fill>
      <patternFill patternType="solid">
        <fgColor indexed="19"/>
        <bgColor indexed="64"/>
      </patternFill>
    </fill>
    <fill>
      <patternFill patternType="solid">
        <fgColor indexed="43"/>
        <bgColor indexed="64"/>
      </patternFill>
    </fill>
    <fill>
      <patternFill patternType="solid">
        <fgColor rgb="FF00B050"/>
        <bgColor indexed="64"/>
      </patternFill>
    </fill>
    <fill>
      <patternFill patternType="solid">
        <fgColor rgb="FFCCFFFF"/>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8"/>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92D050"/>
        <bgColor indexed="64"/>
      </patternFill>
    </fill>
    <fill>
      <patternFill patternType="solid">
        <fgColor theme="2" tint="-0.249977111117893"/>
        <bgColor indexed="64"/>
      </patternFill>
    </fill>
    <fill>
      <patternFill patternType="solid">
        <fgColor rgb="FFFFC000"/>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rgb="FFFFFF00"/>
        <bgColor indexed="64"/>
      </patternFill>
    </fill>
    <fill>
      <patternFill patternType="darkUp">
        <fgColor theme="0" tint="-0.14996795556505021"/>
        <bgColor rgb="FFCCFFFF"/>
      </patternFill>
    </fill>
    <fill>
      <patternFill patternType="solid">
        <fgColor rgb="FFCDFFFF"/>
        <bgColor indexed="64"/>
      </patternFill>
    </fill>
    <fill>
      <patternFill patternType="darkUp">
        <fgColor theme="0"/>
        <bgColor rgb="FFCDFFFF"/>
      </patternFill>
    </fill>
    <fill>
      <patternFill patternType="solid">
        <fgColor theme="4" tint="0.7999816888943144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darkUp">
        <fgColor theme="0"/>
        <bgColor indexed="41"/>
      </patternFill>
    </fill>
    <fill>
      <patternFill patternType="darkUp">
        <fgColor theme="0"/>
        <bgColor rgb="FFCCFFFF"/>
      </patternFill>
    </fill>
  </fills>
  <borders count="115">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dashed">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style="thin">
        <color indexed="64"/>
      </bottom>
      <diagonal/>
    </border>
    <border>
      <left/>
      <right/>
      <top style="double">
        <color indexed="64"/>
      </top>
      <bottom/>
      <diagonal/>
    </border>
    <border>
      <left/>
      <right style="double">
        <color indexed="64"/>
      </right>
      <top/>
      <bottom/>
      <diagonal/>
    </border>
    <border>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style="double">
        <color indexed="64"/>
      </left>
      <right/>
      <top/>
      <bottom/>
      <diagonal/>
    </border>
    <border>
      <left/>
      <right/>
      <top style="double">
        <color indexed="64"/>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style="thin">
        <color indexed="64"/>
      </right>
      <top/>
      <bottom style="double">
        <color indexed="64"/>
      </bottom>
      <diagonal/>
    </border>
    <border>
      <left/>
      <right style="double">
        <color indexed="64"/>
      </right>
      <top style="double">
        <color indexed="64"/>
      </top>
      <bottom/>
      <diagonal/>
    </border>
    <border>
      <left/>
      <right/>
      <top style="thin">
        <color indexed="64"/>
      </top>
      <bottom/>
      <diagonal/>
    </border>
    <border>
      <left/>
      <right style="double">
        <color indexed="64"/>
      </right>
      <top style="thin">
        <color indexed="64"/>
      </top>
      <bottom/>
      <diagonal/>
    </border>
    <border>
      <left/>
      <right style="double">
        <color indexed="64"/>
      </right>
      <top/>
      <bottom style="double">
        <color indexed="64"/>
      </bottom>
      <diagonal/>
    </border>
    <border>
      <left/>
      <right/>
      <top style="hair">
        <color indexed="64"/>
      </top>
      <bottom/>
      <diagonal/>
    </border>
    <border>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top/>
      <bottom style="hair">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ouble">
        <color indexed="64"/>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uble">
        <color indexed="64"/>
      </top>
      <bottom style="double">
        <color indexed="64"/>
      </bottom>
      <diagonal/>
    </border>
    <border>
      <left/>
      <right style="thin">
        <color indexed="64"/>
      </right>
      <top style="medium">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bottom style="medium">
        <color indexed="64"/>
      </bottom>
      <diagonal/>
    </border>
    <border>
      <left style="double">
        <color indexed="64"/>
      </left>
      <right/>
      <top/>
      <bottom style="thin">
        <color indexed="64"/>
      </bottom>
      <diagonal/>
    </border>
    <border>
      <left style="double">
        <color indexed="64"/>
      </left>
      <right/>
      <top style="medium">
        <color indexed="64"/>
      </top>
      <bottom style="thin">
        <color indexed="64"/>
      </bottom>
      <diagonal/>
    </border>
    <border>
      <left style="double">
        <color indexed="64"/>
      </left>
      <right/>
      <top style="double">
        <color indexed="64"/>
      </top>
      <bottom style="double">
        <color indexed="64"/>
      </bottom>
      <diagonal/>
    </border>
    <border>
      <left/>
      <right style="thin">
        <color indexed="64"/>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thin">
        <color indexed="64"/>
      </top>
      <bottom style="dashed">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diagonal/>
    </border>
    <border>
      <left style="double">
        <color indexed="64"/>
      </left>
      <right/>
      <top style="dashed">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theme="0" tint="-0.14996795556505021"/>
      </left>
      <right/>
      <top/>
      <bottom style="thin">
        <color indexed="64"/>
      </bottom>
      <diagonal/>
    </border>
    <border>
      <left style="thin">
        <color theme="0" tint="-0.14993743705557422"/>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s>
  <cellStyleXfs count="3">
    <xf numFmtId="0" fontId="0" fillId="0" borderId="0"/>
    <xf numFmtId="164" fontId="1" fillId="0" borderId="0" applyFont="0" applyFill="0" applyBorder="0" applyAlignment="0" applyProtection="0"/>
    <xf numFmtId="42" fontId="1" fillId="0" borderId="0" applyFont="0" applyFill="0" applyBorder="0" applyAlignment="0" applyProtection="0"/>
  </cellStyleXfs>
  <cellXfs count="1115">
    <xf numFmtId="0" fontId="0" fillId="0" borderId="0" xfId="0"/>
    <xf numFmtId="0" fontId="0" fillId="0" borderId="0" xfId="0" applyBorder="1"/>
    <xf numFmtId="0" fontId="0" fillId="0" borderId="0" xfId="0" applyFill="1"/>
    <xf numFmtId="0" fontId="3" fillId="0" borderId="1" xfId="0" applyFont="1" applyBorder="1"/>
    <xf numFmtId="0" fontId="0" fillId="0" borderId="2" xfId="0" applyBorder="1"/>
    <xf numFmtId="0" fontId="0" fillId="0" borderId="0" xfId="0" applyBorder="1" applyAlignment="1">
      <alignment horizontal="center"/>
    </xf>
    <xf numFmtId="0" fontId="17" fillId="0" borderId="0" xfId="0" applyFont="1"/>
    <xf numFmtId="0" fontId="0" fillId="0" borderId="0" xfId="0" applyProtection="1"/>
    <xf numFmtId="0" fontId="4" fillId="0" borderId="0" xfId="0" applyFont="1" applyFill="1" applyBorder="1" applyProtection="1"/>
    <xf numFmtId="0" fontId="4" fillId="0" borderId="0" xfId="0" applyFont="1" applyBorder="1" applyProtection="1"/>
    <xf numFmtId="0" fontId="0" fillId="0" borderId="0" xfId="0" applyFill="1" applyProtection="1"/>
    <xf numFmtId="0" fontId="0" fillId="0" borderId="0" xfId="0" applyFill="1" applyBorder="1" applyProtection="1"/>
    <xf numFmtId="0" fontId="3"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3" xfId="0" applyFont="1" applyBorder="1" applyProtection="1"/>
    <xf numFmtId="0" fontId="4" fillId="0" borderId="0" xfId="0" applyFont="1" applyFill="1" applyProtection="1"/>
    <xf numFmtId="0" fontId="3" fillId="0" borderId="0" xfId="0" applyFont="1" applyFill="1" applyBorder="1" applyProtection="1"/>
    <xf numFmtId="0" fontId="4" fillId="0" borderId="0" xfId="0" applyFont="1" applyProtection="1"/>
    <xf numFmtId="0" fontId="4" fillId="0" borderId="4" xfId="0" applyFont="1" applyFill="1" applyBorder="1" applyProtection="1"/>
    <xf numFmtId="0" fontId="4" fillId="0" borderId="5" xfId="0" applyFont="1" applyFill="1" applyBorder="1" applyProtection="1"/>
    <xf numFmtId="0" fontId="4" fillId="0" borderId="0" xfId="0" applyFont="1" applyFill="1" applyBorder="1" applyAlignment="1" applyProtection="1">
      <alignment horizontal="center"/>
    </xf>
    <xf numFmtId="0" fontId="0" fillId="0" borderId="6" xfId="0" applyBorder="1"/>
    <xf numFmtId="16" fontId="3" fillId="0" borderId="1" xfId="0" applyNumberFormat="1" applyFont="1" applyBorder="1"/>
    <xf numFmtId="1" fontId="3" fillId="0" borderId="1" xfId="0" applyNumberFormat="1" applyFont="1" applyBorder="1"/>
    <xf numFmtId="0" fontId="5" fillId="0" borderId="0" xfId="0" applyFont="1" applyFill="1" applyProtection="1"/>
    <xf numFmtId="0" fontId="0" fillId="0" borderId="0" xfId="0" applyFill="1" applyAlignment="1" applyProtection="1"/>
    <xf numFmtId="0" fontId="0" fillId="0" borderId="0" xfId="0" applyFill="1" applyBorder="1" applyAlignment="1" applyProtection="1"/>
    <xf numFmtId="0" fontId="5" fillId="0" borderId="0" xfId="0" applyFont="1" applyFill="1" applyBorder="1" applyAlignment="1" applyProtection="1"/>
    <xf numFmtId="0" fontId="5" fillId="0" borderId="0" xfId="0" applyFont="1" applyFill="1" applyAlignment="1" applyProtection="1"/>
    <xf numFmtId="0" fontId="4" fillId="0" borderId="7" xfId="0" applyFont="1" applyFill="1" applyBorder="1" applyAlignment="1" applyProtection="1"/>
    <xf numFmtId="0" fontId="0" fillId="0" borderId="0" xfId="0" applyFill="1" applyBorder="1" applyAlignment="1" applyProtection="1">
      <alignment horizontal="left"/>
    </xf>
    <xf numFmtId="0" fontId="3" fillId="0" borderId="7" xfId="0" applyFont="1" applyFill="1" applyBorder="1" applyAlignment="1" applyProtection="1">
      <alignment horizontal="center"/>
    </xf>
    <xf numFmtId="0" fontId="5" fillId="0" borderId="7" xfId="0" applyFont="1" applyFill="1" applyBorder="1" applyAlignment="1" applyProtection="1">
      <alignment horizontal="center"/>
    </xf>
    <xf numFmtId="0" fontId="4" fillId="0" borderId="7" xfId="0" applyFont="1" applyFill="1" applyBorder="1" applyProtection="1"/>
    <xf numFmtId="0" fontId="4" fillId="0" borderId="1" xfId="0" applyFont="1" applyFill="1" applyBorder="1" applyAlignment="1" applyProtection="1"/>
    <xf numFmtId="0" fontId="23" fillId="0" borderId="0" xfId="0" applyFont="1" applyFill="1" applyProtection="1"/>
    <xf numFmtId="0" fontId="0" fillId="0" borderId="8" xfId="0" applyFill="1" applyBorder="1" applyAlignment="1" applyProtection="1"/>
    <xf numFmtId="0" fontId="0" fillId="0" borderId="7" xfId="0" applyFill="1" applyBorder="1" applyAlignment="1" applyProtection="1"/>
    <xf numFmtId="0" fontId="0" fillId="0" borderId="1" xfId="0" applyBorder="1" applyAlignment="1" applyProtection="1"/>
    <xf numFmtId="0" fontId="0" fillId="0" borderId="7" xfId="0" applyFill="1" applyBorder="1" applyProtection="1"/>
    <xf numFmtId="0" fontId="3" fillId="0" borderId="7" xfId="0" applyFont="1" applyFill="1" applyBorder="1" applyAlignment="1" applyProtection="1">
      <alignment horizontal="left"/>
    </xf>
    <xf numFmtId="0" fontId="3" fillId="0" borderId="0" xfId="0" applyFont="1" applyFill="1" applyProtection="1"/>
    <xf numFmtId="0" fontId="4" fillId="0" borderId="9" xfId="0" applyFont="1" applyFill="1" applyBorder="1" applyAlignment="1" applyProtection="1"/>
    <xf numFmtId="0" fontId="9"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0" fillId="0" borderId="10" xfId="0" applyFill="1" applyBorder="1" applyProtection="1"/>
    <xf numFmtId="0" fontId="12" fillId="0" borderId="11" xfId="0" applyFont="1" applyFill="1" applyBorder="1" applyAlignment="1" applyProtection="1"/>
    <xf numFmtId="0" fontId="0" fillId="0" borderId="12" xfId="0" applyFill="1" applyBorder="1" applyProtection="1"/>
    <xf numFmtId="0" fontId="1" fillId="0" borderId="0" xfId="0" applyFont="1" applyFill="1" applyBorder="1" applyProtection="1"/>
    <xf numFmtId="0" fontId="1" fillId="0" borderId="13" xfId="0" applyFont="1" applyFill="1" applyBorder="1" applyProtection="1"/>
    <xf numFmtId="0" fontId="0" fillId="0" borderId="14" xfId="0" applyFill="1" applyBorder="1" applyProtection="1"/>
    <xf numFmtId="0" fontId="28" fillId="0" borderId="0" xfId="0" applyFont="1" applyFill="1" applyBorder="1" applyAlignment="1" applyProtection="1"/>
    <xf numFmtId="0" fontId="12" fillId="0" borderId="0" xfId="0" applyFont="1" applyFill="1" applyBorder="1" applyProtection="1"/>
    <xf numFmtId="0" fontId="0" fillId="0" borderId="11" xfId="0" applyFill="1" applyBorder="1" applyAlignment="1" applyProtection="1"/>
    <xf numFmtId="0" fontId="5" fillId="0" borderId="11" xfId="0" applyFont="1" applyFill="1" applyBorder="1" applyAlignment="1" applyProtection="1">
      <alignment horizontal="center"/>
    </xf>
    <xf numFmtId="0" fontId="4" fillId="0" borderId="11" xfId="0" applyFont="1" applyFill="1" applyBorder="1" applyAlignment="1" applyProtection="1"/>
    <xf numFmtId="0" fontId="0" fillId="0" borderId="15" xfId="0" applyFill="1" applyBorder="1" applyProtection="1"/>
    <xf numFmtId="0" fontId="0" fillId="0" borderId="3" xfId="0" applyFill="1" applyBorder="1" applyProtection="1"/>
    <xf numFmtId="0" fontId="26" fillId="0" borderId="16" xfId="0" applyFont="1" applyFill="1" applyBorder="1" applyProtection="1"/>
    <xf numFmtId="0" fontId="26" fillId="0" borderId="7" xfId="0" applyFont="1" applyFill="1" applyBorder="1" applyProtection="1"/>
    <xf numFmtId="0" fontId="26" fillId="0" borderId="0" xfId="0" applyFont="1" applyFill="1" applyBorder="1" applyProtection="1"/>
    <xf numFmtId="0" fontId="26" fillId="0" borderId="17" xfId="0" applyFont="1" applyFill="1" applyBorder="1" applyAlignment="1" applyProtection="1"/>
    <xf numFmtId="0" fontId="26" fillId="0" borderId="14" xfId="0" applyFont="1" applyFill="1" applyBorder="1" applyAlignment="1" applyProtection="1"/>
    <xf numFmtId="0" fontId="26" fillId="0" borderId="18" xfId="0" applyFont="1" applyFill="1" applyBorder="1" applyProtection="1"/>
    <xf numFmtId="0" fontId="0" fillId="0" borderId="19" xfId="0" applyFill="1" applyBorder="1" applyAlignment="1" applyProtection="1"/>
    <xf numFmtId="0" fontId="0" fillId="0" borderId="19" xfId="0" applyFill="1" applyBorder="1" applyProtection="1"/>
    <xf numFmtId="0" fontId="3" fillId="0" borderId="12" xfId="0" applyFont="1" applyFill="1" applyBorder="1" applyProtection="1"/>
    <xf numFmtId="0" fontId="3" fillId="0" borderId="20" xfId="0" applyFont="1" applyFill="1" applyBorder="1" applyProtection="1"/>
    <xf numFmtId="0" fontId="3" fillId="0" borderId="21" xfId="0" applyFont="1" applyFill="1" applyBorder="1" applyProtection="1"/>
    <xf numFmtId="0" fontId="0" fillId="0" borderId="22" xfId="0" applyFill="1" applyBorder="1" applyProtection="1"/>
    <xf numFmtId="0" fontId="11" fillId="0" borderId="0" xfId="0" applyFont="1" applyFill="1" applyProtection="1"/>
    <xf numFmtId="0" fontId="12" fillId="0" borderId="0" xfId="0" applyFont="1" applyFill="1" applyProtection="1"/>
    <xf numFmtId="0" fontId="4" fillId="0" borderId="12" xfId="0" applyFont="1" applyFill="1" applyBorder="1" applyProtection="1"/>
    <xf numFmtId="0" fontId="4" fillId="0" borderId="23" xfId="0" applyFont="1" applyFill="1" applyBorder="1" applyProtection="1"/>
    <xf numFmtId="0" fontId="4" fillId="0" borderId="13" xfId="0" applyFont="1" applyFill="1" applyBorder="1" applyProtection="1"/>
    <xf numFmtId="0" fontId="4" fillId="0" borderId="24" xfId="0" applyFont="1" applyFill="1" applyBorder="1" applyProtection="1"/>
    <xf numFmtId="0" fontId="4" fillId="0" borderId="25" xfId="0" applyFont="1" applyFill="1" applyBorder="1" applyProtection="1"/>
    <xf numFmtId="0" fontId="4" fillId="0" borderId="11" xfId="0" applyFont="1" applyFill="1" applyBorder="1" applyProtection="1"/>
    <xf numFmtId="0" fontId="4" fillId="0" borderId="26" xfId="0" applyFont="1" applyFill="1" applyBorder="1" applyProtection="1"/>
    <xf numFmtId="0" fontId="4" fillId="0" borderId="27" xfId="0" applyFont="1" applyFill="1" applyBorder="1" applyProtection="1"/>
    <xf numFmtId="0" fontId="7" fillId="0" borderId="0" xfId="0" applyFont="1" applyFill="1" applyProtection="1"/>
    <xf numFmtId="0" fontId="0" fillId="0" borderId="11" xfId="0" applyBorder="1" applyAlignment="1"/>
    <xf numFmtId="0" fontId="0" fillId="0" borderId="28" xfId="0" applyFill="1" applyBorder="1" applyAlignment="1"/>
    <xf numFmtId="0" fontId="0" fillId="0" borderId="1" xfId="0" applyBorder="1" applyAlignment="1"/>
    <xf numFmtId="0" fontId="0" fillId="0" borderId="14" xfId="0" applyFill="1" applyBorder="1" applyAlignment="1" applyProtection="1">
      <alignment horizontal="left"/>
    </xf>
    <xf numFmtId="0" fontId="4" fillId="0" borderId="17" xfId="0" applyFont="1" applyFill="1" applyBorder="1" applyAlignment="1" applyProtection="1">
      <alignment horizontal="left"/>
    </xf>
    <xf numFmtId="0" fontId="0" fillId="0" borderId="7" xfId="0" applyFill="1" applyBorder="1" applyAlignment="1">
      <alignment horizontal="center" vertical="center"/>
    </xf>
    <xf numFmtId="0" fontId="0" fillId="0" borderId="15" xfId="0" applyFill="1" applyBorder="1" applyAlignment="1">
      <alignment horizontal="center" vertical="center"/>
    </xf>
    <xf numFmtId="0" fontId="4" fillId="0" borderId="18" xfId="0" applyFont="1" applyFill="1" applyBorder="1" applyProtection="1"/>
    <xf numFmtId="0" fontId="4" fillId="0" borderId="29" xfId="0" applyFont="1" applyFill="1" applyBorder="1" applyProtection="1"/>
    <xf numFmtId="0" fontId="0" fillId="0" borderId="30" xfId="0" applyBorder="1" applyAlignment="1"/>
    <xf numFmtId="0" fontId="4" fillId="0" borderId="31" xfId="0" applyFont="1" applyFill="1" applyBorder="1" applyProtection="1"/>
    <xf numFmtId="0" fontId="4" fillId="0" borderId="14" xfId="0" applyFont="1" applyFill="1" applyBorder="1" applyProtection="1"/>
    <xf numFmtId="0" fontId="4" fillId="0" borderId="17" xfId="0" applyFont="1" applyFill="1" applyBorder="1" applyProtection="1"/>
    <xf numFmtId="0" fontId="4" fillId="0" borderId="32" xfId="0" applyFont="1" applyFill="1" applyBorder="1" applyProtection="1"/>
    <xf numFmtId="0" fontId="0" fillId="0" borderId="33" xfId="0" applyBorder="1" applyAlignment="1"/>
    <xf numFmtId="0" fontId="24" fillId="0" borderId="0" xfId="0" applyFont="1" applyFill="1" applyBorder="1" applyAlignment="1" applyProtection="1">
      <alignment horizontal="center"/>
    </xf>
    <xf numFmtId="0" fontId="24" fillId="0" borderId="13" xfId="0" applyFont="1" applyFill="1" applyBorder="1" applyAlignment="1" applyProtection="1">
      <alignment horizontal="center"/>
    </xf>
    <xf numFmtId="0" fontId="4" fillId="0" borderId="5" xfId="0" applyFont="1" applyFill="1" applyBorder="1" applyAlignment="1" applyProtection="1"/>
    <xf numFmtId="0" fontId="0" fillId="0" borderId="5" xfId="0" applyBorder="1" applyAlignment="1">
      <alignment horizontal="center"/>
    </xf>
    <xf numFmtId="0" fontId="3" fillId="0" borderId="7" xfId="0" applyFont="1" applyBorder="1"/>
    <xf numFmtId="0" fontId="0" fillId="0" borderId="24" xfId="0" applyBorder="1"/>
    <xf numFmtId="0" fontId="0" fillId="0" borderId="1" xfId="0" applyBorder="1"/>
    <xf numFmtId="0" fontId="0" fillId="0" borderId="33" xfId="0" applyBorder="1"/>
    <xf numFmtId="0" fontId="3" fillId="0" borderId="28" xfId="0" applyFont="1" applyBorder="1"/>
    <xf numFmtId="0" fontId="0" fillId="0" borderId="5" xfId="0" applyBorder="1"/>
    <xf numFmtId="0" fontId="0" fillId="0" borderId="34" xfId="0" applyBorder="1"/>
    <xf numFmtId="0" fontId="3" fillId="0" borderId="33" xfId="0" applyFont="1" applyBorder="1"/>
    <xf numFmtId="0" fontId="3" fillId="0" borderId="2" xfId="0" applyFont="1" applyBorder="1"/>
    <xf numFmtId="0" fontId="0" fillId="0" borderId="14" xfId="0" applyBorder="1" applyAlignment="1" applyProtection="1">
      <alignment horizontal="center"/>
    </xf>
    <xf numFmtId="0" fontId="0" fillId="2" borderId="0" xfId="0" applyFill="1"/>
    <xf numFmtId="0" fontId="0" fillId="0" borderId="0" xfId="0" applyBorder="1" applyAlignment="1" applyProtection="1"/>
    <xf numFmtId="0" fontId="3" fillId="0" borderId="0" xfId="0" applyFont="1" applyFill="1" applyBorder="1" applyAlignment="1" applyProtection="1">
      <alignment horizontal="left"/>
    </xf>
    <xf numFmtId="0" fontId="0" fillId="0" borderId="24" xfId="0" applyFill="1" applyBorder="1" applyProtection="1"/>
    <xf numFmtId="0" fontId="0" fillId="2" borderId="0" xfId="0" applyFill="1" applyProtection="1">
      <protection locked="0"/>
    </xf>
    <xf numFmtId="0" fontId="0" fillId="0" borderId="0" xfId="0" applyAlignment="1">
      <alignment horizontal="center"/>
    </xf>
    <xf numFmtId="0" fontId="0" fillId="0" borderId="0" xfId="0" applyFill="1" applyAlignment="1">
      <alignment horizontal="center"/>
    </xf>
    <xf numFmtId="0" fontId="17" fillId="0" borderId="0" xfId="0" applyFont="1" applyFill="1"/>
    <xf numFmtId="0" fontId="3" fillId="0" borderId="1" xfId="0" applyFont="1" applyFill="1" applyBorder="1"/>
    <xf numFmtId="0" fontId="4" fillId="0" borderId="0" xfId="0" applyFont="1" applyAlignment="1">
      <alignment horizontal="center"/>
    </xf>
    <xf numFmtId="0" fontId="3" fillId="0" borderId="35" xfId="0" applyFont="1" applyFill="1" applyBorder="1" applyAlignment="1" applyProtection="1"/>
    <xf numFmtId="0" fontId="24" fillId="0" borderId="32" xfId="0" applyFont="1" applyFill="1" applyBorder="1" applyProtection="1"/>
    <xf numFmtId="0" fontId="0" fillId="0" borderId="11" xfId="0" applyFill="1" applyBorder="1" applyProtection="1"/>
    <xf numFmtId="0" fontId="3" fillId="0" borderId="11" xfId="0" applyFont="1" applyFill="1" applyBorder="1" applyAlignment="1" applyProtection="1"/>
    <xf numFmtId="0" fontId="24" fillId="0" borderId="11" xfId="0" applyFont="1" applyFill="1" applyBorder="1" applyAlignment="1" applyProtection="1">
      <alignment horizontal="center"/>
    </xf>
    <xf numFmtId="0" fontId="24" fillId="0" borderId="30" xfId="0" applyFont="1" applyBorder="1" applyAlignment="1" applyProtection="1">
      <alignment horizontal="center"/>
    </xf>
    <xf numFmtId="0" fontId="0" fillId="0" borderId="0" xfId="0" applyBorder="1" applyAlignment="1">
      <alignment vertical="center"/>
    </xf>
    <xf numFmtId="0" fontId="0" fillId="0" borderId="13" xfId="0" applyBorder="1" applyAlignment="1">
      <alignment vertical="center"/>
    </xf>
    <xf numFmtId="0" fontId="0" fillId="0" borderId="12" xfId="0" applyFill="1" applyBorder="1" applyAlignment="1" applyProtection="1">
      <alignment horizontal="left"/>
    </xf>
    <xf numFmtId="0" fontId="3" fillId="0" borderId="12" xfId="0" applyFont="1" applyFill="1" applyBorder="1" applyAlignment="1" applyProtection="1">
      <alignment horizontal="center"/>
    </xf>
    <xf numFmtId="0" fontId="5" fillId="0" borderId="0" xfId="0" applyFont="1" applyFill="1" applyBorder="1" applyAlignment="1" applyProtection="1">
      <alignment horizontal="center"/>
    </xf>
    <xf numFmtId="0" fontId="3" fillId="0" borderId="0" xfId="0" applyFont="1" applyBorder="1" applyAlignment="1">
      <alignment horizontal="center"/>
    </xf>
    <xf numFmtId="165" fontId="0" fillId="2" borderId="0" xfId="0" applyNumberFormat="1" applyFill="1" applyProtection="1">
      <protection locked="0"/>
    </xf>
    <xf numFmtId="165" fontId="0" fillId="2" borderId="0" xfId="0" applyNumberFormat="1" applyFill="1"/>
    <xf numFmtId="0" fontId="17" fillId="0" borderId="4" xfId="0" applyFont="1" applyBorder="1"/>
    <xf numFmtId="0" fontId="0" fillId="3" borderId="6" xfId="0" applyFill="1" applyBorder="1" applyAlignment="1">
      <alignment horizontal="center"/>
    </xf>
    <xf numFmtId="0" fontId="4" fillId="0" borderId="0" xfId="0" applyFont="1" applyFill="1"/>
    <xf numFmtId="0" fontId="23" fillId="0" borderId="0" xfId="0" applyFont="1" applyFill="1" applyBorder="1" applyAlignment="1" applyProtection="1"/>
    <xf numFmtId="0" fontId="0" fillId="0" borderId="0" xfId="0" applyFill="1" applyAlignment="1"/>
    <xf numFmtId="0" fontId="3" fillId="0" borderId="1" xfId="0" applyFont="1" applyFill="1" applyBorder="1" applyProtection="1"/>
    <xf numFmtId="0" fontId="3" fillId="0" borderId="36" xfId="0" applyFont="1" applyFill="1" applyBorder="1" applyAlignment="1" applyProtection="1">
      <alignment horizontal="center"/>
    </xf>
    <xf numFmtId="0" fontId="23" fillId="0" borderId="1" xfId="0" applyFont="1" applyFill="1" applyBorder="1" applyProtection="1"/>
    <xf numFmtId="166" fontId="0" fillId="0" borderId="0" xfId="0" applyNumberFormat="1" applyFill="1"/>
    <xf numFmtId="1" fontId="0" fillId="0" borderId="0" xfId="0" applyNumberFormat="1" applyFill="1"/>
    <xf numFmtId="2" fontId="0" fillId="0" borderId="0" xfId="0" applyNumberFormat="1" applyFill="1"/>
    <xf numFmtId="0" fontId="0" fillId="0" borderId="0" xfId="0" applyNumberFormat="1" applyFill="1"/>
    <xf numFmtId="0" fontId="0" fillId="0" borderId="0" xfId="0" applyFill="1" applyAlignment="1">
      <alignment horizontal="right"/>
    </xf>
    <xf numFmtId="165" fontId="0" fillId="0" borderId="0" xfId="0" applyNumberFormat="1" applyFill="1"/>
    <xf numFmtId="0" fontId="5" fillId="0" borderId="14" xfId="0" applyFont="1" applyFill="1" applyBorder="1" applyAlignment="1" applyProtection="1">
      <alignment horizontal="center"/>
    </xf>
    <xf numFmtId="0" fontId="9" fillId="0" borderId="7" xfId="0" applyFont="1" applyFill="1" applyBorder="1" applyAlignment="1" applyProtection="1"/>
    <xf numFmtId="166" fontId="5" fillId="0" borderId="19" xfId="0" applyNumberFormat="1" applyFont="1" applyFill="1" applyBorder="1" applyAlignment="1" applyProtection="1">
      <alignment horizontal="center"/>
    </xf>
    <xf numFmtId="0" fontId="0" fillId="0" borderId="12" xfId="0" applyBorder="1" applyAlignment="1"/>
    <xf numFmtId="0" fontId="0" fillId="0" borderId="37" xfId="0" applyBorder="1" applyAlignment="1"/>
    <xf numFmtId="0" fontId="0" fillId="0" borderId="0" xfId="0" applyBorder="1" applyAlignment="1"/>
    <xf numFmtId="0" fontId="20" fillId="0" borderId="0" xfId="0" applyFont="1" applyFill="1" applyBorder="1" applyAlignment="1" applyProtection="1"/>
    <xf numFmtId="0" fontId="45" fillId="0" borderId="0" xfId="0" applyFont="1" applyProtection="1"/>
    <xf numFmtId="0" fontId="23" fillId="0" borderId="0" xfId="0" applyFont="1" applyProtection="1"/>
    <xf numFmtId="0" fontId="24" fillId="0" borderId="7" xfId="0" applyFont="1" applyBorder="1" applyAlignment="1" applyProtection="1">
      <alignment horizontal="center"/>
    </xf>
    <xf numFmtId="0" fontId="24" fillId="0" borderId="0" xfId="0" applyFont="1" applyProtection="1"/>
    <xf numFmtId="0" fontId="24" fillId="0" borderId="0" xfId="0" applyFont="1" applyBorder="1" applyAlignment="1" applyProtection="1">
      <alignment horizontal="center"/>
    </xf>
    <xf numFmtId="0" fontId="24" fillId="0" borderId="38" xfId="0" applyFont="1" applyBorder="1" applyAlignment="1" applyProtection="1">
      <alignment horizontal="center"/>
    </xf>
    <xf numFmtId="0" fontId="24" fillId="0" borderId="39" xfId="0" applyFont="1" applyBorder="1" applyAlignment="1" applyProtection="1">
      <alignment horizontal="center"/>
    </xf>
    <xf numFmtId="0" fontId="24" fillId="0" borderId="24" xfId="0" applyFont="1" applyBorder="1" applyAlignment="1" applyProtection="1">
      <alignment horizontal="center"/>
    </xf>
    <xf numFmtId="0" fontId="3" fillId="0" borderId="3" xfId="0" applyFont="1" applyBorder="1" applyProtection="1"/>
    <xf numFmtId="0" fontId="3" fillId="0" borderId="33" xfId="0" applyFont="1" applyBorder="1" applyProtection="1"/>
    <xf numFmtId="0" fontId="4" fillId="0" borderId="28" xfId="0" applyFont="1" applyBorder="1" applyProtection="1"/>
    <xf numFmtId="0" fontId="4" fillId="0" borderId="40" xfId="0" applyFont="1" applyBorder="1" applyProtection="1"/>
    <xf numFmtId="0" fontId="4" fillId="0" borderId="41" xfId="0" applyFont="1" applyFill="1" applyBorder="1" applyProtection="1"/>
    <xf numFmtId="0" fontId="4" fillId="0" borderId="38" xfId="0" applyFont="1" applyBorder="1" applyAlignment="1" applyProtection="1">
      <alignment horizontal="center"/>
    </xf>
    <xf numFmtId="0" fontId="4" fillId="0" borderId="0" xfId="0" applyFont="1" applyBorder="1" applyAlignment="1" applyProtection="1">
      <alignment horizontal="center"/>
    </xf>
    <xf numFmtId="0" fontId="4" fillId="0" borderId="38" xfId="0" applyFont="1" applyBorder="1" applyAlignment="1" applyProtection="1">
      <alignment horizontal="center" vertical="center"/>
    </xf>
    <xf numFmtId="0" fontId="4" fillId="0" borderId="42" xfId="0" applyFont="1" applyBorder="1" applyAlignment="1" applyProtection="1">
      <alignment horizontal="center"/>
    </xf>
    <xf numFmtId="0" fontId="4" fillId="0" borderId="43" xfId="0" applyFont="1" applyBorder="1" applyAlignment="1" applyProtection="1">
      <alignment horizontal="center"/>
    </xf>
    <xf numFmtId="0" fontId="4" fillId="0" borderId="44" xfId="0" applyFont="1" applyBorder="1" applyAlignment="1" applyProtection="1">
      <alignment horizontal="center"/>
    </xf>
    <xf numFmtId="0" fontId="4" fillId="0" borderId="45" xfId="0" applyFont="1" applyBorder="1" applyAlignment="1" applyProtection="1">
      <alignment horizontal="center"/>
    </xf>
    <xf numFmtId="0" fontId="4" fillId="0" borderId="33" xfId="0" applyFont="1" applyBorder="1" applyAlignment="1" applyProtection="1">
      <alignment horizontal="center"/>
    </xf>
    <xf numFmtId="0" fontId="4" fillId="0" borderId="46" xfId="0" applyFont="1" applyBorder="1" applyAlignment="1" applyProtection="1">
      <alignment horizontal="center"/>
    </xf>
    <xf numFmtId="0" fontId="4" fillId="0" borderId="3" xfId="0" applyFont="1" applyBorder="1" applyAlignment="1" applyProtection="1">
      <alignment horizontal="center"/>
    </xf>
    <xf numFmtId="0" fontId="4" fillId="0" borderId="47" xfId="0" applyFont="1" applyBorder="1" applyAlignment="1" applyProtection="1">
      <alignment horizontal="center"/>
    </xf>
    <xf numFmtId="0" fontId="4" fillId="0" borderId="36" xfId="0" applyFont="1" applyFill="1" applyBorder="1" applyAlignment="1" applyProtection="1">
      <alignment horizontal="center"/>
    </xf>
    <xf numFmtId="0" fontId="4" fillId="0" borderId="36" xfId="0" applyFont="1" applyBorder="1" applyAlignment="1" applyProtection="1">
      <alignment horizontal="center"/>
    </xf>
    <xf numFmtId="49" fontId="4" fillId="0" borderId="36" xfId="0" applyNumberFormat="1" applyFont="1" applyBorder="1" applyAlignment="1" applyProtection="1">
      <alignment horizontal="center"/>
    </xf>
    <xf numFmtId="0" fontId="4" fillId="0" borderId="43" xfId="0" applyFont="1" applyFill="1" applyBorder="1" applyAlignment="1" applyProtection="1">
      <alignment horizontal="center"/>
    </xf>
    <xf numFmtId="0" fontId="4" fillId="0" borderId="2" xfId="0" applyFont="1" applyBorder="1" applyProtection="1"/>
    <xf numFmtId="0" fontId="4" fillId="0" borderId="28" xfId="0" applyFont="1" applyFill="1" applyBorder="1" applyProtection="1"/>
    <xf numFmtId="0" fontId="4" fillId="0" borderId="3" xfId="0" applyFont="1" applyFill="1" applyBorder="1" applyAlignment="1" applyProtection="1">
      <alignment horizontal="center"/>
    </xf>
    <xf numFmtId="0" fontId="4" fillId="0" borderId="4" xfId="0" applyFont="1" applyBorder="1" applyProtection="1"/>
    <xf numFmtId="0" fontId="24" fillId="0" borderId="48" xfId="0" applyFont="1" applyFill="1" applyBorder="1" applyAlignment="1" applyProtection="1">
      <alignment horizontal="center"/>
    </xf>
    <xf numFmtId="0" fontId="4" fillId="0" borderId="33" xfId="0" applyFont="1" applyBorder="1" applyAlignment="1" applyProtection="1">
      <alignment horizontal="center" wrapText="1"/>
    </xf>
    <xf numFmtId="166" fontId="3" fillId="0" borderId="49" xfId="0" applyNumberFormat="1" applyFont="1" applyFill="1" applyBorder="1" applyAlignment="1" applyProtection="1">
      <alignment horizontal="center"/>
    </xf>
    <xf numFmtId="0" fontId="8" fillId="0" borderId="46" xfId="0" applyFont="1" applyFill="1" applyBorder="1" applyAlignment="1" applyProtection="1"/>
    <xf numFmtId="0" fontId="4" fillId="0" borderId="50" xfId="0" applyFont="1" applyFill="1" applyBorder="1" applyProtection="1"/>
    <xf numFmtId="0" fontId="4" fillId="0" borderId="51" xfId="0" applyFont="1" applyFill="1" applyBorder="1" applyProtection="1"/>
    <xf numFmtId="0" fontId="12" fillId="0" borderId="51" xfId="0" applyFont="1" applyFill="1" applyBorder="1" applyAlignment="1" applyProtection="1">
      <alignment wrapText="1"/>
    </xf>
    <xf numFmtId="0" fontId="28" fillId="0" borderId="51" xfId="0" applyFont="1" applyFill="1" applyBorder="1" applyProtection="1"/>
    <xf numFmtId="0" fontId="56" fillId="0" borderId="0" xfId="0" applyFont="1" applyProtection="1"/>
    <xf numFmtId="0" fontId="56" fillId="0" borderId="4" xfId="0" applyFont="1" applyBorder="1" applyProtection="1"/>
    <xf numFmtId="0" fontId="56" fillId="0" borderId="34" xfId="0" applyFont="1" applyBorder="1" applyProtection="1"/>
    <xf numFmtId="0" fontId="3" fillId="0" borderId="0" xfId="0" applyFont="1" applyFill="1" applyBorder="1"/>
    <xf numFmtId="0" fontId="0" fillId="4" borderId="0" xfId="0" applyFill="1"/>
    <xf numFmtId="0" fontId="0" fillId="0" borderId="6" xfId="0" applyFill="1" applyBorder="1"/>
    <xf numFmtId="0" fontId="0" fillId="0" borderId="0" xfId="0" applyFill="1" applyBorder="1"/>
    <xf numFmtId="0" fontId="17" fillId="0" borderId="0" xfId="0" applyFont="1" applyFill="1" applyBorder="1"/>
    <xf numFmtId="0" fontId="4" fillId="0" borderId="0" xfId="0" applyFont="1" applyFill="1" applyBorder="1"/>
    <xf numFmtId="0" fontId="4" fillId="0" borderId="0" xfId="0" applyFont="1" applyFill="1" applyBorder="1" applyAlignment="1">
      <alignment horizontal="center"/>
    </xf>
    <xf numFmtId="0" fontId="4" fillId="0" borderId="0" xfId="0" applyFont="1" applyFill="1" applyAlignment="1" applyProtection="1">
      <alignment horizontal="center"/>
    </xf>
    <xf numFmtId="0" fontId="3" fillId="0" borderId="33" xfId="0" applyFont="1" applyFill="1" applyBorder="1"/>
    <xf numFmtId="0" fontId="3" fillId="0" borderId="1" xfId="0" applyFont="1" applyFill="1" applyBorder="1" applyAlignment="1">
      <alignment horizontal="right"/>
    </xf>
    <xf numFmtId="0" fontId="4" fillId="0" borderId="0" xfId="0" applyFont="1" applyFill="1" applyAlignment="1"/>
    <xf numFmtId="0" fontId="4" fillId="0" borderId="0" xfId="0" applyFont="1" applyFill="1" applyAlignment="1">
      <alignment vertical="center"/>
    </xf>
    <xf numFmtId="0" fontId="3" fillId="0" borderId="0" xfId="0" applyFont="1"/>
    <xf numFmtId="0" fontId="56" fillId="0" borderId="0" xfId="0" applyFont="1" applyFill="1" applyProtection="1"/>
    <xf numFmtId="0" fontId="3" fillId="0" borderId="1" xfId="0" applyFont="1" applyBorder="1" applyAlignment="1">
      <alignment horizontal="center"/>
    </xf>
    <xf numFmtId="0" fontId="4" fillId="0" borderId="0" xfId="0" applyFont="1" applyFill="1" applyBorder="1" applyAlignment="1"/>
    <xf numFmtId="1" fontId="0" fillId="0" borderId="0" xfId="0" applyNumberFormat="1" applyFill="1" applyAlignment="1">
      <alignment horizontal="center"/>
    </xf>
    <xf numFmtId="1" fontId="0" fillId="0" borderId="0" xfId="0" applyNumberFormat="1" applyFill="1" applyAlignment="1"/>
    <xf numFmtId="1" fontId="0" fillId="5" borderId="0" xfId="0" applyNumberFormat="1" applyFill="1" applyAlignment="1">
      <alignment horizontal="center"/>
    </xf>
    <xf numFmtId="1" fontId="0" fillId="5" borderId="0" xfId="0" applyNumberFormat="1" applyFill="1" applyAlignment="1"/>
    <xf numFmtId="0" fontId="0" fillId="5" borderId="0" xfId="0" applyFill="1" applyAlignment="1">
      <alignment horizontal="center"/>
    </xf>
    <xf numFmtId="0" fontId="0" fillId="5" borderId="0" xfId="0" applyFill="1"/>
    <xf numFmtId="1" fontId="0" fillId="4" borderId="0" xfId="0" applyNumberFormat="1" applyFill="1"/>
    <xf numFmtId="1" fontId="0" fillId="4" borderId="0" xfId="0" applyNumberFormat="1" applyFill="1" applyAlignment="1">
      <alignment horizontal="center"/>
    </xf>
    <xf numFmtId="1" fontId="0" fillId="4" borderId="0" xfId="0" applyNumberFormat="1" applyFill="1" applyAlignment="1"/>
    <xf numFmtId="0" fontId="0" fillId="4" borderId="0" xfId="0" applyFill="1" applyAlignment="1">
      <alignment horizontal="center"/>
    </xf>
    <xf numFmtId="1" fontId="0" fillId="6" borderId="0" xfId="0" applyNumberFormat="1" applyFill="1"/>
    <xf numFmtId="0" fontId="20" fillId="0" borderId="7" xfId="0" applyFont="1" applyFill="1" applyBorder="1" applyAlignment="1" applyProtection="1">
      <alignment horizontal="center"/>
    </xf>
    <xf numFmtId="0" fontId="20" fillId="0" borderId="15" xfId="0" applyFont="1" applyFill="1" applyBorder="1" applyAlignment="1" applyProtection="1">
      <alignment horizontal="center"/>
    </xf>
    <xf numFmtId="0" fontId="20" fillId="0" borderId="14" xfId="0" applyFont="1" applyFill="1" applyBorder="1" applyAlignment="1" applyProtection="1">
      <alignment horizontal="center"/>
    </xf>
    <xf numFmtId="0" fontId="20" fillId="0" borderId="52" xfId="0" applyFont="1" applyFill="1" applyBorder="1" applyAlignment="1" applyProtection="1">
      <alignment horizontal="center"/>
    </xf>
    <xf numFmtId="0" fontId="41" fillId="0" borderId="1" xfId="0" applyNumberFormat="1" applyFont="1" applyFill="1" applyBorder="1" applyAlignment="1" applyProtection="1">
      <alignment horizontal="center"/>
    </xf>
    <xf numFmtId="0" fontId="20" fillId="0" borderId="11" xfId="0" applyFont="1" applyFill="1" applyBorder="1" applyAlignment="1" applyProtection="1">
      <alignment horizontal="center" vertical="center"/>
    </xf>
    <xf numFmtId="0" fontId="20" fillId="0" borderId="11" xfId="0" applyFont="1" applyFill="1" applyBorder="1" applyAlignment="1">
      <alignment horizontal="center" vertical="center"/>
    </xf>
    <xf numFmtId="0" fontId="20" fillId="0" borderId="30" xfId="0" applyFont="1" applyFill="1" applyBorder="1" applyAlignment="1">
      <alignment horizontal="center" vertical="center"/>
    </xf>
    <xf numFmtId="0" fontId="20" fillId="0" borderId="17" xfId="0" applyNumberFormat="1" applyFont="1" applyFill="1" applyBorder="1" applyAlignment="1" applyProtection="1">
      <alignment horizontal="center"/>
    </xf>
    <xf numFmtId="0" fontId="20" fillId="0" borderId="14" xfId="0" applyNumberFormat="1" applyFont="1" applyFill="1" applyBorder="1" applyAlignment="1" applyProtection="1"/>
    <xf numFmtId="0" fontId="20" fillId="0" borderId="52" xfId="0" applyNumberFormat="1" applyFont="1" applyFill="1" applyBorder="1" applyAlignment="1" applyProtection="1"/>
    <xf numFmtId="0" fontId="20" fillId="0" borderId="3"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15" xfId="0" applyFont="1" applyFill="1" applyBorder="1" applyAlignment="1">
      <alignment horizontal="center" vertical="center"/>
    </xf>
    <xf numFmtId="0" fontId="20" fillId="0" borderId="47" xfId="0" applyFont="1" applyFill="1" applyBorder="1" applyAlignment="1" applyProtection="1">
      <alignment horizontal="center" vertical="center"/>
    </xf>
    <xf numFmtId="0" fontId="4" fillId="0" borderId="51" xfId="0" applyFont="1" applyFill="1" applyBorder="1" applyAlignment="1">
      <alignment horizontal="center" vertical="center"/>
    </xf>
    <xf numFmtId="0" fontId="4" fillId="0" borderId="53" xfId="0" applyFont="1" applyFill="1" applyBorder="1" applyAlignment="1">
      <alignment horizontal="center" vertical="center"/>
    </xf>
    <xf numFmtId="0" fontId="20" fillId="0" borderId="7" xfId="0" applyFont="1" applyFill="1" applyBorder="1" applyAlignment="1">
      <alignment horizontal="center"/>
    </xf>
    <xf numFmtId="0" fontId="0" fillId="0" borderId="7" xfId="0" applyFill="1" applyBorder="1" applyAlignment="1">
      <alignment horizontal="center"/>
    </xf>
    <xf numFmtId="0" fontId="15" fillId="0" borderId="24" xfId="0" applyFont="1" applyFill="1" applyBorder="1" applyAlignment="1" applyProtection="1">
      <alignment horizontal="center"/>
    </xf>
    <xf numFmtId="0" fontId="0" fillId="0" borderId="24" xfId="0" applyFill="1" applyBorder="1" applyAlignment="1"/>
    <xf numFmtId="0" fontId="0" fillId="0" borderId="34" xfId="0" applyFill="1" applyBorder="1" applyAlignment="1"/>
    <xf numFmtId="0" fontId="0" fillId="0" borderId="1" xfId="0" applyFill="1" applyBorder="1" applyAlignment="1"/>
    <xf numFmtId="0" fontId="0" fillId="0" borderId="2" xfId="0" applyFill="1" applyBorder="1" applyAlignment="1"/>
    <xf numFmtId="0" fontId="20" fillId="0" borderId="0" xfId="0" applyFont="1" applyFill="1" applyBorder="1" applyAlignment="1" applyProtection="1">
      <alignment horizontal="center"/>
    </xf>
    <xf numFmtId="0" fontId="26" fillId="0" borderId="0" xfId="0" applyFont="1" applyFill="1" applyBorder="1" applyAlignment="1" applyProtection="1"/>
    <xf numFmtId="0" fontId="24" fillId="0" borderId="0" xfId="0" applyFont="1" applyFill="1" applyBorder="1" applyAlignment="1" applyProtection="1"/>
    <xf numFmtId="0" fontId="12" fillId="0" borderId="0" xfId="0" applyFont="1" applyFill="1" applyBorder="1" applyAlignment="1" applyProtection="1"/>
    <xf numFmtId="0" fontId="26" fillId="0" borderId="0" xfId="0" applyFont="1" applyFill="1" applyBorder="1" applyAlignment="1" applyProtection="1">
      <alignment horizontal="left"/>
    </xf>
    <xf numFmtId="0" fontId="0" fillId="0" borderId="39" xfId="0" applyFill="1" applyBorder="1" applyProtection="1"/>
    <xf numFmtId="0" fontId="12" fillId="0" borderId="39" xfId="0" applyFont="1" applyFill="1" applyBorder="1" applyAlignment="1" applyProtection="1"/>
    <xf numFmtId="0" fontId="24" fillId="0" borderId="0" xfId="0" applyFont="1" applyFill="1" applyBorder="1" applyProtection="1"/>
    <xf numFmtId="0" fontId="26" fillId="0" borderId="24" xfId="0" applyFont="1" applyFill="1" applyBorder="1" applyProtection="1"/>
    <xf numFmtId="0" fontId="12" fillId="0" borderId="24" xfId="0" applyFont="1" applyFill="1" applyBorder="1" applyProtection="1"/>
    <xf numFmtId="0" fontId="0" fillId="0" borderId="14" xfId="0" applyFill="1" applyBorder="1" applyAlignment="1"/>
    <xf numFmtId="0" fontId="0" fillId="0" borderId="11" xfId="0" applyFill="1" applyBorder="1" applyAlignment="1">
      <alignment horizontal="center"/>
    </xf>
    <xf numFmtId="0" fontId="0" fillId="0" borderId="30" xfId="0" applyFill="1" applyBorder="1" applyAlignment="1">
      <alignment horizontal="center"/>
    </xf>
    <xf numFmtId="0" fontId="0" fillId="0" borderId="54" xfId="0" applyFill="1" applyBorder="1" applyAlignment="1"/>
    <xf numFmtId="0" fontId="20" fillId="0" borderId="12" xfId="0" applyFont="1" applyFill="1" applyBorder="1" applyAlignment="1" applyProtection="1"/>
    <xf numFmtId="0" fontId="20" fillId="0" borderId="1" xfId="0" applyFont="1" applyFill="1" applyBorder="1" applyAlignment="1" applyProtection="1">
      <alignment vertical="center"/>
    </xf>
    <xf numFmtId="0" fontId="0" fillId="0" borderId="1" xfId="0" applyFill="1" applyBorder="1" applyAlignment="1">
      <alignment vertical="center"/>
    </xf>
    <xf numFmtId="0" fontId="0" fillId="0" borderId="2" xfId="0" applyFill="1" applyBorder="1" applyAlignment="1">
      <alignment vertical="center"/>
    </xf>
    <xf numFmtId="0" fontId="20" fillId="0" borderId="1" xfId="0" applyFont="1" applyFill="1" applyBorder="1" applyAlignment="1" applyProtection="1">
      <alignment horizontal="center" vertical="center"/>
    </xf>
    <xf numFmtId="0" fontId="0" fillId="0" borderId="55" xfId="0" applyFill="1" applyBorder="1" applyAlignment="1">
      <alignment vertical="center"/>
    </xf>
    <xf numFmtId="0" fontId="20" fillId="0" borderId="35" xfId="0" applyFont="1" applyFill="1" applyBorder="1" applyAlignment="1" applyProtection="1">
      <alignment horizontal="center" vertical="center"/>
    </xf>
    <xf numFmtId="0" fontId="0" fillId="0" borderId="15" xfId="0" applyFill="1" applyBorder="1" applyAlignment="1">
      <alignment horizontal="center"/>
    </xf>
    <xf numFmtId="0" fontId="17" fillId="0" borderId="14" xfId="0" applyFont="1" applyFill="1" applyBorder="1" applyAlignment="1" applyProtection="1"/>
    <xf numFmtId="0" fontId="19" fillId="0" borderId="14" xfId="0" applyFont="1" applyFill="1" applyBorder="1" applyAlignment="1"/>
    <xf numFmtId="0" fontId="11" fillId="0" borderId="11" xfId="0" applyFont="1" applyFill="1" applyBorder="1" applyAlignment="1" applyProtection="1">
      <alignment horizontal="center" vertical="center"/>
    </xf>
    <xf numFmtId="0" fontId="11" fillId="0" borderId="11" xfId="0" applyFont="1" applyFill="1" applyBorder="1" applyAlignment="1">
      <alignment vertical="center"/>
    </xf>
    <xf numFmtId="0" fontId="11" fillId="0" borderId="56" xfId="0" applyFont="1" applyFill="1" applyBorder="1" applyAlignment="1">
      <alignment vertical="center"/>
    </xf>
    <xf numFmtId="0" fontId="0" fillId="0" borderId="5" xfId="0" applyFill="1" applyBorder="1"/>
    <xf numFmtId="0" fontId="0" fillId="0" borderId="33" xfId="0" applyFill="1" applyBorder="1"/>
    <xf numFmtId="0" fontId="0" fillId="0" borderId="2" xfId="0" applyFill="1" applyBorder="1"/>
    <xf numFmtId="0" fontId="0" fillId="0" borderId="3" xfId="0" applyBorder="1"/>
    <xf numFmtId="0" fontId="0" fillId="0" borderId="28" xfId="0" applyBorder="1"/>
    <xf numFmtId="0" fontId="17" fillId="0" borderId="0" xfId="0" applyFont="1" applyFill="1" applyBorder="1" applyProtection="1"/>
    <xf numFmtId="0" fontId="4" fillId="0" borderId="57" xfId="0" applyFont="1" applyFill="1" applyBorder="1" applyProtection="1"/>
    <xf numFmtId="0" fontId="4" fillId="0" borderId="58" xfId="0" applyFont="1" applyFill="1" applyBorder="1" applyProtection="1"/>
    <xf numFmtId="0" fontId="3" fillId="0" borderId="59" xfId="0" applyFont="1" applyFill="1" applyBorder="1"/>
    <xf numFmtId="0" fontId="32" fillId="0" borderId="0" xfId="0" applyFont="1" applyFill="1" applyProtection="1"/>
    <xf numFmtId="0" fontId="5" fillId="0" borderId="4" xfId="0" applyFont="1" applyFill="1" applyBorder="1" applyProtection="1"/>
    <xf numFmtId="0" fontId="5" fillId="0" borderId="24" xfId="0" applyFont="1" applyFill="1" applyBorder="1" applyProtection="1"/>
    <xf numFmtId="0" fontId="56" fillId="0" borderId="24" xfId="0" applyFont="1" applyFill="1" applyBorder="1" applyProtection="1"/>
    <xf numFmtId="0" fontId="5" fillId="0" borderId="34" xfId="0" applyFont="1" applyFill="1" applyBorder="1" applyProtection="1"/>
    <xf numFmtId="0" fontId="5" fillId="0" borderId="5" xfId="0" applyFont="1" applyBorder="1" applyProtection="1"/>
    <xf numFmtId="0" fontId="56" fillId="0" borderId="0" xfId="0" applyFont="1" applyFill="1" applyBorder="1" applyProtection="1"/>
    <xf numFmtId="0" fontId="5" fillId="0" borderId="0" xfId="0" applyFont="1" applyFill="1" applyBorder="1" applyProtection="1"/>
    <xf numFmtId="0" fontId="56" fillId="0" borderId="6" xfId="0" applyFont="1" applyFill="1" applyBorder="1" applyProtection="1"/>
    <xf numFmtId="0" fontId="23" fillId="0" borderId="33" xfId="0" applyFont="1" applyBorder="1" applyProtection="1"/>
    <xf numFmtId="0" fontId="59" fillId="0" borderId="0" xfId="0" applyFont="1" applyAlignment="1" applyProtection="1">
      <alignment horizontal="right"/>
    </xf>
    <xf numFmtId="0" fontId="23" fillId="0" borderId="36" xfId="0" applyFont="1" applyFill="1" applyBorder="1" applyAlignment="1" applyProtection="1">
      <alignment horizontal="center"/>
    </xf>
    <xf numFmtId="0" fontId="0" fillId="0" borderId="0" xfId="0" applyAlignment="1" applyProtection="1"/>
    <xf numFmtId="0" fontId="32" fillId="0" borderId="0" xfId="0" applyFont="1" applyAlignment="1" applyProtection="1"/>
    <xf numFmtId="0" fontId="24" fillId="0" borderId="0" xfId="0" applyFont="1" applyAlignment="1" applyProtection="1"/>
    <xf numFmtId="0" fontId="24" fillId="0" borderId="20" xfId="0" applyFont="1" applyBorder="1" applyAlignment="1" applyProtection="1"/>
    <xf numFmtId="0" fontId="24" fillId="0" borderId="12" xfId="0" applyFont="1" applyBorder="1" applyAlignment="1" applyProtection="1"/>
    <xf numFmtId="0" fontId="24" fillId="0" borderId="23" xfId="0" applyFont="1" applyBorder="1" applyAlignment="1" applyProtection="1"/>
    <xf numFmtId="0" fontId="24" fillId="0" borderId="16" xfId="0" applyFont="1" applyBorder="1" applyAlignment="1" applyProtection="1"/>
    <xf numFmtId="0" fontId="24" fillId="0" borderId="15" xfId="0" applyFont="1" applyBorder="1" applyAlignment="1" applyProtection="1"/>
    <xf numFmtId="0" fontId="24" fillId="0" borderId="18" xfId="0" applyFont="1" applyBorder="1" applyAlignment="1" applyProtection="1"/>
    <xf numFmtId="0" fontId="24" fillId="0" borderId="13" xfId="0" applyFont="1" applyBorder="1" applyAlignment="1" applyProtection="1"/>
    <xf numFmtId="0" fontId="24" fillId="0" borderId="60" xfId="0" applyFont="1" applyBorder="1" applyAlignment="1" applyProtection="1"/>
    <xf numFmtId="0" fontId="24" fillId="0" borderId="61" xfId="0" applyFont="1" applyBorder="1" applyAlignment="1" applyProtection="1"/>
    <xf numFmtId="0" fontId="24" fillId="0" borderId="62" xfId="0" applyFont="1" applyBorder="1" applyAlignment="1" applyProtection="1"/>
    <xf numFmtId="0" fontId="24" fillId="0" borderId="25" xfId="0" applyFont="1" applyBorder="1" applyAlignment="1" applyProtection="1"/>
    <xf numFmtId="0" fontId="24" fillId="0" borderId="21" xfId="0" applyFont="1" applyBorder="1" applyAlignment="1" applyProtection="1"/>
    <xf numFmtId="0" fontId="24" fillId="0" borderId="26" xfId="0" applyFont="1" applyBorder="1" applyAlignment="1" applyProtection="1"/>
    <xf numFmtId="0" fontId="5" fillId="0" borderId="0" xfId="0" applyFont="1" applyAlignment="1" applyProtection="1"/>
    <xf numFmtId="0" fontId="12" fillId="0" borderId="7" xfId="0" applyFont="1" applyFill="1" applyBorder="1" applyAlignment="1" applyProtection="1">
      <alignment horizontal="center"/>
    </xf>
    <xf numFmtId="0" fontId="23" fillId="2" borderId="0" xfId="0" applyFont="1" applyFill="1" applyAlignment="1" applyProtection="1">
      <alignment horizontal="center"/>
      <protection locked="0"/>
    </xf>
    <xf numFmtId="0" fontId="3" fillId="2" borderId="36" xfId="0" applyFont="1" applyFill="1" applyBorder="1" applyAlignment="1" applyProtection="1">
      <protection locked="0"/>
    </xf>
    <xf numFmtId="0" fontId="5" fillId="2" borderId="36" xfId="0" applyFont="1" applyFill="1" applyBorder="1" applyAlignment="1" applyProtection="1">
      <alignment horizontal="center"/>
      <protection locked="0"/>
    </xf>
    <xf numFmtId="0" fontId="4" fillId="0" borderId="0" xfId="0" applyFont="1" applyFill="1" applyAlignment="1" applyProtection="1"/>
    <xf numFmtId="0" fontId="4" fillId="3" borderId="0" xfId="0" applyFont="1" applyFill="1"/>
    <xf numFmtId="0" fontId="0" fillId="0" borderId="34" xfId="0" applyFill="1" applyBorder="1"/>
    <xf numFmtId="0" fontId="0" fillId="3" borderId="2" xfId="0" applyFill="1" applyBorder="1" applyAlignment="1">
      <alignment horizontal="center"/>
    </xf>
    <xf numFmtId="0" fontId="4" fillId="0" borderId="39"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38" xfId="0" applyFont="1" applyFill="1" applyBorder="1" applyAlignment="1" applyProtection="1">
      <alignment horizontal="center" vertical="center"/>
    </xf>
    <xf numFmtId="0" fontId="4" fillId="0" borderId="1" xfId="0" applyFont="1" applyFill="1" applyBorder="1" applyAlignment="1" applyProtection="1">
      <alignment horizontal="center"/>
    </xf>
    <xf numFmtId="0" fontId="4" fillId="0" borderId="0" xfId="0" applyFont="1" applyFill="1" applyBorder="1" applyAlignment="1" applyProtection="1">
      <alignment vertical="top"/>
    </xf>
    <xf numFmtId="0" fontId="60" fillId="0" borderId="0" xfId="0" applyFont="1" applyFill="1" applyProtection="1"/>
    <xf numFmtId="0" fontId="0" fillId="0" borderId="59" xfId="0" applyBorder="1"/>
    <xf numFmtId="0" fontId="17" fillId="0" borderId="57" xfId="0" applyFont="1" applyBorder="1"/>
    <xf numFmtId="0" fontId="0" fillId="0" borderId="0" xfId="0" applyNumberFormat="1"/>
    <xf numFmtId="0" fontId="0" fillId="4" borderId="0" xfId="0" applyNumberFormat="1" applyFill="1"/>
    <xf numFmtId="0" fontId="17" fillId="0" borderId="0" xfId="0" applyFont="1" applyFill="1" applyBorder="1" applyAlignment="1"/>
    <xf numFmtId="0" fontId="5" fillId="2" borderId="28"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protection locked="0"/>
    </xf>
    <xf numFmtId="0" fontId="5" fillId="2" borderId="28" xfId="0" applyFont="1" applyFill="1" applyBorder="1" applyAlignment="1" applyProtection="1">
      <alignment horizontal="center"/>
      <protection locked="0"/>
    </xf>
    <xf numFmtId="0" fontId="5" fillId="2" borderId="63" xfId="0" applyFont="1" applyFill="1" applyBorder="1" applyAlignment="1" applyProtection="1">
      <alignment horizontal="center"/>
      <protection locked="0"/>
    </xf>
    <xf numFmtId="0" fontId="5" fillId="2" borderId="64" xfId="0" applyFont="1" applyFill="1" applyBorder="1" applyAlignment="1" applyProtection="1">
      <alignment horizontal="center"/>
      <protection locked="0"/>
    </xf>
    <xf numFmtId="0" fontId="5" fillId="2" borderId="56" xfId="0" applyFont="1" applyFill="1" applyBorder="1" applyAlignment="1" applyProtection="1">
      <alignment horizontal="center"/>
      <protection locked="0"/>
    </xf>
    <xf numFmtId="0" fontId="5" fillId="2" borderId="65" xfId="0" applyFont="1" applyFill="1" applyBorder="1" applyAlignment="1" applyProtection="1">
      <alignment horizontal="center" vertical="center"/>
      <protection locked="0"/>
    </xf>
    <xf numFmtId="0" fontId="5" fillId="2" borderId="15" xfId="0" applyFont="1" applyFill="1" applyBorder="1" applyAlignment="1" applyProtection="1">
      <alignment horizontal="center" vertical="center"/>
      <protection locked="0"/>
    </xf>
    <xf numFmtId="0" fontId="5" fillId="2" borderId="52"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protection locked="0"/>
    </xf>
    <xf numFmtId="0" fontId="4" fillId="2" borderId="66" xfId="0" applyFont="1" applyFill="1" applyBorder="1" applyAlignment="1" applyProtection="1">
      <alignment horizontal="center"/>
      <protection locked="0"/>
    </xf>
    <xf numFmtId="0" fontId="4" fillId="2" borderId="45" xfId="0" applyFont="1" applyFill="1" applyBorder="1" applyAlignment="1" applyProtection="1">
      <alignment horizontal="center"/>
      <protection locked="0"/>
    </xf>
    <xf numFmtId="0" fontId="4" fillId="2" borderId="59" xfId="0" applyFont="1" applyFill="1" applyBorder="1" applyAlignment="1" applyProtection="1">
      <alignment horizontal="center"/>
      <protection locked="0"/>
    </xf>
    <xf numFmtId="0" fontId="4" fillId="2" borderId="67" xfId="0" applyFont="1" applyFill="1" applyBorder="1" applyAlignment="1" applyProtection="1">
      <alignment horizontal="center"/>
      <protection locked="0"/>
    </xf>
    <xf numFmtId="0" fontId="3" fillId="2" borderId="36" xfId="0" applyFont="1" applyFill="1" applyBorder="1" applyAlignment="1" applyProtection="1">
      <alignment horizontal="center"/>
      <protection locked="0"/>
    </xf>
    <xf numFmtId="0" fontId="27" fillId="0" borderId="36" xfId="0" applyFont="1" applyFill="1" applyBorder="1" applyAlignment="1" applyProtection="1">
      <alignment horizontal="center"/>
    </xf>
    <xf numFmtId="0" fontId="1" fillId="2" borderId="36" xfId="0" applyFont="1" applyFill="1" applyBorder="1" applyAlignment="1" applyProtection="1">
      <alignment horizontal="center"/>
      <protection locked="0"/>
    </xf>
    <xf numFmtId="0" fontId="26" fillId="0" borderId="10" xfId="0" applyFont="1" applyFill="1" applyBorder="1" applyAlignment="1" applyProtection="1">
      <alignment horizontal="left"/>
    </xf>
    <xf numFmtId="49" fontId="0" fillId="0" borderId="0" xfId="0" applyNumberFormat="1"/>
    <xf numFmtId="0" fontId="4" fillId="0" borderId="0" xfId="0" applyFont="1" applyFill="1" applyAlignment="1">
      <alignment horizontal="center"/>
    </xf>
    <xf numFmtId="0" fontId="4" fillId="0" borderId="0" xfId="0" applyFont="1"/>
    <xf numFmtId="0" fontId="4" fillId="0" borderId="0" xfId="0" applyFont="1" applyFill="1" applyAlignment="1">
      <alignment horizontal="center" vertical="center"/>
    </xf>
    <xf numFmtId="0" fontId="0" fillId="0" borderId="14" xfId="0" applyFill="1" applyBorder="1" applyAlignment="1" applyProtection="1">
      <alignment horizontal="center"/>
    </xf>
    <xf numFmtId="0" fontId="0" fillId="0" borderId="52" xfId="0" applyFill="1" applyBorder="1" applyAlignment="1" applyProtection="1">
      <alignment horizontal="center"/>
    </xf>
    <xf numFmtId="0" fontId="1" fillId="0" borderId="0" xfId="0" applyFont="1"/>
    <xf numFmtId="0" fontId="0" fillId="5" borderId="0" xfId="0" applyNumberFormat="1" applyFill="1"/>
    <xf numFmtId="0" fontId="0" fillId="7" borderId="0" xfId="0" applyFill="1"/>
    <xf numFmtId="49" fontId="0" fillId="0" borderId="0" xfId="0" applyNumberFormat="1" applyFill="1"/>
    <xf numFmtId="0" fontId="0" fillId="0" borderId="14" xfId="0" applyFill="1" applyBorder="1" applyAlignment="1" applyProtection="1"/>
    <xf numFmtId="0" fontId="4" fillId="0" borderId="32" xfId="0" applyFont="1" applyFill="1" applyBorder="1" applyAlignment="1" applyProtection="1"/>
    <xf numFmtId="0" fontId="3" fillId="0" borderId="51" xfId="0" applyFont="1" applyFill="1" applyBorder="1" applyAlignment="1" applyProtection="1">
      <alignment horizontal="center"/>
    </xf>
    <xf numFmtId="1" fontId="3" fillId="0" borderId="64" xfId="0" applyNumberFormat="1" applyFont="1" applyFill="1" applyBorder="1" applyAlignment="1" applyProtection="1">
      <alignment horizontal="center"/>
    </xf>
    <xf numFmtId="0" fontId="5" fillId="0" borderId="0" xfId="0" applyFont="1" applyAlignment="1" applyProtection="1">
      <alignment horizontal="left"/>
    </xf>
    <xf numFmtId="0" fontId="56" fillId="2" borderId="36" xfId="0" applyFont="1" applyFill="1" applyBorder="1" applyProtection="1">
      <protection locked="0"/>
    </xf>
    <xf numFmtId="0" fontId="4" fillId="0" borderId="6" xfId="0" applyFont="1" applyFill="1" applyBorder="1" applyAlignment="1" applyProtection="1"/>
    <xf numFmtId="0" fontId="0" fillId="4" borderId="0" xfId="0" applyFill="1" applyBorder="1" applyAlignment="1">
      <alignment horizontal="center"/>
    </xf>
    <xf numFmtId="0" fontId="0" fillId="4" borderId="1" xfId="0" applyFill="1" applyBorder="1" applyAlignment="1">
      <alignment horizontal="center"/>
    </xf>
    <xf numFmtId="0" fontId="0" fillId="4" borderId="6" xfId="0" applyFill="1" applyBorder="1" applyAlignment="1">
      <alignment horizontal="center"/>
    </xf>
    <xf numFmtId="0" fontId="0" fillId="4" borderId="2" xfId="0" applyFill="1" applyBorder="1" applyAlignment="1">
      <alignment horizontal="center"/>
    </xf>
    <xf numFmtId="0" fontId="0" fillId="0" borderId="58" xfId="0" applyFill="1" applyBorder="1"/>
    <xf numFmtId="0" fontId="5" fillId="0" borderId="0" xfId="0" applyFont="1" applyProtection="1"/>
    <xf numFmtId="0" fontId="3" fillId="2" borderId="59" xfId="0" applyFont="1" applyFill="1" applyBorder="1" applyAlignment="1" applyProtection="1">
      <alignment horizontal="center"/>
      <protection locked="0"/>
    </xf>
    <xf numFmtId="0" fontId="5" fillId="2" borderId="7" xfId="0" applyFont="1" applyFill="1" applyBorder="1" applyAlignment="1" applyProtection="1">
      <alignment horizontal="center"/>
      <protection locked="0"/>
    </xf>
    <xf numFmtId="0" fontId="5" fillId="2" borderId="2" xfId="0" applyFont="1" applyFill="1" applyBorder="1" applyAlignment="1" applyProtection="1">
      <alignment horizontal="center"/>
      <protection locked="0"/>
    </xf>
    <xf numFmtId="166" fontId="3" fillId="2" borderId="28" xfId="0" applyNumberFormat="1" applyFont="1" applyFill="1" applyBorder="1" applyAlignment="1" applyProtection="1">
      <alignment horizontal="center"/>
      <protection locked="0"/>
    </xf>
    <xf numFmtId="0" fontId="47" fillId="0" borderId="0" xfId="0" applyFont="1" applyFill="1" applyAlignment="1" applyProtection="1">
      <alignment horizontal="center"/>
    </xf>
    <xf numFmtId="0" fontId="21" fillId="0" borderId="68" xfId="0" applyFont="1" applyFill="1" applyBorder="1" applyAlignment="1" applyProtection="1">
      <alignment horizontal="right"/>
    </xf>
    <xf numFmtId="0" fontId="21" fillId="0" borderId="68" xfId="0" applyFont="1" applyFill="1" applyBorder="1" applyAlignment="1" applyProtection="1">
      <alignment horizontal="center"/>
    </xf>
    <xf numFmtId="0" fontId="40" fillId="0" borderId="34" xfId="0" applyFont="1" applyFill="1" applyBorder="1" applyAlignment="1" applyProtection="1">
      <alignment horizontal="center"/>
    </xf>
    <xf numFmtId="0" fontId="40" fillId="0" borderId="6" xfId="0" applyFont="1" applyFill="1" applyBorder="1" applyAlignment="1" applyProtection="1"/>
    <xf numFmtId="0" fontId="65" fillId="0" borderId="0" xfId="0" applyFont="1" applyFill="1" applyAlignment="1" applyProtection="1">
      <alignment horizontal="center"/>
    </xf>
    <xf numFmtId="0" fontId="65" fillId="0" borderId="0" xfId="0" applyFont="1" applyFill="1" applyProtection="1"/>
    <xf numFmtId="0" fontId="4" fillId="0" borderId="0" xfId="0" applyFont="1" applyFill="1" applyAlignment="1" applyProtection="1">
      <alignment horizontal="center" vertical="top"/>
    </xf>
    <xf numFmtId="0" fontId="4" fillId="0" borderId="0" xfId="0" applyFont="1" applyFill="1" applyAlignment="1" applyProtection="1">
      <alignment horizontal="center" vertical="top" wrapText="1"/>
    </xf>
    <xf numFmtId="0" fontId="4" fillId="0" borderId="18" xfId="0" applyFont="1" applyFill="1" applyBorder="1" applyAlignment="1" applyProtection="1">
      <alignment horizontal="center"/>
    </xf>
    <xf numFmtId="0" fontId="4" fillId="0" borderId="18" xfId="0" applyFont="1" applyFill="1" applyBorder="1" applyAlignment="1" applyProtection="1">
      <alignment horizontal="center" vertical="top"/>
    </xf>
    <xf numFmtId="0" fontId="4" fillId="0" borderId="18" xfId="0" applyFont="1" applyFill="1" applyBorder="1" applyAlignment="1" applyProtection="1">
      <alignment vertical="top"/>
    </xf>
    <xf numFmtId="0" fontId="4" fillId="0" borderId="5" xfId="0" applyFont="1" applyFill="1" applyBorder="1" applyAlignment="1" applyProtection="1">
      <alignment vertical="top"/>
    </xf>
    <xf numFmtId="0" fontId="4" fillId="0" borderId="18" xfId="0" applyFont="1" applyFill="1" applyBorder="1" applyAlignment="1" applyProtection="1">
      <alignment horizontal="center" vertical="center"/>
    </xf>
    <xf numFmtId="0" fontId="4" fillId="0" borderId="18" xfId="0" applyFont="1" applyFill="1" applyBorder="1" applyAlignment="1" applyProtection="1">
      <alignment vertical="center"/>
    </xf>
    <xf numFmtId="0" fontId="4" fillId="0" borderId="69" xfId="0" applyFont="1" applyBorder="1" applyAlignment="1" applyProtection="1">
      <alignment horizontal="center"/>
    </xf>
    <xf numFmtId="0" fontId="4" fillId="0" borderId="4" xfId="0" applyFont="1" applyBorder="1" applyAlignment="1" applyProtection="1">
      <alignment horizontal="center"/>
    </xf>
    <xf numFmtId="0" fontId="0" fillId="9" borderId="0" xfId="0" applyFill="1"/>
    <xf numFmtId="0" fontId="3" fillId="0" borderId="0" xfId="0" applyFont="1" applyFill="1"/>
    <xf numFmtId="0" fontId="0" fillId="10" borderId="36" xfId="0" applyFill="1" applyBorder="1"/>
    <xf numFmtId="0" fontId="3" fillId="0" borderId="36" xfId="0" applyFont="1" applyFill="1" applyBorder="1"/>
    <xf numFmtId="0" fontId="3" fillId="0" borderId="36" xfId="0" applyFont="1" applyBorder="1"/>
    <xf numFmtId="0" fontId="4" fillId="0" borderId="36" xfId="0" applyFont="1" applyFill="1" applyBorder="1"/>
    <xf numFmtId="0" fontId="0" fillId="0" borderId="36" xfId="0" applyBorder="1"/>
    <xf numFmtId="0" fontId="86" fillId="0" borderId="36" xfId="0" applyFont="1" applyBorder="1"/>
    <xf numFmtId="0" fontId="86" fillId="0" borderId="36" xfId="0" applyFont="1" applyFill="1" applyBorder="1"/>
    <xf numFmtId="0" fontId="0" fillId="11" borderId="0" xfId="0" applyFill="1" applyProtection="1"/>
    <xf numFmtId="0" fontId="0" fillId="12" borderId="0" xfId="0" applyFill="1" applyProtection="1"/>
    <xf numFmtId="0" fontId="0" fillId="13" borderId="0" xfId="0" applyFill="1" applyProtection="1"/>
    <xf numFmtId="0" fontId="0" fillId="14" borderId="0" xfId="0" applyFill="1" applyProtection="1"/>
    <xf numFmtId="0" fontId="0" fillId="15" borderId="0" xfId="0" applyFill="1" applyProtection="1"/>
    <xf numFmtId="0" fontId="0" fillId="16" borderId="0" xfId="0" applyFill="1" applyProtection="1"/>
    <xf numFmtId="0" fontId="0" fillId="17" borderId="0" xfId="0" applyFill="1" applyProtection="1"/>
    <xf numFmtId="0" fontId="0" fillId="18" borderId="0" xfId="0" applyFill="1" applyProtection="1"/>
    <xf numFmtId="0" fontId="0" fillId="19" borderId="0" xfId="0" applyFill="1" applyProtection="1"/>
    <xf numFmtId="0" fontId="0" fillId="20" borderId="0" xfId="0" applyFill="1" applyProtection="1"/>
    <xf numFmtId="0" fontId="0" fillId="21" borderId="0" xfId="0" applyFill="1" applyProtection="1"/>
    <xf numFmtId="0" fontId="0" fillId="22" borderId="0" xfId="0" applyFill="1" applyProtection="1"/>
    <xf numFmtId="0" fontId="0" fillId="23" borderId="0" xfId="0" applyFill="1" applyProtection="1"/>
    <xf numFmtId="0" fontId="4" fillId="15" borderId="0" xfId="0" applyFont="1" applyFill="1" applyProtection="1"/>
    <xf numFmtId="0" fontId="4" fillId="17" borderId="0" xfId="0" applyFont="1" applyFill="1" applyProtection="1"/>
    <xf numFmtId="0" fontId="4" fillId="20" borderId="0" xfId="0" applyFont="1" applyFill="1" applyProtection="1"/>
    <xf numFmtId="0" fontId="4" fillId="24" borderId="0" xfId="0" applyFont="1" applyFill="1" applyProtection="1"/>
    <xf numFmtId="0" fontId="4" fillId="16" borderId="0" xfId="0" applyFont="1" applyFill="1" applyProtection="1"/>
    <xf numFmtId="0" fontId="4" fillId="11" borderId="0" xfId="0" applyFont="1" applyFill="1" applyProtection="1"/>
    <xf numFmtId="0" fontId="4" fillId="25" borderId="0" xfId="0" applyFont="1" applyFill="1" applyProtection="1"/>
    <xf numFmtId="0" fontId="4" fillId="26" borderId="0" xfId="0" applyFont="1" applyFill="1" applyProtection="1"/>
    <xf numFmtId="0" fontId="0" fillId="27" borderId="0" xfId="0" applyFill="1" applyProtection="1"/>
    <xf numFmtId="0" fontId="0" fillId="18" borderId="0" xfId="0" applyFill="1" applyAlignment="1" applyProtection="1">
      <alignment horizontal="center"/>
    </xf>
    <xf numFmtId="0" fontId="3" fillId="0" borderId="1" xfId="0" applyFont="1" applyBorder="1" applyProtection="1"/>
    <xf numFmtId="0" fontId="0" fillId="11" borderId="0" xfId="0" applyFill="1" applyAlignment="1" applyProtection="1">
      <alignment horizontal="center"/>
    </xf>
    <xf numFmtId="0" fontId="0" fillId="16" borderId="0" xfId="0" applyFill="1" applyAlignment="1" applyProtection="1">
      <alignment horizontal="center"/>
    </xf>
    <xf numFmtId="0" fontId="0" fillId="13" borderId="0" xfId="0" applyFill="1" applyAlignment="1" applyProtection="1">
      <alignment horizontal="center"/>
    </xf>
    <xf numFmtId="0" fontId="0" fillId="14" borderId="0" xfId="0" applyFill="1" applyAlignment="1" applyProtection="1">
      <alignment horizontal="center"/>
    </xf>
    <xf numFmtId="0" fontId="0" fillId="17" borderId="0" xfId="0" applyFill="1" applyAlignment="1" applyProtection="1">
      <alignment horizontal="center"/>
    </xf>
    <xf numFmtId="0" fontId="0" fillId="16" borderId="0" xfId="0" applyFill="1" applyAlignment="1">
      <alignment horizontal="center"/>
    </xf>
    <xf numFmtId="0" fontId="4" fillId="16" borderId="0" xfId="0" applyFont="1" applyFill="1" applyBorder="1" applyAlignment="1" applyProtection="1">
      <alignment horizontal="center"/>
    </xf>
    <xf numFmtId="0" fontId="4" fillId="12" borderId="0" xfId="0" applyFont="1" applyFill="1" applyAlignment="1" applyProtection="1"/>
    <xf numFmtId="0" fontId="4" fillId="12" borderId="0" xfId="0" applyFont="1" applyFill="1" applyProtection="1"/>
    <xf numFmtId="0" fontId="0" fillId="28" borderId="0" xfId="0" applyFill="1"/>
    <xf numFmtId="0" fontId="0" fillId="27" borderId="0" xfId="0" applyFill="1"/>
    <xf numFmtId="0" fontId="0" fillId="24" borderId="0" xfId="0" applyFill="1" applyAlignment="1">
      <alignment horizontal="center"/>
    </xf>
    <xf numFmtId="0" fontId="0" fillId="18" borderId="0" xfId="0" applyFill="1" applyAlignment="1">
      <alignment horizontal="center"/>
    </xf>
    <xf numFmtId="0" fontId="4" fillId="15" borderId="0" xfId="0" applyFont="1" applyFill="1"/>
    <xf numFmtId="0" fontId="0" fillId="15" borderId="0" xfId="0" applyFill="1"/>
    <xf numFmtId="0" fontId="0" fillId="29" borderId="0" xfId="0" applyFill="1"/>
    <xf numFmtId="0" fontId="0" fillId="25" borderId="0" xfId="0" applyFill="1"/>
    <xf numFmtId="0" fontId="0" fillId="14" borderId="0" xfId="0" applyFill="1"/>
    <xf numFmtId="0" fontId="4" fillId="30" borderId="0" xfId="0" applyFont="1" applyFill="1"/>
    <xf numFmtId="0" fontId="4" fillId="0" borderId="70" xfId="0" applyFont="1" applyBorder="1"/>
    <xf numFmtId="0" fontId="4" fillId="0" borderId="70" xfId="0" applyFont="1" applyBorder="1" applyAlignment="1">
      <alignment horizontal="center"/>
    </xf>
    <xf numFmtId="2" fontId="4" fillId="0" borderId="70" xfId="0" applyNumberFormat="1" applyFont="1" applyBorder="1" applyAlignment="1">
      <alignment horizontal="center"/>
    </xf>
    <xf numFmtId="166" fontId="4" fillId="0" borderId="70" xfId="0" applyNumberFormat="1" applyFont="1" applyBorder="1" applyAlignment="1">
      <alignment horizontal="right"/>
    </xf>
    <xf numFmtId="0" fontId="3" fillId="0" borderId="43" xfId="0" applyFont="1" applyBorder="1"/>
    <xf numFmtId="0" fontId="3" fillId="0" borderId="43" xfId="0" applyFont="1" applyBorder="1" applyAlignment="1">
      <alignment wrapText="1"/>
    </xf>
    <xf numFmtId="0" fontId="3" fillId="0" borderId="43" xfId="0" applyFont="1" applyBorder="1" applyAlignment="1">
      <alignment horizontal="center" wrapText="1"/>
    </xf>
    <xf numFmtId="0" fontId="4" fillId="13" borderId="0" xfId="0" applyFont="1" applyFill="1" applyAlignment="1">
      <alignment horizontal="center"/>
    </xf>
    <xf numFmtId="0" fontId="0" fillId="0" borderId="7" xfId="0" applyBorder="1"/>
    <xf numFmtId="0" fontId="87" fillId="0" borderId="0" xfId="0" applyFont="1"/>
    <xf numFmtId="0" fontId="5" fillId="0" borderId="110" xfId="0" applyFont="1" applyBorder="1"/>
    <xf numFmtId="0" fontId="5" fillId="0" borderId="111" xfId="0" applyFont="1" applyBorder="1"/>
    <xf numFmtId="0" fontId="5" fillId="0" borderId="1" xfId="0" applyFont="1" applyBorder="1"/>
    <xf numFmtId="0" fontId="5" fillId="0" borderId="7" xfId="0" applyFont="1" applyBorder="1"/>
    <xf numFmtId="2" fontId="0" fillId="0" borderId="0" xfId="0" applyNumberFormat="1"/>
    <xf numFmtId="0" fontId="0" fillId="13" borderId="0" xfId="0" applyFill="1"/>
    <xf numFmtId="0" fontId="0" fillId="27" borderId="0" xfId="0" applyNumberFormat="1" applyFill="1"/>
    <xf numFmtId="167" fontId="4" fillId="0" borderId="70" xfId="0" applyNumberFormat="1" applyFont="1" applyBorder="1" applyAlignment="1">
      <alignment horizontal="center"/>
    </xf>
    <xf numFmtId="0" fontId="4" fillId="2" borderId="71"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4" fillId="2" borderId="43" xfId="0" applyFont="1" applyFill="1" applyBorder="1" applyAlignment="1" applyProtection="1">
      <alignment horizontal="center"/>
      <protection locked="0"/>
    </xf>
    <xf numFmtId="0" fontId="4" fillId="0" borderId="24" xfId="0" applyFont="1" applyFill="1" applyBorder="1"/>
    <xf numFmtId="0" fontId="0" fillId="3" borderId="0" xfId="0" applyFill="1" applyBorder="1" applyAlignment="1">
      <alignment horizontal="center"/>
    </xf>
    <xf numFmtId="0" fontId="0" fillId="3" borderId="1" xfId="0" applyFill="1" applyBorder="1" applyAlignment="1">
      <alignment horizontal="center"/>
    </xf>
    <xf numFmtId="0" fontId="4" fillId="31" borderId="0" xfId="0" applyFont="1" applyFill="1" applyBorder="1" applyAlignment="1" applyProtection="1">
      <alignment horizontal="center"/>
    </xf>
    <xf numFmtId="0" fontId="4" fillId="32" borderId="0" xfId="0" applyFont="1" applyFill="1" applyBorder="1" applyAlignment="1" applyProtection="1">
      <alignment horizontal="center"/>
    </xf>
    <xf numFmtId="0" fontId="4" fillId="33" borderId="0" xfId="0" applyFont="1" applyFill="1" applyBorder="1" applyAlignment="1" applyProtection="1">
      <alignment horizontal="center"/>
    </xf>
    <xf numFmtId="0" fontId="4" fillId="14" borderId="0" xfId="0" applyFont="1" applyFill="1" applyBorder="1" applyAlignment="1" applyProtection="1">
      <alignment horizontal="center"/>
    </xf>
    <xf numFmtId="0" fontId="4" fillId="11" borderId="0" xfId="0" applyFont="1" applyFill="1" applyBorder="1" applyAlignment="1" applyProtection="1">
      <alignment horizontal="center"/>
    </xf>
    <xf numFmtId="0" fontId="4" fillId="27" borderId="0" xfId="0" applyFont="1" applyFill="1" applyBorder="1" applyAlignment="1" applyProtection="1">
      <alignment horizontal="center"/>
    </xf>
    <xf numFmtId="0" fontId="4" fillId="34" borderId="0" xfId="0" applyFont="1" applyFill="1" applyBorder="1" applyAlignment="1" applyProtection="1">
      <alignment horizontal="center"/>
    </xf>
    <xf numFmtId="0" fontId="4" fillId="26" borderId="0" xfId="0" applyFont="1" applyFill="1" applyBorder="1" applyAlignment="1" applyProtection="1">
      <alignment horizontal="center"/>
    </xf>
    <xf numFmtId="0" fontId="4" fillId="35" borderId="0" xfId="0" applyFont="1" applyFill="1" applyBorder="1" applyAlignment="1" applyProtection="1">
      <alignment horizontal="center"/>
    </xf>
    <xf numFmtId="0" fontId="4" fillId="36" borderId="0" xfId="0" applyFont="1" applyFill="1" applyBorder="1" applyAlignment="1" applyProtection="1">
      <alignment horizontal="center"/>
    </xf>
    <xf numFmtId="0" fontId="4" fillId="16" borderId="5" xfId="0" applyFont="1" applyFill="1" applyBorder="1" applyAlignment="1" applyProtection="1">
      <alignment horizontal="center"/>
    </xf>
    <xf numFmtId="0" fontId="4" fillId="28" borderId="5" xfId="0" applyFont="1" applyFill="1" applyBorder="1" applyAlignment="1" applyProtection="1">
      <alignment horizontal="center"/>
    </xf>
    <xf numFmtId="0" fontId="3" fillId="0" borderId="33" xfId="0" applyFont="1" applyFill="1" applyBorder="1" applyAlignment="1">
      <alignment horizontal="center"/>
    </xf>
    <xf numFmtId="0" fontId="4" fillId="10" borderId="112" xfId="0" applyFont="1" applyFill="1" applyBorder="1" applyProtection="1">
      <protection locked="0"/>
    </xf>
    <xf numFmtId="0" fontId="0" fillId="36" borderId="0" xfId="0" applyFill="1"/>
    <xf numFmtId="0" fontId="0" fillId="20" borderId="5" xfId="0" applyFill="1" applyBorder="1" applyAlignment="1">
      <alignment horizontal="center"/>
    </xf>
    <xf numFmtId="0" fontId="4" fillId="0" borderId="5" xfId="0" applyFont="1" applyFill="1" applyBorder="1" applyAlignment="1">
      <alignment wrapText="1"/>
    </xf>
    <xf numFmtId="0" fontId="38" fillId="0" borderId="0" xfId="0" applyFont="1" applyFill="1" applyAlignment="1" applyProtection="1"/>
    <xf numFmtId="0" fontId="88" fillId="0" borderId="0" xfId="0" applyFont="1" applyFill="1" applyProtection="1"/>
    <xf numFmtId="0" fontId="89" fillId="0" borderId="0" xfId="0" applyFont="1" applyFill="1" applyProtection="1"/>
    <xf numFmtId="0" fontId="3" fillId="0" borderId="0" xfId="0" applyFont="1" applyFill="1" applyAlignment="1" applyProtection="1">
      <alignment horizontal="center"/>
      <protection locked="0"/>
    </xf>
    <xf numFmtId="166" fontId="3" fillId="0" borderId="70" xfId="0" applyNumberFormat="1" applyFont="1" applyBorder="1" applyAlignment="1">
      <alignment horizontal="right"/>
    </xf>
    <xf numFmtId="0" fontId="4" fillId="27" borderId="0" xfId="0" applyFont="1" applyFill="1" applyBorder="1"/>
    <xf numFmtId="0" fontId="4" fillId="16" borderId="33" xfId="0" applyFont="1" applyFill="1" applyBorder="1" applyAlignment="1" applyProtection="1">
      <alignment horizontal="center"/>
    </xf>
    <xf numFmtId="0" fontId="0" fillId="0" borderId="57" xfId="0" applyBorder="1"/>
    <xf numFmtId="0" fontId="3" fillId="0" borderId="57" xfId="0" applyFont="1" applyBorder="1"/>
    <xf numFmtId="0" fontId="3" fillId="0" borderId="58" xfId="0" applyFont="1" applyBorder="1"/>
    <xf numFmtId="0" fontId="3" fillId="0" borderId="72" xfId="0" applyFont="1" applyFill="1" applyBorder="1"/>
    <xf numFmtId="0" fontId="3" fillId="0" borderId="0" xfId="0" applyFont="1" applyAlignment="1">
      <alignment horizontal="right"/>
    </xf>
    <xf numFmtId="0" fontId="4" fillId="0" borderId="73" xfId="0" applyFont="1" applyFill="1" applyBorder="1" applyProtection="1"/>
    <xf numFmtId="0" fontId="90" fillId="0" borderId="0" xfId="0" applyFont="1"/>
    <xf numFmtId="0" fontId="4" fillId="37" borderId="70" xfId="0" applyFont="1" applyFill="1" applyBorder="1" applyProtection="1">
      <protection locked="0"/>
    </xf>
    <xf numFmtId="0" fontId="4" fillId="38" borderId="0" xfId="0" applyFont="1" applyFill="1" applyBorder="1"/>
    <xf numFmtId="0" fontId="24" fillId="2" borderId="0" xfId="0" applyFont="1" applyFill="1" applyProtection="1">
      <protection locked="0"/>
    </xf>
    <xf numFmtId="2" fontId="4" fillId="0" borderId="0" xfId="0" applyNumberFormat="1" applyFont="1"/>
    <xf numFmtId="0" fontId="91" fillId="0" borderId="18" xfId="0" applyFont="1" applyFill="1" applyBorder="1" applyAlignment="1" applyProtection="1">
      <alignment vertical="center"/>
    </xf>
    <xf numFmtId="0" fontId="91" fillId="0" borderId="0" xfId="0" applyFont="1" applyFill="1"/>
    <xf numFmtId="0" fontId="92" fillId="0" borderId="0" xfId="0" applyFont="1" applyFill="1"/>
    <xf numFmtId="0" fontId="5" fillId="0" borderId="1" xfId="0" applyFont="1" applyFill="1" applyBorder="1"/>
    <xf numFmtId="0" fontId="0" fillId="0" borderId="7" xfId="0" applyFill="1" applyBorder="1"/>
    <xf numFmtId="0" fontId="90" fillId="0" borderId="0" xfId="0" applyFont="1" applyFill="1"/>
    <xf numFmtId="0" fontId="88" fillId="0" borderId="0" xfId="0" applyFont="1" applyFill="1" applyBorder="1"/>
    <xf numFmtId="0" fontId="88" fillId="0" borderId="0" xfId="0" applyFont="1" applyFill="1"/>
    <xf numFmtId="0" fontId="88" fillId="0" borderId="0" xfId="0" applyFont="1" applyFill="1" applyBorder="1" applyAlignment="1"/>
    <xf numFmtId="0" fontId="88" fillId="0" borderId="0" xfId="0" applyFont="1" applyFill="1" applyAlignment="1">
      <alignment horizontal="center"/>
    </xf>
    <xf numFmtId="0" fontId="93" fillId="0" borderId="0" xfId="0" applyFont="1" applyFill="1"/>
    <xf numFmtId="0" fontId="94" fillId="0" borderId="0" xfId="0" applyFont="1" applyFill="1"/>
    <xf numFmtId="1" fontId="3" fillId="0" borderId="1" xfId="0" applyNumberFormat="1" applyFont="1" applyFill="1" applyBorder="1"/>
    <xf numFmtId="0" fontId="0" fillId="0" borderId="0" xfId="0" applyFill="1" applyProtection="1">
      <protection locked="0"/>
    </xf>
    <xf numFmtId="0" fontId="91" fillId="0" borderId="0" xfId="0" applyFont="1"/>
    <xf numFmtId="0" fontId="5" fillId="0" borderId="1" xfId="0" applyFont="1" applyBorder="1" applyAlignment="1" applyProtection="1"/>
    <xf numFmtId="0" fontId="24" fillId="0" borderId="14" xfId="0" applyFont="1" applyBorder="1" applyAlignment="1" applyProtection="1">
      <alignment horizontal="center"/>
    </xf>
    <xf numFmtId="0" fontId="0" fillId="39" borderId="36" xfId="0" applyFill="1" applyBorder="1" applyProtection="1">
      <protection locked="0"/>
    </xf>
    <xf numFmtId="0" fontId="4" fillId="0" borderId="0" xfId="0" applyFont="1" applyFill="1" applyProtection="1">
      <protection locked="0"/>
    </xf>
    <xf numFmtId="0" fontId="4" fillId="0" borderId="0" xfId="0" applyNumberFormat="1" applyFont="1" applyFill="1"/>
    <xf numFmtId="0" fontId="24" fillId="0" borderId="0" xfId="0" applyFont="1" applyFill="1" applyProtection="1"/>
    <xf numFmtId="0" fontId="92" fillId="0" borderId="0" xfId="0" applyNumberFormat="1" applyFont="1" applyFill="1" applyProtection="1"/>
    <xf numFmtId="0" fontId="0" fillId="0" borderId="4" xfId="0" applyBorder="1" applyAlignment="1">
      <alignment horizontal="center"/>
    </xf>
    <xf numFmtId="0" fontId="0" fillId="34" borderId="24" xfId="0" applyFill="1" applyBorder="1" applyAlignment="1">
      <alignment horizontal="center"/>
    </xf>
    <xf numFmtId="0" fontId="0" fillId="18" borderId="24" xfId="0" applyFill="1" applyBorder="1" applyAlignment="1">
      <alignment horizontal="center"/>
    </xf>
    <xf numFmtId="0" fontId="0" fillId="16" borderId="24" xfId="0" applyFill="1" applyBorder="1"/>
    <xf numFmtId="0" fontId="0" fillId="4" borderId="24" xfId="0" applyFill="1" applyBorder="1"/>
    <xf numFmtId="0" fontId="0" fillId="34" borderId="0" xfId="0" applyFill="1" applyBorder="1" applyAlignment="1">
      <alignment horizontal="center"/>
    </xf>
    <xf numFmtId="0" fontId="0" fillId="18" borderId="0" xfId="0" applyFill="1" applyBorder="1" applyAlignment="1">
      <alignment horizontal="center"/>
    </xf>
    <xf numFmtId="0" fontId="0" fillId="16" borderId="0" xfId="0" applyFill="1" applyBorder="1"/>
    <xf numFmtId="0" fontId="0" fillId="4" borderId="0" xfId="0" applyFill="1" applyBorder="1"/>
    <xf numFmtId="0" fontId="0" fillId="8" borderId="5" xfId="0" applyFill="1" applyBorder="1" applyAlignment="1">
      <alignment horizontal="center"/>
    </xf>
    <xf numFmtId="0" fontId="0" fillId="24" borderId="0" xfId="0" applyFill="1" applyBorder="1" applyAlignment="1">
      <alignment horizontal="center"/>
    </xf>
    <xf numFmtId="0" fontId="0" fillId="0" borderId="5" xfId="0" applyFill="1" applyBorder="1" applyAlignment="1">
      <alignment horizontal="center"/>
    </xf>
    <xf numFmtId="0" fontId="0" fillId="34" borderId="1" xfId="0" applyFill="1" applyBorder="1" applyAlignment="1">
      <alignment horizontal="center"/>
    </xf>
    <xf numFmtId="0" fontId="0" fillId="18" borderId="1" xfId="0" applyFill="1" applyBorder="1" applyAlignment="1">
      <alignment horizontal="center"/>
    </xf>
    <xf numFmtId="0" fontId="0" fillId="16" borderId="1" xfId="0" applyFill="1" applyBorder="1"/>
    <xf numFmtId="0" fontId="0" fillId="4" borderId="1" xfId="0" applyFill="1" applyBorder="1"/>
    <xf numFmtId="0" fontId="0" fillId="38" borderId="0" xfId="0" applyFill="1" applyBorder="1"/>
    <xf numFmtId="0" fontId="0" fillId="38" borderId="6" xfId="0" applyFill="1" applyBorder="1"/>
    <xf numFmtId="0" fontId="0" fillId="38" borderId="5" xfId="0" applyFill="1" applyBorder="1" applyAlignment="1">
      <alignment horizontal="center"/>
    </xf>
    <xf numFmtId="0" fontId="0" fillId="38" borderId="1" xfId="0" applyFill="1" applyBorder="1"/>
    <xf numFmtId="0" fontId="0" fillId="38" borderId="2" xfId="0" applyFill="1" applyBorder="1"/>
    <xf numFmtId="0" fontId="0" fillId="38" borderId="33" xfId="0" applyFill="1" applyBorder="1" applyAlignment="1">
      <alignment horizontal="center"/>
    </xf>
    <xf numFmtId="0" fontId="0" fillId="24" borderId="0" xfId="0" applyFill="1" applyBorder="1"/>
    <xf numFmtId="0" fontId="0" fillId="28" borderId="0" xfId="0" applyFill="1" applyAlignment="1">
      <alignment horizontal="center"/>
    </xf>
    <xf numFmtId="0" fontId="0" fillId="27" borderId="0" xfId="0" applyFill="1" applyAlignment="1">
      <alignment horizontal="center"/>
    </xf>
    <xf numFmtId="0" fontId="23" fillId="0" borderId="5" xfId="0" applyFont="1" applyBorder="1" applyAlignment="1" applyProtection="1">
      <alignment horizontal="left" textRotation="90" wrapText="1"/>
    </xf>
    <xf numFmtId="0" fontId="4" fillId="0" borderId="5" xfId="0" applyFont="1" applyBorder="1" applyProtection="1"/>
    <xf numFmtId="0" fontId="84" fillId="0" borderId="33" xfId="0" applyFont="1" applyBorder="1" applyAlignment="1" applyProtection="1">
      <alignment textRotation="90"/>
    </xf>
    <xf numFmtId="0" fontId="23" fillId="0" borderId="2" xfId="0" applyFont="1" applyBorder="1" applyAlignment="1" applyProtection="1">
      <alignment horizontal="left" textRotation="90" wrapText="1"/>
    </xf>
    <xf numFmtId="0" fontId="3" fillId="0" borderId="0" xfId="0" applyFont="1" applyFill="1" applyBorder="1" applyAlignment="1" applyProtection="1">
      <alignment horizontal="center"/>
      <protection locked="0"/>
    </xf>
    <xf numFmtId="0" fontId="3" fillId="0" borderId="24" xfId="0" applyFont="1" applyFill="1" applyBorder="1" applyAlignment="1" applyProtection="1">
      <alignment horizontal="center"/>
      <protection locked="0"/>
    </xf>
    <xf numFmtId="0" fontId="4" fillId="0" borderId="24" xfId="0" applyFont="1" applyFill="1" applyBorder="1" applyAlignment="1" applyProtection="1">
      <alignment horizontal="center"/>
    </xf>
    <xf numFmtId="0" fontId="4" fillId="28" borderId="0" xfId="0" applyFont="1" applyFill="1" applyBorder="1" applyAlignment="1" applyProtection="1">
      <alignment horizontal="center"/>
    </xf>
    <xf numFmtId="0" fontId="95" fillId="0" borderId="0" xfId="0" applyFont="1" applyBorder="1" applyAlignment="1">
      <alignment vertical="center" wrapText="1"/>
    </xf>
    <xf numFmtId="2" fontId="95" fillId="0" borderId="0" xfId="0" applyNumberFormat="1" applyFont="1" applyBorder="1" applyAlignment="1">
      <alignment horizontal="center" vertical="center" wrapText="1"/>
    </xf>
    <xf numFmtId="0" fontId="96" fillId="0" borderId="43" xfId="0" applyFont="1" applyBorder="1" applyAlignment="1">
      <alignment vertical="center" wrapText="1"/>
    </xf>
    <xf numFmtId="2" fontId="96" fillId="0" borderId="43" xfId="0" applyNumberFormat="1" applyFont="1" applyBorder="1" applyAlignment="1">
      <alignment horizontal="center" vertical="center" wrapText="1"/>
    </xf>
    <xf numFmtId="0" fontId="96" fillId="0" borderId="43" xfId="0" applyFont="1" applyBorder="1" applyAlignment="1">
      <alignment horizontal="center" vertical="center" wrapText="1"/>
    </xf>
    <xf numFmtId="0" fontId="97" fillId="0" borderId="59" xfId="0" applyFont="1" applyBorder="1" applyAlignment="1">
      <alignment vertical="center" wrapText="1"/>
    </xf>
    <xf numFmtId="2" fontId="97" fillId="0" borderId="59" xfId="0" applyNumberFormat="1" applyFont="1" applyBorder="1" applyAlignment="1">
      <alignment horizontal="center" vertical="center" wrapText="1"/>
    </xf>
    <xf numFmtId="0" fontId="97" fillId="0" borderId="59" xfId="0" applyFont="1" applyBorder="1" applyAlignment="1">
      <alignment horizontal="center" vertical="center" wrapText="1"/>
    </xf>
    <xf numFmtId="0" fontId="97" fillId="0" borderId="36" xfId="0" applyFont="1" applyBorder="1" applyAlignment="1">
      <alignment vertical="center" wrapText="1"/>
    </xf>
    <xf numFmtId="2" fontId="97" fillId="0" borderId="36" xfId="0" applyNumberFormat="1" applyFont="1" applyBorder="1" applyAlignment="1">
      <alignment horizontal="center" vertical="center" wrapText="1"/>
    </xf>
    <xf numFmtId="0" fontId="97" fillId="0" borderId="36" xfId="0" applyFont="1" applyBorder="1" applyAlignment="1">
      <alignment horizontal="center" vertical="center" wrapText="1"/>
    </xf>
    <xf numFmtId="0" fontId="0" fillId="0" borderId="36" xfId="0" applyFill="1" applyBorder="1"/>
    <xf numFmtId="0" fontId="0" fillId="0" borderId="19" xfId="0" applyNumberFormat="1" applyFill="1" applyBorder="1" applyAlignment="1" applyProtection="1"/>
    <xf numFmtId="0" fontId="1" fillId="0" borderId="36" xfId="0" applyFont="1" applyFill="1" applyBorder="1"/>
    <xf numFmtId="0" fontId="23" fillId="0" borderId="58" xfId="0" applyFont="1" applyBorder="1" applyAlignment="1" applyProtection="1">
      <alignment horizontal="center" textRotation="90" wrapText="1"/>
    </xf>
    <xf numFmtId="0" fontId="0" fillId="0" borderId="57"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1" fillId="0" borderId="0" xfId="0" applyFont="1" applyAlignment="1">
      <alignment horizontal="center"/>
    </xf>
    <xf numFmtId="0" fontId="1" fillId="0" borderId="58" xfId="0" applyFont="1" applyBorder="1" applyAlignment="1">
      <alignment horizontal="center"/>
    </xf>
    <xf numFmtId="0" fontId="1" fillId="0" borderId="57" xfId="0" applyFont="1" applyBorder="1" applyAlignment="1">
      <alignment horizontal="center"/>
    </xf>
    <xf numFmtId="0" fontId="1" fillId="0" borderId="59" xfId="0" applyFont="1" applyBorder="1" applyAlignment="1">
      <alignment horizontal="center"/>
    </xf>
    <xf numFmtId="0" fontId="3" fillId="0" borderId="7" xfId="0" applyFont="1" applyFill="1" applyBorder="1" applyAlignment="1">
      <alignment horizontal="center"/>
    </xf>
    <xf numFmtId="0" fontId="1" fillId="16" borderId="57" xfId="0" applyFont="1" applyFill="1" applyBorder="1" applyAlignment="1">
      <alignment horizontal="center"/>
    </xf>
    <xf numFmtId="0" fontId="1" fillId="17" borderId="57" xfId="0" applyFont="1" applyFill="1" applyBorder="1" applyAlignment="1">
      <alignment horizontal="center"/>
    </xf>
    <xf numFmtId="0" fontId="1" fillId="40" borderId="57" xfId="0" applyFont="1" applyFill="1" applyBorder="1" applyAlignment="1">
      <alignment horizontal="center"/>
    </xf>
    <xf numFmtId="0" fontId="1" fillId="24" borderId="57" xfId="0" applyFont="1" applyFill="1" applyBorder="1" applyAlignment="1">
      <alignment horizontal="center"/>
    </xf>
    <xf numFmtId="0" fontId="1" fillId="0" borderId="59" xfId="0" applyFont="1" applyBorder="1"/>
    <xf numFmtId="0" fontId="1" fillId="41" borderId="57" xfId="0" applyFont="1" applyFill="1" applyBorder="1" applyAlignment="1">
      <alignment horizontal="center"/>
    </xf>
    <xf numFmtId="0" fontId="0" fillId="13" borderId="57" xfId="0" applyFill="1" applyBorder="1" applyAlignment="1">
      <alignment horizontal="center"/>
    </xf>
    <xf numFmtId="1" fontId="0" fillId="0" borderId="0" xfId="0" applyNumberFormat="1"/>
    <xf numFmtId="1" fontId="17" fillId="0" borderId="0" xfId="0" applyNumberFormat="1" applyFont="1"/>
    <xf numFmtId="0" fontId="0" fillId="34" borderId="57" xfId="0" applyFill="1" applyBorder="1" applyAlignment="1">
      <alignment horizontal="center"/>
    </xf>
    <xf numFmtId="0" fontId="0" fillId="34" borderId="59" xfId="0" applyFill="1" applyBorder="1" applyAlignment="1">
      <alignment horizontal="center"/>
    </xf>
    <xf numFmtId="0" fontId="0" fillId="34" borderId="58" xfId="0" applyFill="1" applyBorder="1" applyAlignment="1">
      <alignment horizontal="center"/>
    </xf>
    <xf numFmtId="0" fontId="0" fillId="40" borderId="58" xfId="0" applyFill="1" applyBorder="1" applyAlignment="1">
      <alignment horizontal="center"/>
    </xf>
    <xf numFmtId="0" fontId="0" fillId="40" borderId="57" xfId="0" applyFill="1" applyBorder="1" applyAlignment="1">
      <alignment horizontal="center"/>
    </xf>
    <xf numFmtId="0" fontId="0" fillId="40" borderId="59" xfId="0" applyFill="1" applyBorder="1" applyAlignment="1">
      <alignment horizontal="center"/>
    </xf>
    <xf numFmtId="0" fontId="0" fillId="17" borderId="59" xfId="0" applyFill="1" applyBorder="1" applyAlignment="1">
      <alignment horizontal="center"/>
    </xf>
    <xf numFmtId="0" fontId="0" fillId="17" borderId="57" xfId="0" applyFill="1" applyBorder="1" applyAlignment="1">
      <alignment horizontal="center"/>
    </xf>
    <xf numFmtId="0" fontId="0" fillId="17" borderId="58" xfId="0" applyFill="1" applyBorder="1" applyAlignment="1">
      <alignment horizontal="center"/>
    </xf>
    <xf numFmtId="0" fontId="0" fillId="16" borderId="58" xfId="0" applyFill="1" applyBorder="1" applyAlignment="1">
      <alignment horizontal="center"/>
    </xf>
    <xf numFmtId="0" fontId="0" fillId="16" borderId="57" xfId="0" applyFill="1" applyBorder="1" applyAlignment="1">
      <alignment horizontal="center"/>
    </xf>
    <xf numFmtId="0" fontId="0" fillId="16" borderId="59" xfId="0" applyFill="1" applyBorder="1" applyAlignment="1">
      <alignment horizontal="center"/>
    </xf>
    <xf numFmtId="0" fontId="0" fillId="30" borderId="59" xfId="0" applyFill="1" applyBorder="1" applyAlignment="1">
      <alignment horizontal="center"/>
    </xf>
    <xf numFmtId="0" fontId="0" fillId="42" borderId="59" xfId="0" applyFill="1" applyBorder="1" applyAlignment="1">
      <alignment horizontal="center"/>
    </xf>
    <xf numFmtId="0" fontId="0" fillId="42" borderId="58" xfId="0" applyFill="1" applyBorder="1" applyAlignment="1">
      <alignment horizontal="center"/>
    </xf>
    <xf numFmtId="0" fontId="0" fillId="42" borderId="57" xfId="0" applyFill="1" applyBorder="1" applyAlignment="1">
      <alignment horizontal="center"/>
    </xf>
    <xf numFmtId="0" fontId="0" fillId="43" borderId="59" xfId="0" applyFill="1" applyBorder="1" applyAlignment="1">
      <alignment horizontal="center"/>
    </xf>
    <xf numFmtId="0" fontId="0" fillId="43" borderId="57" xfId="0" applyFill="1" applyBorder="1" applyAlignment="1">
      <alignment horizontal="center"/>
    </xf>
    <xf numFmtId="0" fontId="0" fillId="43" borderId="58" xfId="0" applyFill="1" applyBorder="1" applyAlignment="1">
      <alignment horizontal="center"/>
    </xf>
    <xf numFmtId="0" fontId="0" fillId="24" borderId="57" xfId="0" applyFill="1" applyBorder="1" applyAlignment="1">
      <alignment horizontal="center"/>
    </xf>
    <xf numFmtId="0" fontId="0" fillId="24" borderId="58" xfId="0" applyFill="1" applyBorder="1" applyAlignment="1">
      <alignment horizontal="center"/>
    </xf>
    <xf numFmtId="0" fontId="0" fillId="24" borderId="59" xfId="0" applyFill="1" applyBorder="1" applyAlignment="1">
      <alignment horizontal="center"/>
    </xf>
    <xf numFmtId="0" fontId="0" fillId="18" borderId="58" xfId="0" applyFill="1" applyBorder="1" applyAlignment="1">
      <alignment horizontal="center"/>
    </xf>
    <xf numFmtId="0" fontId="0" fillId="18" borderId="59" xfId="0" applyFill="1" applyBorder="1" applyAlignment="1">
      <alignment horizontal="center"/>
    </xf>
    <xf numFmtId="0" fontId="0" fillId="18" borderId="57" xfId="0" applyFill="1" applyBorder="1" applyAlignment="1">
      <alignment horizontal="center"/>
    </xf>
    <xf numFmtId="0" fontId="0" fillId="15" borderId="57" xfId="0" applyFill="1" applyBorder="1" applyAlignment="1">
      <alignment horizontal="center"/>
    </xf>
    <xf numFmtId="0" fontId="0" fillId="0" borderId="58" xfId="0" applyBorder="1"/>
    <xf numFmtId="0" fontId="0" fillId="38" borderId="58" xfId="0" applyFill="1" applyBorder="1"/>
    <xf numFmtId="0" fontId="0" fillId="38" borderId="59" xfId="0" applyFill="1" applyBorder="1"/>
    <xf numFmtId="0" fontId="5" fillId="38" borderId="36" xfId="0" applyFont="1" applyFill="1" applyBorder="1" applyAlignment="1" applyProtection="1">
      <alignment horizontal="center"/>
      <protection locked="0"/>
    </xf>
    <xf numFmtId="0" fontId="1" fillId="42" borderId="57" xfId="0" applyFont="1" applyFill="1" applyBorder="1" applyAlignment="1">
      <alignment horizontal="center"/>
    </xf>
    <xf numFmtId="0" fontId="5" fillId="38" borderId="63" xfId="0" applyFont="1" applyFill="1" applyBorder="1" applyAlignment="1" applyProtection="1">
      <alignment horizontal="center"/>
      <protection locked="0"/>
    </xf>
    <xf numFmtId="0" fontId="1" fillId="19" borderId="57" xfId="0" applyFont="1" applyFill="1" applyBorder="1" applyAlignment="1">
      <alignment horizontal="center"/>
    </xf>
    <xf numFmtId="0" fontId="0" fillId="32" borderId="57" xfId="0" applyFill="1" applyBorder="1" applyAlignment="1">
      <alignment horizontal="center"/>
    </xf>
    <xf numFmtId="0" fontId="4" fillId="0" borderId="59" xfId="0" applyFont="1" applyFill="1" applyBorder="1"/>
    <xf numFmtId="0" fontId="1" fillId="28" borderId="57" xfId="0" applyFont="1" applyFill="1" applyBorder="1" applyAlignment="1">
      <alignment horizontal="center"/>
    </xf>
    <xf numFmtId="0" fontId="1" fillId="18" borderId="57" xfId="0" applyFont="1" applyFill="1" applyBorder="1" applyAlignment="1">
      <alignment horizontal="center"/>
    </xf>
    <xf numFmtId="0" fontId="1" fillId="16" borderId="58" xfId="0" applyFont="1" applyFill="1" applyBorder="1" applyAlignment="1">
      <alignment horizontal="center"/>
    </xf>
    <xf numFmtId="0" fontId="1" fillId="40" borderId="58" xfId="0" applyFont="1" applyFill="1" applyBorder="1" applyAlignment="1">
      <alignment horizontal="center"/>
    </xf>
    <xf numFmtId="0" fontId="3" fillId="44" borderId="34" xfId="0" applyFont="1" applyFill="1" applyBorder="1" applyAlignment="1" applyProtection="1">
      <alignment horizontal="center"/>
      <protection locked="0"/>
    </xf>
    <xf numFmtId="0" fontId="24" fillId="44" borderId="48" xfId="0" applyFont="1" applyFill="1" applyBorder="1" applyAlignment="1" applyProtection="1">
      <alignment horizontal="center"/>
      <protection locked="0"/>
    </xf>
    <xf numFmtId="0" fontId="24" fillId="44" borderId="74" xfId="0" applyFont="1" applyFill="1" applyBorder="1" applyAlignment="1" applyProtection="1">
      <alignment horizontal="center"/>
      <protection locked="0"/>
    </xf>
    <xf numFmtId="0" fontId="3" fillId="44" borderId="28" xfId="0" applyFont="1" applyFill="1" applyBorder="1" applyAlignment="1" applyProtection="1">
      <alignment horizontal="center"/>
      <protection locked="0"/>
    </xf>
    <xf numFmtId="1" fontId="3" fillId="44" borderId="34" xfId="0" applyNumberFormat="1" applyFont="1" applyFill="1" applyBorder="1" applyAlignment="1" applyProtection="1">
      <alignment horizontal="center"/>
      <protection locked="0"/>
    </xf>
    <xf numFmtId="0" fontId="4" fillId="45" borderId="113" xfId="0" applyFont="1" applyFill="1" applyBorder="1" applyAlignment="1" applyProtection="1">
      <alignment horizontal="center"/>
      <protection locked="0"/>
    </xf>
    <xf numFmtId="0" fontId="4" fillId="45" borderId="114" xfId="0" applyFont="1" applyFill="1" applyBorder="1" applyAlignment="1" applyProtection="1">
      <alignment horizontal="center"/>
      <protection locked="0"/>
    </xf>
    <xf numFmtId="0" fontId="4" fillId="0" borderId="58" xfId="0" applyFont="1" applyFill="1" applyBorder="1" applyAlignment="1">
      <alignment horizontal="center"/>
    </xf>
    <xf numFmtId="0" fontId="17" fillId="0" borderId="34" xfId="0" applyFont="1" applyFill="1" applyBorder="1" applyProtection="1"/>
    <xf numFmtId="0" fontId="0" fillId="0" borderId="6" xfId="0" applyFill="1" applyBorder="1" applyProtection="1"/>
    <xf numFmtId="0" fontId="0" fillId="0" borderId="2" xfId="0" applyFill="1" applyBorder="1" applyProtection="1"/>
    <xf numFmtId="0" fontId="1" fillId="0" borderId="36" xfId="0" applyFont="1" applyBorder="1"/>
    <xf numFmtId="0" fontId="0" fillId="0" borderId="0" xfId="0" applyAlignment="1"/>
    <xf numFmtId="0" fontId="0" fillId="0" borderId="0" xfId="0" applyFill="1" applyAlignment="1" applyProtection="1"/>
    <xf numFmtId="0" fontId="1" fillId="0" borderId="0" xfId="0" applyFont="1" applyFill="1" applyBorder="1" applyAlignment="1"/>
    <xf numFmtId="0" fontId="1" fillId="0" borderId="0" xfId="0" applyFont="1" applyFill="1" applyBorder="1"/>
    <xf numFmtId="0" fontId="1" fillId="0" borderId="0" xfId="0" applyFont="1" applyFill="1"/>
    <xf numFmtId="0" fontId="1" fillId="0" borderId="0" xfId="0" applyFont="1" applyBorder="1"/>
    <xf numFmtId="0" fontId="0" fillId="38" borderId="0" xfId="0" applyFill="1"/>
    <xf numFmtId="0" fontId="1" fillId="0" borderId="0" xfId="0" applyFont="1" applyFill="1" applyProtection="1"/>
    <xf numFmtId="0" fontId="3" fillId="0" borderId="0" xfId="0" applyFont="1" applyFill="1" applyBorder="1" applyAlignment="1" applyProtection="1"/>
    <xf numFmtId="0" fontId="0" fillId="0" borderId="0" xfId="0" applyAlignment="1"/>
    <xf numFmtId="0" fontId="3" fillId="0" borderId="1" xfId="0" applyFont="1" applyFill="1" applyBorder="1" applyAlignment="1" applyProtection="1">
      <protection locked="0"/>
    </xf>
    <xf numFmtId="0" fontId="0" fillId="0" borderId="1" xfId="0" applyBorder="1" applyAlignment="1"/>
    <xf numFmtId="0" fontId="3" fillId="0" borderId="62" xfId="0" applyFont="1" applyFill="1" applyBorder="1" applyAlignment="1" applyProtection="1"/>
    <xf numFmtId="0" fontId="0" fillId="0" borderId="24" xfId="0" applyBorder="1" applyAlignment="1"/>
    <xf numFmtId="0" fontId="0" fillId="0" borderId="78" xfId="0" applyBorder="1" applyAlignment="1"/>
    <xf numFmtId="0" fontId="5" fillId="2" borderId="7" xfId="0" applyFont="1" applyFill="1" applyBorder="1" applyAlignment="1" applyProtection="1">
      <alignment horizontal="center"/>
      <protection locked="0"/>
    </xf>
    <xf numFmtId="0" fontId="12" fillId="0" borderId="1" xfId="0" applyFont="1" applyFill="1" applyBorder="1" applyAlignment="1" applyProtection="1">
      <alignment horizontal="center" wrapText="1"/>
    </xf>
    <xf numFmtId="0" fontId="10" fillId="0" borderId="4" xfId="0" applyFont="1" applyFill="1" applyBorder="1" applyAlignment="1" applyProtection="1"/>
    <xf numFmtId="0" fontId="0" fillId="0" borderId="33" xfId="0" applyBorder="1" applyAlignment="1"/>
    <xf numFmtId="0" fontId="5" fillId="2" borderId="4" xfId="0" applyFont="1" applyFill="1" applyBorder="1" applyAlignment="1" applyProtection="1">
      <alignment horizontal="center"/>
      <protection locked="0"/>
    </xf>
    <xf numFmtId="0" fontId="5" fillId="2" borderId="34" xfId="0" applyFont="1" applyFill="1" applyBorder="1" applyAlignment="1" applyProtection="1">
      <alignment horizontal="center"/>
      <protection locked="0"/>
    </xf>
    <xf numFmtId="0" fontId="0" fillId="2" borderId="33"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20" fillId="0" borderId="4" xfId="0" applyNumberFormat="1" applyFont="1" applyFill="1" applyBorder="1" applyAlignment="1" applyProtection="1">
      <alignment horizontal="center"/>
    </xf>
    <xf numFmtId="0" fontId="12" fillId="0" borderId="24" xfId="0" applyFont="1" applyFill="1" applyBorder="1" applyAlignment="1" applyProtection="1">
      <alignment horizontal="center"/>
    </xf>
    <xf numFmtId="0" fontId="0" fillId="0" borderId="35" xfId="0" applyFill="1" applyBorder="1" applyAlignment="1" applyProtection="1"/>
    <xf numFmtId="0" fontId="0" fillId="0" borderId="11" xfId="0" applyBorder="1" applyAlignment="1"/>
    <xf numFmtId="0" fontId="3" fillId="0" borderId="16" xfId="0" applyFont="1" applyFill="1" applyBorder="1" applyAlignment="1" applyProtection="1"/>
    <xf numFmtId="0" fontId="0" fillId="0" borderId="7" xfId="0" applyBorder="1" applyAlignment="1"/>
    <xf numFmtId="0" fontId="4" fillId="0" borderId="1" xfId="0" applyFont="1" applyFill="1" applyBorder="1" applyAlignment="1" applyProtection="1"/>
    <xf numFmtId="0" fontId="0" fillId="0" borderId="1" xfId="0" applyBorder="1" applyAlignment="1" applyProtection="1"/>
    <xf numFmtId="0" fontId="3" fillId="0" borderId="4" xfId="0" applyFont="1" applyFill="1" applyBorder="1" applyAlignment="1" applyProtection="1"/>
    <xf numFmtId="0" fontId="0" fillId="0" borderId="24" xfId="0" applyBorder="1" applyAlignment="1" applyProtection="1"/>
    <xf numFmtId="0" fontId="20" fillId="0" borderId="14" xfId="0" applyFont="1" applyFill="1" applyBorder="1" applyAlignment="1" applyProtection="1">
      <alignment horizontal="center" wrapText="1"/>
    </xf>
    <xf numFmtId="0" fontId="0" fillId="0" borderId="65" xfId="0" applyFill="1" applyBorder="1" applyAlignment="1">
      <alignment horizontal="center" wrapText="1"/>
    </xf>
    <xf numFmtId="0" fontId="0" fillId="0" borderId="7" xfId="0" applyBorder="1" applyAlignment="1" applyProtection="1"/>
    <xf numFmtId="0" fontId="5" fillId="2" borderId="17" xfId="0" applyFont="1" applyFill="1" applyBorder="1" applyAlignment="1" applyProtection="1">
      <alignment horizontal="center"/>
      <protection locked="0"/>
    </xf>
    <xf numFmtId="0" fontId="0" fillId="2" borderId="65" xfId="0" applyFill="1" applyBorder="1" applyAlignment="1" applyProtection="1">
      <protection locked="0"/>
    </xf>
    <xf numFmtId="0" fontId="3" fillId="0" borderId="33" xfId="0" applyFont="1" applyFill="1" applyBorder="1" applyAlignment="1" applyProtection="1">
      <alignment vertical="top"/>
    </xf>
    <xf numFmtId="0" fontId="0" fillId="0" borderId="1" xfId="0" applyBorder="1" applyAlignment="1">
      <alignment vertical="top"/>
    </xf>
    <xf numFmtId="0" fontId="0" fillId="2" borderId="14" xfId="0" applyFill="1" applyBorder="1" applyAlignment="1" applyProtection="1">
      <alignment horizontal="center"/>
      <protection locked="0"/>
    </xf>
    <xf numFmtId="0" fontId="0" fillId="2" borderId="65" xfId="0" applyFill="1" applyBorder="1" applyAlignment="1" applyProtection="1">
      <alignment horizontal="center"/>
      <protection locked="0"/>
    </xf>
    <xf numFmtId="0" fontId="12" fillId="0" borderId="0" xfId="0" applyFont="1" applyFill="1" applyBorder="1" applyAlignment="1" applyProtection="1">
      <alignment horizontal="center"/>
    </xf>
    <xf numFmtId="0" fontId="0" fillId="0" borderId="0" xfId="0" applyBorder="1" applyAlignment="1"/>
    <xf numFmtId="0" fontId="3" fillId="0" borderId="17" xfId="0" applyFont="1" applyFill="1" applyBorder="1" applyAlignment="1" applyProtection="1">
      <alignment horizontal="left"/>
    </xf>
    <xf numFmtId="0" fontId="0" fillId="0" borderId="14" xfId="0" applyBorder="1" applyAlignment="1" applyProtection="1"/>
    <xf numFmtId="0" fontId="12" fillId="0" borderId="7" xfId="0" applyFont="1" applyFill="1" applyBorder="1" applyAlignment="1" applyProtection="1">
      <alignment horizontal="center" wrapText="1"/>
    </xf>
    <xf numFmtId="0" fontId="5" fillId="2" borderId="65" xfId="0" applyFont="1" applyFill="1" applyBorder="1" applyAlignment="1" applyProtection="1">
      <alignment horizontal="center"/>
      <protection locked="0"/>
    </xf>
    <xf numFmtId="0" fontId="20" fillId="0" borderId="25" xfId="0" applyNumberFormat="1" applyFont="1" applyFill="1" applyBorder="1" applyAlignment="1" applyProtection="1"/>
    <xf numFmtId="0" fontId="0" fillId="0" borderId="55" xfId="0" applyBorder="1" applyAlignment="1"/>
    <xf numFmtId="0" fontId="20" fillId="0" borderId="24" xfId="0" applyNumberFormat="1" applyFont="1" applyFill="1" applyBorder="1" applyAlignment="1" applyProtection="1"/>
    <xf numFmtId="0" fontId="5" fillId="2" borderId="24"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0" borderId="24" xfId="0" applyBorder="1" applyAlignment="1" applyProtection="1">
      <alignment horizontal="center"/>
    </xf>
    <xf numFmtId="0" fontId="0" fillId="0" borderId="1" xfId="0" applyBorder="1" applyAlignment="1" applyProtection="1">
      <alignment horizontal="center"/>
    </xf>
    <xf numFmtId="2" fontId="5" fillId="2" borderId="24" xfId="0" applyNumberFormat="1" applyFont="1" applyFill="1" applyBorder="1" applyAlignment="1" applyProtection="1">
      <alignment horizontal="center"/>
      <protection locked="0"/>
    </xf>
    <xf numFmtId="0" fontId="0" fillId="2" borderId="24" xfId="0" applyFill="1" applyBorder="1" applyAlignment="1" applyProtection="1">
      <protection locked="0"/>
    </xf>
    <xf numFmtId="0" fontId="0" fillId="2" borderId="1" xfId="0" applyFill="1" applyBorder="1" applyAlignment="1" applyProtection="1">
      <protection locked="0"/>
    </xf>
    <xf numFmtId="0" fontId="20" fillId="0" borderId="24" xfId="0" applyFont="1" applyFill="1" applyBorder="1" applyAlignment="1" applyProtection="1">
      <alignment horizontal="center" wrapText="1"/>
    </xf>
    <xf numFmtId="0" fontId="0" fillId="0" borderId="34" xfId="0" applyFill="1" applyBorder="1" applyAlignment="1">
      <alignment horizontal="center" wrapText="1"/>
    </xf>
    <xf numFmtId="0" fontId="0" fillId="0" borderId="1" xfId="0" applyFill="1" applyBorder="1" applyAlignment="1">
      <alignment horizontal="center" wrapText="1"/>
    </xf>
    <xf numFmtId="0" fontId="0" fillId="0" borderId="2" xfId="0" applyFill="1" applyBorder="1" applyAlignment="1">
      <alignment horizontal="center" wrapText="1"/>
    </xf>
    <xf numFmtId="3" fontId="24" fillId="44" borderId="24" xfId="0" applyNumberFormat="1" applyFont="1" applyFill="1" applyBorder="1" applyAlignment="1" applyProtection="1">
      <alignment horizontal="center"/>
      <protection locked="0"/>
    </xf>
    <xf numFmtId="0" fontId="0" fillId="44" borderId="25" xfId="0" applyFill="1" applyBorder="1" applyAlignment="1"/>
    <xf numFmtId="0" fontId="0" fillId="44" borderId="1" xfId="0" applyFill="1" applyBorder="1" applyAlignment="1"/>
    <xf numFmtId="0" fontId="0" fillId="44" borderId="55" xfId="0" applyFill="1" applyBorder="1" applyAlignment="1"/>
    <xf numFmtId="0" fontId="5" fillId="44" borderId="7" xfId="0" applyFont="1" applyFill="1" applyBorder="1" applyAlignment="1" applyProtection="1">
      <alignment horizontal="center"/>
      <protection locked="0"/>
    </xf>
    <xf numFmtId="0" fontId="0" fillId="44" borderId="28" xfId="0" applyFill="1" applyBorder="1" applyAlignment="1" applyProtection="1">
      <alignment horizontal="center"/>
      <protection locked="0"/>
    </xf>
    <xf numFmtId="0" fontId="12" fillId="0" borderId="7" xfId="0" applyFont="1" applyFill="1" applyBorder="1" applyAlignment="1" applyProtection="1">
      <alignment horizontal="center"/>
    </xf>
    <xf numFmtId="0" fontId="0" fillId="0" borderId="7" xfId="0" applyBorder="1" applyAlignment="1">
      <alignment horizontal="center"/>
    </xf>
    <xf numFmtId="0" fontId="5" fillId="0" borderId="17" xfId="0" applyFont="1" applyFill="1" applyBorder="1" applyAlignment="1" applyProtection="1">
      <alignment horizontal="center"/>
    </xf>
    <xf numFmtId="0" fontId="0" fillId="0" borderId="65" xfId="0" applyBorder="1" applyAlignment="1">
      <alignment horizontal="center"/>
    </xf>
    <xf numFmtId="0" fontId="5" fillId="0" borderId="24" xfId="0" applyFont="1" applyFill="1" applyBorder="1" applyAlignment="1" applyProtection="1">
      <alignment horizontal="center"/>
    </xf>
    <xf numFmtId="0" fontId="3" fillId="0" borderId="31" xfId="0" applyFont="1" applyFill="1" applyBorder="1" applyAlignment="1" applyProtection="1"/>
    <xf numFmtId="0" fontId="0" fillId="0" borderId="14" xfId="0" applyBorder="1" applyAlignment="1"/>
    <xf numFmtId="0" fontId="3" fillId="0" borderId="11" xfId="0" applyFont="1" applyFill="1" applyBorder="1" applyAlignment="1" applyProtection="1"/>
    <xf numFmtId="0" fontId="0" fillId="0" borderId="11" xfId="0" applyFill="1" applyBorder="1" applyAlignment="1"/>
    <xf numFmtId="0" fontId="0" fillId="0" borderId="30" xfId="0" applyFill="1" applyBorder="1" applyAlignment="1"/>
    <xf numFmtId="0" fontId="9" fillId="0" borderId="47" xfId="0" applyFont="1" applyFill="1" applyBorder="1" applyAlignment="1" applyProtection="1">
      <alignment horizontal="center"/>
    </xf>
    <xf numFmtId="0" fontId="4" fillId="0" borderId="51" xfId="0" applyFont="1" applyBorder="1" applyAlignment="1">
      <alignment horizontal="center"/>
    </xf>
    <xf numFmtId="0" fontId="5" fillId="0" borderId="34" xfId="0" applyFont="1" applyFill="1" applyBorder="1" applyAlignment="1" applyProtection="1">
      <alignment horizontal="center"/>
    </xf>
    <xf numFmtId="0" fontId="0" fillId="0" borderId="2" xfId="0" applyBorder="1" applyAlignment="1">
      <alignment horizontal="center"/>
    </xf>
    <xf numFmtId="0" fontId="9" fillId="0" borderId="75" xfId="0" applyFont="1" applyFill="1" applyBorder="1" applyAlignment="1" applyProtection="1">
      <alignment horizontal="center" wrapText="1"/>
    </xf>
    <xf numFmtId="0" fontId="4" fillId="0" borderId="76" xfId="0" applyFont="1" applyBorder="1" applyAlignment="1">
      <alignment horizontal="center" wrapText="1"/>
    </xf>
    <xf numFmtId="0" fontId="9" fillId="0" borderId="3" xfId="0" applyFont="1" applyFill="1" applyBorder="1" applyAlignment="1" applyProtection="1">
      <alignment horizontal="center"/>
    </xf>
    <xf numFmtId="0" fontId="4" fillId="0" borderId="7" xfId="0" applyFont="1" applyBorder="1" applyAlignment="1">
      <alignment horizontal="center"/>
    </xf>
    <xf numFmtId="0" fontId="9" fillId="0" borderId="7" xfId="0" applyFont="1" applyFill="1" applyBorder="1" applyAlignment="1" applyProtection="1">
      <alignment horizontal="center"/>
    </xf>
    <xf numFmtId="0" fontId="11" fillId="0" borderId="16" xfId="0" applyFont="1" applyFill="1" applyBorder="1" applyAlignment="1" applyProtection="1">
      <alignment horizontal="center" wrapText="1"/>
    </xf>
    <xf numFmtId="0" fontId="4" fillId="0" borderId="7" xfId="0" applyFont="1" applyBorder="1" applyAlignment="1">
      <alignment horizontal="center" wrapText="1"/>
    </xf>
    <xf numFmtId="0" fontId="5" fillId="2" borderId="19" xfId="0" applyNumberFormat="1" applyFont="1" applyFill="1" applyBorder="1" applyAlignment="1" applyProtection="1">
      <alignment horizontal="center"/>
      <protection locked="0"/>
    </xf>
    <xf numFmtId="0" fontId="0" fillId="0" borderId="19" xfId="0" applyBorder="1" applyAlignment="1"/>
    <xf numFmtId="0" fontId="8" fillId="0" borderId="60" xfId="0" applyFont="1" applyFill="1" applyBorder="1" applyAlignment="1" applyProtection="1"/>
    <xf numFmtId="0" fontId="9" fillId="0" borderId="38" xfId="0" applyFont="1" applyBorder="1" applyAlignment="1"/>
    <xf numFmtId="0" fontId="9" fillId="0" borderId="77" xfId="0" applyFont="1" applyBorder="1" applyAlignment="1"/>
    <xf numFmtId="0" fontId="34" fillId="0" borderId="79" xfId="0" applyFont="1" applyFill="1" applyBorder="1" applyAlignment="1" applyProtection="1">
      <alignment horizontal="left"/>
    </xf>
    <xf numFmtId="0" fontId="0" fillId="0" borderId="48" xfId="0" applyBorder="1" applyAlignment="1"/>
    <xf numFmtId="0" fontId="0" fillId="0" borderId="39" xfId="0" applyBorder="1" applyAlignment="1"/>
    <xf numFmtId="0" fontId="5" fillId="2" borderId="19" xfId="0" applyFont="1" applyFill="1" applyBorder="1" applyAlignment="1" applyProtection="1">
      <alignment horizontal="center"/>
      <protection locked="0"/>
    </xf>
    <xf numFmtId="0" fontId="5" fillId="2" borderId="54" xfId="0" applyFont="1" applyFill="1" applyBorder="1" applyAlignment="1" applyProtection="1">
      <alignment horizontal="center"/>
      <protection locked="0"/>
    </xf>
    <xf numFmtId="0" fontId="3" fillId="0" borderId="80" xfId="0" applyFont="1" applyFill="1" applyBorder="1" applyAlignment="1" applyProtection="1">
      <alignment horizontal="left"/>
    </xf>
    <xf numFmtId="0" fontId="0" fillId="0" borderId="19" xfId="0" applyBorder="1" applyAlignment="1">
      <alignment horizontal="left"/>
    </xf>
    <xf numFmtId="0" fontId="8" fillId="0" borderId="16" xfId="0" applyFont="1" applyFill="1" applyBorder="1" applyAlignment="1" applyProtection="1"/>
    <xf numFmtId="0" fontId="9" fillId="0" borderId="7" xfId="0" applyFont="1" applyBorder="1" applyAlignment="1"/>
    <xf numFmtId="0" fontId="9" fillId="0" borderId="28" xfId="0" applyFont="1" applyBorder="1" applyAlignment="1"/>
    <xf numFmtId="0" fontId="3" fillId="0" borderId="80" xfId="0" applyFont="1" applyFill="1" applyBorder="1" applyAlignment="1" applyProtection="1"/>
    <xf numFmtId="0" fontId="0" fillId="0" borderId="19" xfId="0" applyBorder="1" applyAlignment="1" applyProtection="1"/>
    <xf numFmtId="0" fontId="41" fillId="0" borderId="20" xfId="0" applyFont="1" applyFill="1" applyBorder="1" applyAlignment="1" applyProtection="1">
      <alignment horizontal="center" wrapText="1"/>
    </xf>
    <xf numFmtId="0" fontId="42" fillId="0" borderId="12" xfId="0" applyFont="1" applyFill="1" applyBorder="1" applyAlignment="1">
      <alignment horizontal="center" wrapText="1"/>
    </xf>
    <xf numFmtId="0" fontId="0" fillId="0" borderId="12" xfId="0" applyFill="1" applyBorder="1" applyAlignment="1">
      <alignment wrapText="1"/>
    </xf>
    <xf numFmtId="0" fontId="0" fillId="2" borderId="34" xfId="0" applyFill="1" applyBorder="1" applyAlignment="1" applyProtection="1">
      <protection locked="0"/>
    </xf>
    <xf numFmtId="0" fontId="12" fillId="0" borderId="36" xfId="0" applyFont="1" applyFill="1" applyBorder="1" applyAlignment="1" applyProtection="1">
      <alignment horizontal="center" vertical="center" wrapText="1"/>
    </xf>
    <xf numFmtId="0" fontId="4" fillId="0" borderId="36" xfId="0" applyFont="1" applyFill="1" applyBorder="1" applyAlignment="1">
      <alignment vertical="center" wrapText="1"/>
    </xf>
    <xf numFmtId="0" fontId="0" fillId="0" borderId="3" xfId="0" applyFill="1" applyBorder="1" applyAlignment="1">
      <alignment wrapText="1"/>
    </xf>
    <xf numFmtId="0" fontId="39" fillId="0" borderId="17" xfId="0" applyFont="1" applyFill="1" applyBorder="1" applyAlignment="1" applyProtection="1">
      <alignment horizontal="center"/>
    </xf>
    <xf numFmtId="0" fontId="39" fillId="0" borderId="14" xfId="0" applyFont="1" applyFill="1" applyBorder="1" applyAlignment="1" applyProtection="1">
      <alignment horizontal="center"/>
    </xf>
    <xf numFmtId="0" fontId="39" fillId="0" borderId="52" xfId="0" applyFont="1" applyFill="1" applyBorder="1" applyAlignment="1" applyProtection="1">
      <alignment horizontal="center"/>
    </xf>
    <xf numFmtId="0" fontId="3" fillId="0" borderId="7" xfId="0" applyFont="1" applyFill="1" applyBorder="1" applyAlignment="1" applyProtection="1"/>
    <xf numFmtId="0" fontId="3" fillId="0" borderId="28" xfId="0" applyFont="1" applyFill="1" applyBorder="1" applyAlignment="1" applyProtection="1"/>
    <xf numFmtId="0" fontId="39" fillId="0" borderId="35" xfId="0" applyFont="1" applyFill="1" applyBorder="1" applyAlignment="1" applyProtection="1">
      <alignment horizontal="center"/>
    </xf>
    <xf numFmtId="0" fontId="39" fillId="0" borderId="11" xfId="0" applyFont="1" applyFill="1" applyBorder="1" applyAlignment="1" applyProtection="1">
      <alignment horizontal="center"/>
    </xf>
    <xf numFmtId="0" fontId="39" fillId="0" borderId="56" xfId="0" applyFont="1" applyFill="1" applyBorder="1" applyAlignment="1" applyProtection="1">
      <alignment horizontal="center"/>
    </xf>
    <xf numFmtId="0" fontId="3" fillId="0" borderId="29" xfId="0" applyFont="1" applyFill="1" applyBorder="1" applyAlignment="1" applyProtection="1"/>
    <xf numFmtId="0" fontId="3" fillId="0" borderId="56" xfId="0" applyFont="1" applyFill="1" applyBorder="1" applyAlignment="1" applyProtection="1"/>
    <xf numFmtId="0" fontId="39" fillId="0" borderId="30" xfId="0" applyFont="1" applyFill="1" applyBorder="1" applyAlignment="1" applyProtection="1">
      <alignment horizontal="center"/>
    </xf>
    <xf numFmtId="0" fontId="39" fillId="0" borderId="3" xfId="0" applyFont="1" applyFill="1" applyBorder="1" applyAlignment="1" applyProtection="1">
      <alignment horizontal="center"/>
    </xf>
    <xf numFmtId="0" fontId="39" fillId="0" borderId="7" xfId="0" applyFont="1" applyFill="1" applyBorder="1" applyAlignment="1" applyProtection="1">
      <alignment horizontal="center"/>
    </xf>
    <xf numFmtId="0" fontId="39" fillId="0" borderId="28" xfId="0" applyFont="1" applyFill="1" applyBorder="1" applyAlignment="1" applyProtection="1">
      <alignment horizontal="center"/>
    </xf>
    <xf numFmtId="0" fontId="0" fillId="0" borderId="14" xfId="0" applyFill="1" applyBorder="1" applyAlignment="1" applyProtection="1"/>
    <xf numFmtId="0" fontId="0" fillId="0" borderId="65" xfId="0" applyFill="1" applyBorder="1" applyAlignment="1"/>
    <xf numFmtId="0" fontId="4" fillId="0" borderId="31" xfId="0" applyFont="1" applyFill="1" applyBorder="1" applyAlignment="1" applyProtection="1"/>
    <xf numFmtId="0" fontId="5" fillId="44" borderId="28" xfId="0" applyFont="1" applyFill="1" applyBorder="1" applyAlignment="1" applyProtection="1">
      <alignment horizontal="center"/>
      <protection locked="0"/>
    </xf>
    <xf numFmtId="0" fontId="5" fillId="44" borderId="1" xfId="0" applyFont="1" applyFill="1" applyBorder="1" applyAlignment="1" applyProtection="1">
      <alignment horizontal="center"/>
      <protection locked="0"/>
    </xf>
    <xf numFmtId="0" fontId="0" fillId="44" borderId="1" xfId="0" applyFill="1" applyBorder="1" applyAlignment="1" applyProtection="1">
      <protection locked="0"/>
    </xf>
    <xf numFmtId="0" fontId="12" fillId="0" borderId="82" xfId="0" applyFont="1" applyFill="1" applyBorder="1" applyAlignment="1" applyProtection="1">
      <alignment horizontal="center" vertical="center" wrapText="1"/>
    </xf>
    <xf numFmtId="0" fontId="4" fillId="0" borderId="36" xfId="0" applyFont="1" applyFill="1" applyBorder="1" applyAlignment="1">
      <alignment horizontal="center" vertical="center" wrapText="1"/>
    </xf>
    <xf numFmtId="0" fontId="4" fillId="0" borderId="16" xfId="0" applyFont="1" applyFill="1" applyBorder="1" applyAlignment="1" applyProtection="1"/>
    <xf numFmtId="0" fontId="4" fillId="0" borderId="20" xfId="0" applyFont="1" applyFill="1" applyBorder="1" applyAlignment="1" applyProtection="1">
      <alignment horizontal="center" vertical="center" wrapText="1"/>
    </xf>
    <xf numFmtId="0" fontId="0" fillId="0" borderId="12" xfId="0" applyBorder="1" applyAlignment="1">
      <alignment wrapText="1"/>
    </xf>
    <xf numFmtId="0" fontId="0" fillId="0" borderId="78" xfId="0" applyBorder="1" applyAlignment="1">
      <alignment wrapText="1"/>
    </xf>
    <xf numFmtId="0" fontId="0" fillId="0" borderId="1" xfId="0" applyBorder="1" applyAlignment="1">
      <alignment wrapText="1"/>
    </xf>
    <xf numFmtId="0" fontId="12" fillId="0" borderId="82" xfId="0" applyFont="1" applyFill="1" applyBorder="1" applyAlignment="1">
      <alignment horizontal="center" vertical="center" wrapText="1"/>
    </xf>
    <xf numFmtId="0" fontId="4" fillId="0" borderId="3" xfId="0" applyFont="1" applyFill="1" applyBorder="1" applyAlignment="1">
      <alignment vertical="center" wrapText="1"/>
    </xf>
    <xf numFmtId="0" fontId="5" fillId="0" borderId="11" xfId="0" applyFont="1" applyFill="1" applyBorder="1" applyAlignment="1" applyProtection="1">
      <alignment horizontal="center"/>
    </xf>
    <xf numFmtId="0" fontId="12" fillId="0" borderId="84" xfId="0" applyFont="1" applyFill="1" applyBorder="1" applyAlignment="1" applyProtection="1">
      <alignment horizontal="center" vertical="center" wrapText="1"/>
    </xf>
    <xf numFmtId="0" fontId="4" fillId="0" borderId="17" xfId="0" applyFont="1" applyFill="1" applyBorder="1" applyAlignment="1">
      <alignment vertical="center" wrapText="1"/>
    </xf>
    <xf numFmtId="0" fontId="35" fillId="0" borderId="84" xfId="0" applyFont="1" applyFill="1" applyBorder="1" applyAlignment="1" applyProtection="1">
      <alignment horizontal="center" vertical="center" wrapText="1"/>
    </xf>
    <xf numFmtId="0" fontId="27" fillId="0" borderId="17" xfId="0" applyFont="1" applyFill="1" applyBorder="1" applyAlignment="1">
      <alignment wrapText="1"/>
    </xf>
    <xf numFmtId="0" fontId="5" fillId="44" borderId="14" xfId="0" applyFont="1" applyFill="1" applyBorder="1" applyAlignment="1" applyProtection="1">
      <alignment horizontal="center"/>
      <protection locked="0"/>
    </xf>
    <xf numFmtId="0" fontId="3" fillId="2" borderId="28" xfId="0" applyFont="1" applyFill="1" applyBorder="1" applyAlignment="1" applyProtection="1">
      <alignment horizontal="center"/>
      <protection locked="0"/>
    </xf>
    <xf numFmtId="0" fontId="5" fillId="2" borderId="28" xfId="0" applyFont="1" applyFill="1" applyBorder="1" applyAlignment="1" applyProtection="1">
      <alignment horizontal="center"/>
      <protection locked="0"/>
    </xf>
    <xf numFmtId="0" fontId="5" fillId="2" borderId="11" xfId="0" applyFont="1" applyFill="1" applyBorder="1" applyAlignment="1" applyProtection="1">
      <alignment horizontal="center"/>
      <protection locked="0"/>
    </xf>
    <xf numFmtId="0" fontId="5" fillId="2" borderId="56" xfId="0" applyFont="1" applyFill="1" applyBorder="1" applyAlignment="1" applyProtection="1">
      <alignment horizontal="center"/>
      <protection locked="0"/>
    </xf>
    <xf numFmtId="0" fontId="4" fillId="0" borderId="3" xfId="0" applyFont="1" applyFill="1" applyBorder="1" applyAlignment="1">
      <alignment wrapText="1"/>
    </xf>
    <xf numFmtId="0" fontId="3" fillId="2" borderId="56" xfId="0" applyFont="1" applyFill="1" applyBorder="1" applyAlignment="1" applyProtection="1">
      <protection locked="0"/>
    </xf>
    <xf numFmtId="0" fontId="4" fillId="0" borderId="36" xfId="0" applyFont="1" applyFill="1" applyBorder="1" applyAlignment="1">
      <alignment wrapText="1"/>
    </xf>
    <xf numFmtId="0" fontId="0" fillId="0" borderId="36" xfId="0" applyFill="1" applyBorder="1" applyAlignment="1">
      <alignment wrapText="1"/>
    </xf>
    <xf numFmtId="0" fontId="12" fillId="0" borderId="7" xfId="0" applyFont="1" applyBorder="1" applyAlignment="1">
      <alignment horizontal="center" wrapText="1"/>
    </xf>
    <xf numFmtId="0" fontId="0" fillId="0" borderId="7" xfId="0" applyBorder="1"/>
    <xf numFmtId="0" fontId="5" fillId="2" borderId="7" xfId="0" applyFont="1"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4" fillId="0" borderId="35" xfId="0" applyFont="1" applyFill="1" applyBorder="1" applyAlignment="1" applyProtection="1"/>
    <xf numFmtId="0" fontId="0" fillId="0" borderId="7" xfId="0" applyBorder="1" applyAlignment="1">
      <alignment wrapText="1"/>
    </xf>
    <xf numFmtId="0" fontId="3" fillId="0" borderId="78" xfId="0" applyFont="1" applyFill="1" applyBorder="1" applyAlignment="1" applyProtection="1"/>
    <xf numFmtId="0" fontId="12" fillId="0" borderId="3" xfId="0" applyFont="1" applyFill="1" applyBorder="1" applyAlignment="1" applyProtection="1"/>
    <xf numFmtId="0" fontId="3" fillId="0" borderId="0" xfId="0" applyFont="1" applyFill="1" applyAlignment="1" applyProtection="1"/>
    <xf numFmtId="0" fontId="39" fillId="0" borderId="84" xfId="0" applyFont="1" applyFill="1" applyBorder="1" applyAlignment="1" applyProtection="1">
      <alignment horizontal="center"/>
    </xf>
    <xf numFmtId="0" fontId="0" fillId="0" borderId="84" xfId="0" applyFill="1" applyBorder="1" applyAlignment="1">
      <alignment horizontal="center"/>
    </xf>
    <xf numFmtId="0" fontId="5" fillId="2" borderId="56" xfId="0" applyFont="1" applyFill="1" applyBorder="1" applyAlignment="1" applyProtection="1">
      <protection locked="0"/>
    </xf>
    <xf numFmtId="0" fontId="4" fillId="0" borderId="35" xfId="0" applyFont="1" applyFill="1" applyBorder="1" applyAlignment="1" applyProtection="1">
      <alignment horizontal="center"/>
    </xf>
    <xf numFmtId="0" fontId="4" fillId="0" borderId="11" xfId="0" applyFont="1" applyFill="1" applyBorder="1" applyAlignment="1" applyProtection="1">
      <alignment horizontal="center"/>
    </xf>
    <xf numFmtId="0" fontId="24" fillId="0" borderId="31" xfId="0" applyFont="1" applyFill="1" applyBorder="1" applyAlignment="1" applyProtection="1"/>
    <xf numFmtId="0" fontId="24" fillId="0" borderId="14" xfId="0" applyFont="1" applyBorder="1" applyAlignment="1"/>
    <xf numFmtId="49" fontId="5" fillId="44" borderId="7" xfId="0" applyNumberFormat="1" applyFont="1" applyFill="1" applyBorder="1" applyAlignment="1" applyProtection="1">
      <alignment horizontal="center"/>
      <protection locked="0"/>
    </xf>
    <xf numFmtId="0" fontId="5" fillId="2" borderId="39" xfId="0" applyFont="1" applyFill="1" applyBorder="1" applyAlignment="1" applyProtection="1">
      <alignment horizontal="center"/>
      <protection locked="0"/>
    </xf>
    <xf numFmtId="0" fontId="0" fillId="2" borderId="81" xfId="0" applyFill="1" applyBorder="1" applyAlignment="1" applyProtection="1">
      <protection locked="0"/>
    </xf>
    <xf numFmtId="0" fontId="0" fillId="2" borderId="28" xfId="0" applyFill="1" applyBorder="1" applyAlignment="1" applyProtection="1">
      <protection locked="0"/>
    </xf>
    <xf numFmtId="0" fontId="0" fillId="2" borderId="56" xfId="0" applyFill="1" applyBorder="1" applyAlignment="1" applyProtection="1">
      <protection locked="0"/>
    </xf>
    <xf numFmtId="0" fontId="9" fillId="0" borderId="3" xfId="0" applyFont="1" applyFill="1" applyBorder="1" applyAlignment="1" applyProtection="1"/>
    <xf numFmtId="0" fontId="23" fillId="0" borderId="17" xfId="0" applyFont="1" applyFill="1" applyBorder="1" applyAlignment="1" applyProtection="1">
      <alignment horizontal="center"/>
    </xf>
    <xf numFmtId="0" fontId="0" fillId="0" borderId="14" xfId="0" applyFill="1" applyBorder="1" applyAlignment="1"/>
    <xf numFmtId="0" fontId="0" fillId="2" borderId="7" xfId="0" applyFill="1" applyBorder="1" applyAlignment="1" applyProtection="1">
      <protection locked="0"/>
    </xf>
    <xf numFmtId="0" fontId="5" fillId="2" borderId="14" xfId="0" applyFont="1" applyFill="1" applyBorder="1" applyAlignment="1" applyProtection="1">
      <protection locked="0"/>
    </xf>
    <xf numFmtId="0" fontId="5" fillId="2" borderId="22" xfId="0" applyFont="1" applyFill="1" applyBorder="1" applyAlignment="1" applyProtection="1">
      <protection locked="0"/>
    </xf>
    <xf numFmtId="0" fontId="0" fillId="0" borderId="3" xfId="0" applyFill="1" applyBorder="1" applyAlignment="1">
      <alignment vertical="center" wrapText="1"/>
    </xf>
    <xf numFmtId="0" fontId="27" fillId="0" borderId="84" xfId="0" applyFont="1" applyFill="1" applyBorder="1" applyAlignment="1"/>
    <xf numFmtId="49" fontId="5" fillId="44" borderId="10" xfId="0" applyNumberFormat="1" applyFont="1" applyFill="1" applyBorder="1" applyAlignment="1" applyProtection="1">
      <alignment horizontal="center"/>
      <protection locked="0"/>
    </xf>
    <xf numFmtId="49" fontId="5" fillId="44" borderId="22" xfId="0" applyNumberFormat="1" applyFont="1" applyFill="1" applyBorder="1" applyAlignment="1" applyProtection="1">
      <alignment horizontal="center"/>
      <protection locked="0"/>
    </xf>
    <xf numFmtId="0" fontId="5" fillId="2" borderId="1" xfId="0" applyFont="1" applyFill="1" applyBorder="1" applyAlignment="1" applyProtection="1">
      <protection locked="0"/>
    </xf>
    <xf numFmtId="0" fontId="5" fillId="0" borderId="1" xfId="0" applyFont="1" applyBorder="1" applyAlignment="1" applyProtection="1">
      <protection locked="0"/>
    </xf>
    <xf numFmtId="0" fontId="0" fillId="0" borderId="0" xfId="0" applyBorder="1" applyAlignment="1" applyProtection="1"/>
    <xf numFmtId="0" fontId="12" fillId="0" borderId="17" xfId="0" applyFont="1" applyFill="1" applyBorder="1" applyAlignment="1" applyProtection="1"/>
    <xf numFmtId="0" fontId="20" fillId="0" borderId="7" xfId="0" applyFont="1" applyFill="1" applyBorder="1" applyAlignment="1" applyProtection="1">
      <alignment horizontal="center" wrapText="1"/>
    </xf>
    <xf numFmtId="0" fontId="0" fillId="0" borderId="28" xfId="0" applyFill="1" applyBorder="1" applyAlignment="1">
      <alignment horizontal="center" wrapText="1"/>
    </xf>
    <xf numFmtId="0" fontId="8" fillId="0" borderId="3" xfId="0" applyFont="1" applyFill="1" applyBorder="1" applyAlignment="1" applyProtection="1"/>
    <xf numFmtId="0" fontId="3" fillId="0" borderId="0" xfId="0" applyFont="1" applyFill="1" applyBorder="1" applyAlignment="1" applyProtection="1">
      <alignment horizontal="left"/>
    </xf>
    <xf numFmtId="0" fontId="5" fillId="10" borderId="1" xfId="0" applyFont="1" applyFill="1" applyBorder="1" applyAlignment="1" applyProtection="1">
      <protection locked="0"/>
    </xf>
    <xf numFmtId="0" fontId="0" fillId="10" borderId="1" xfId="0" applyFill="1" applyBorder="1" applyAlignment="1" applyProtection="1">
      <protection locked="0"/>
    </xf>
    <xf numFmtId="0" fontId="5" fillId="2" borderId="1" xfId="0" applyFont="1" applyFill="1" applyBorder="1" applyAlignment="1" applyProtection="1">
      <alignment horizontal="center"/>
      <protection locked="0"/>
    </xf>
    <xf numFmtId="0" fontId="0" fillId="0" borderId="11" xfId="0" applyBorder="1" applyAlignment="1" applyProtection="1"/>
    <xf numFmtId="0" fontId="5" fillId="38" borderId="11" xfId="0" applyFont="1" applyFill="1" applyBorder="1" applyAlignment="1" applyProtection="1">
      <alignment horizontal="center"/>
      <protection locked="0"/>
    </xf>
    <xf numFmtId="0" fontId="0" fillId="38" borderId="11" xfId="0" applyFill="1" applyBorder="1" applyAlignment="1" applyProtection="1">
      <alignment horizontal="center"/>
      <protection locked="0"/>
    </xf>
    <xf numFmtId="0" fontId="0" fillId="38" borderId="56" xfId="0" applyFill="1" applyBorder="1" applyAlignment="1" applyProtection="1">
      <alignment horizontal="center"/>
      <protection locked="0"/>
    </xf>
    <xf numFmtId="0" fontId="0" fillId="2" borderId="15" xfId="0" applyFill="1" applyBorder="1" applyAlignment="1" applyProtection="1">
      <protection locked="0"/>
    </xf>
    <xf numFmtId="0" fontId="24" fillId="2" borderId="7" xfId="0" applyFont="1" applyFill="1" applyBorder="1" applyAlignment="1" applyProtection="1">
      <protection locked="0"/>
    </xf>
    <xf numFmtId="0" fontId="5" fillId="2" borderId="2" xfId="0" applyFont="1" applyFill="1" applyBorder="1" applyAlignment="1" applyProtection="1">
      <alignment horizontal="center"/>
      <protection locked="0"/>
    </xf>
    <xf numFmtId="166" fontId="5" fillId="2" borderId="7" xfId="0" applyNumberFormat="1" applyFont="1" applyFill="1" applyBorder="1" applyAlignment="1" applyProtection="1">
      <alignment horizontal="center"/>
      <protection locked="0"/>
    </xf>
    <xf numFmtId="0" fontId="3" fillId="10" borderId="7" xfId="0" applyFont="1" applyFill="1" applyBorder="1" applyAlignment="1" applyProtection="1">
      <protection locked="0"/>
    </xf>
    <xf numFmtId="0" fontId="3" fillId="0" borderId="7" xfId="0" applyFont="1" applyBorder="1" applyAlignment="1" applyProtection="1">
      <protection locked="0"/>
    </xf>
    <xf numFmtId="0" fontId="4" fillId="0" borderId="0" xfId="0" applyFont="1" applyFill="1" applyBorder="1" applyAlignment="1" applyProtection="1"/>
    <xf numFmtId="0" fontId="4" fillId="0" borderId="0" xfId="0" applyFont="1" applyAlignment="1" applyProtection="1"/>
    <xf numFmtId="0" fontId="5" fillId="2" borderId="7" xfId="0" applyFont="1" applyFill="1" applyBorder="1" applyAlignment="1" applyProtection="1">
      <protection locked="0"/>
    </xf>
    <xf numFmtId="0" fontId="24" fillId="0" borderId="7" xfId="0" applyFont="1" applyBorder="1" applyAlignment="1" applyProtection="1">
      <protection locked="0"/>
    </xf>
    <xf numFmtId="0" fontId="23" fillId="2" borderId="8" xfId="0" applyFont="1" applyFill="1" applyBorder="1" applyAlignment="1" applyProtection="1">
      <alignment horizontal="center"/>
      <protection locked="0"/>
    </xf>
    <xf numFmtId="0" fontId="0" fillId="2" borderId="8" xfId="0" applyFill="1" applyBorder="1" applyAlignment="1" applyProtection="1">
      <alignment horizontal="center"/>
      <protection locked="0"/>
    </xf>
    <xf numFmtId="0" fontId="24" fillId="0" borderId="11" xfId="0" applyFont="1" applyFill="1" applyBorder="1" applyAlignment="1" applyProtection="1">
      <alignment horizontal="center"/>
    </xf>
    <xf numFmtId="0" fontId="5" fillId="2" borderId="11" xfId="0" applyFont="1" applyFill="1" applyBorder="1" applyAlignment="1" applyProtection="1">
      <protection locked="0"/>
    </xf>
    <xf numFmtId="0" fontId="3" fillId="2" borderId="11" xfId="0" applyFont="1" applyFill="1" applyBorder="1" applyAlignment="1" applyProtection="1">
      <protection locked="0"/>
    </xf>
    <xf numFmtId="0" fontId="24" fillId="44" borderId="7" xfId="0" applyNumberFormat="1" applyFont="1" applyFill="1" applyBorder="1" applyAlignment="1" applyProtection="1">
      <alignment horizontal="center"/>
      <protection locked="0"/>
    </xf>
    <xf numFmtId="0" fontId="0" fillId="44" borderId="7" xfId="0" applyFill="1" applyBorder="1" applyAlignment="1" applyProtection="1">
      <protection locked="0"/>
    </xf>
    <xf numFmtId="49" fontId="5" fillId="44" borderId="7" xfId="0" applyNumberFormat="1" applyFont="1" applyFill="1" applyBorder="1" applyAlignment="1" applyProtection="1">
      <protection locked="0"/>
    </xf>
    <xf numFmtId="0" fontId="5" fillId="44" borderId="7" xfId="0" applyFont="1" applyFill="1" applyBorder="1" applyAlignment="1" applyProtection="1">
      <protection locked="0"/>
    </xf>
    <xf numFmtId="0" fontId="0" fillId="44" borderId="15" xfId="0" applyFill="1" applyBorder="1" applyAlignment="1" applyProtection="1">
      <protection locked="0"/>
    </xf>
    <xf numFmtId="0" fontId="3" fillId="0" borderId="8" xfId="0" applyFont="1" applyFill="1" applyBorder="1" applyAlignment="1" applyProtection="1"/>
    <xf numFmtId="0" fontId="0" fillId="0" borderId="0" xfId="0" applyAlignment="1" applyProtection="1"/>
    <xf numFmtId="0" fontId="3" fillId="0" borderId="35" xfId="0" applyFont="1" applyFill="1" applyBorder="1" applyAlignment="1" applyProtection="1"/>
    <xf numFmtId="0" fontId="12" fillId="0" borderId="33" xfId="0" applyFont="1" applyFill="1" applyBorder="1" applyAlignment="1" applyProtection="1"/>
    <xf numFmtId="166" fontId="5" fillId="0" borderId="19" xfId="0" applyNumberFormat="1" applyFont="1" applyFill="1" applyBorder="1" applyAlignment="1" applyProtection="1">
      <alignment horizontal="center"/>
    </xf>
    <xf numFmtId="166" fontId="0" fillId="0" borderId="54" xfId="0" applyNumberFormat="1" applyFill="1" applyBorder="1" applyAlignment="1"/>
    <xf numFmtId="0" fontId="9" fillId="0" borderId="7" xfId="0" applyFont="1" applyBorder="1" applyAlignment="1">
      <alignment horizontal="center"/>
    </xf>
    <xf numFmtId="0" fontId="12" fillId="0" borderId="75" xfId="0" applyFont="1" applyFill="1" applyBorder="1" applyAlignment="1" applyProtection="1">
      <alignment horizontal="center" wrapText="1"/>
    </xf>
    <xf numFmtId="0" fontId="12" fillId="0" borderId="76" xfId="0" applyFont="1" applyBorder="1" applyAlignment="1">
      <alignment horizontal="center" wrapText="1"/>
    </xf>
    <xf numFmtId="0" fontId="8" fillId="0" borderId="80" xfId="0" applyFont="1" applyFill="1" applyBorder="1" applyAlignment="1" applyProtection="1"/>
    <xf numFmtId="0" fontId="4" fillId="0" borderId="19" xfId="0" applyFont="1" applyBorder="1" applyAlignment="1" applyProtection="1"/>
    <xf numFmtId="0" fontId="9" fillId="0" borderId="76" xfId="0" applyFont="1" applyFill="1" applyBorder="1" applyAlignment="1" applyProtection="1">
      <alignment horizontal="center" wrapText="1"/>
    </xf>
    <xf numFmtId="0" fontId="5" fillId="2" borderId="19" xfId="0" applyFont="1" applyFill="1" applyBorder="1" applyAlignment="1" applyProtection="1">
      <protection locked="0"/>
    </xf>
    <xf numFmtId="0" fontId="5" fillId="2" borderId="54" xfId="0" applyFont="1" applyFill="1" applyBorder="1" applyAlignment="1" applyProtection="1">
      <protection locked="0"/>
    </xf>
    <xf numFmtId="0" fontId="39" fillId="0" borderId="36" xfId="0" applyFont="1" applyFill="1" applyBorder="1" applyAlignment="1" applyProtection="1">
      <alignment horizontal="center"/>
    </xf>
    <xf numFmtId="0" fontId="0" fillId="0" borderId="36" xfId="0" applyFill="1" applyBorder="1" applyAlignment="1"/>
    <xf numFmtId="0" fontId="0" fillId="0" borderId="84" xfId="0" applyFill="1" applyBorder="1" applyAlignment="1"/>
    <xf numFmtId="0" fontId="0" fillId="0" borderId="36" xfId="0" applyFill="1" applyBorder="1" applyAlignment="1">
      <alignment horizontal="center"/>
    </xf>
    <xf numFmtId="0" fontId="4" fillId="0" borderId="7" xfId="0" applyFont="1" applyFill="1" applyBorder="1" applyAlignment="1" applyProtection="1"/>
    <xf numFmtId="0" fontId="4" fillId="0" borderId="15" xfId="0" applyFont="1" applyBorder="1" applyAlignment="1" applyProtection="1"/>
    <xf numFmtId="0" fontId="4" fillId="0" borderId="11" xfId="0" applyFont="1" applyFill="1" applyBorder="1" applyAlignment="1" applyProtection="1"/>
    <xf numFmtId="0" fontId="4" fillId="0" borderId="30" xfId="0" applyFont="1" applyBorder="1" applyAlignment="1" applyProtection="1"/>
    <xf numFmtId="0" fontId="6" fillId="0" borderId="87" xfId="0" applyFont="1" applyFill="1" applyBorder="1" applyAlignment="1" applyProtection="1"/>
    <xf numFmtId="0" fontId="0" fillId="0" borderId="88" xfId="0" applyBorder="1" applyAlignment="1" applyProtection="1"/>
    <xf numFmtId="0" fontId="0" fillId="0" borderId="88" xfId="0" applyBorder="1" applyAlignment="1"/>
    <xf numFmtId="0" fontId="0" fillId="0" borderId="89" xfId="0" applyBorder="1" applyAlignment="1"/>
    <xf numFmtId="0" fontId="0" fillId="0" borderId="14" xfId="0" applyFill="1" applyBorder="1" applyAlignment="1">
      <alignment horizontal="center"/>
    </xf>
    <xf numFmtId="0" fontId="0" fillId="0" borderId="65" xfId="0" applyFill="1" applyBorder="1" applyAlignment="1">
      <alignment horizontal="center"/>
    </xf>
    <xf numFmtId="49" fontId="5" fillId="2" borderId="7" xfId="0" applyNumberFormat="1" applyFont="1" applyFill="1" applyBorder="1" applyAlignment="1" applyProtection="1">
      <alignment horizontal="center"/>
      <protection locked="0"/>
    </xf>
    <xf numFmtId="49" fontId="0" fillId="2" borderId="7" xfId="0" applyNumberFormat="1" applyFill="1" applyBorder="1" applyAlignment="1" applyProtection="1">
      <protection locked="0"/>
    </xf>
    <xf numFmtId="49" fontId="0" fillId="2" borderId="15" xfId="0" applyNumberFormat="1" applyFill="1" applyBorder="1" applyAlignment="1" applyProtection="1">
      <protection locked="0"/>
    </xf>
    <xf numFmtId="0" fontId="58" fillId="0" borderId="11" xfId="0" applyFont="1" applyFill="1" applyBorder="1" applyAlignment="1" applyProtection="1">
      <alignment horizontal="center" vertical="center"/>
    </xf>
    <xf numFmtId="0" fontId="0" fillId="0" borderId="11" xfId="0" applyFill="1" applyBorder="1" applyAlignment="1">
      <alignment horizontal="center" vertical="center"/>
    </xf>
    <xf numFmtId="0" fontId="0" fillId="0" borderId="30" xfId="0" applyFill="1" applyBorder="1" applyAlignment="1">
      <alignment horizontal="center" vertical="center"/>
    </xf>
    <xf numFmtId="49" fontId="5" fillId="2" borderId="11" xfId="0" applyNumberFormat="1" applyFont="1" applyFill="1" applyBorder="1" applyAlignment="1" applyProtection="1">
      <alignment horizontal="center"/>
      <protection locked="0"/>
    </xf>
    <xf numFmtId="49" fontId="0" fillId="2" borderId="11" xfId="0" applyNumberFormat="1" applyFill="1" applyBorder="1" applyAlignment="1" applyProtection="1">
      <protection locked="0"/>
    </xf>
    <xf numFmtId="0" fontId="26" fillId="0" borderId="3" xfId="0" applyFont="1" applyFill="1" applyBorder="1" applyAlignment="1">
      <alignment vertical="center"/>
    </xf>
    <xf numFmtId="0" fontId="26" fillId="0" borderId="7" xfId="0" applyFont="1" applyBorder="1" applyAlignment="1">
      <alignment vertical="center"/>
    </xf>
    <xf numFmtId="0" fontId="12" fillId="0" borderId="33" xfId="0" applyFont="1" applyBorder="1" applyAlignment="1">
      <alignment horizontal="center" wrapText="1"/>
    </xf>
    <xf numFmtId="0" fontId="0" fillId="0" borderId="28" xfId="0" applyBorder="1" applyAlignment="1"/>
    <xf numFmtId="0" fontId="39" fillId="0" borderId="15" xfId="0" applyFont="1" applyFill="1" applyBorder="1" applyAlignment="1" applyProtection="1">
      <alignment horizontal="center"/>
    </xf>
    <xf numFmtId="0" fontId="4" fillId="0" borderId="3" xfId="0" applyFont="1" applyFill="1" applyBorder="1" applyAlignment="1" applyProtection="1"/>
    <xf numFmtId="0" fontId="4" fillId="0" borderId="91" xfId="0" applyFont="1" applyFill="1" applyBorder="1" applyAlignment="1" applyProtection="1">
      <alignment vertical="center" wrapText="1"/>
    </xf>
    <xf numFmtId="0" fontId="0" fillId="0" borderId="33" xfId="0" applyBorder="1" applyAlignment="1">
      <alignment wrapText="1"/>
    </xf>
    <xf numFmtId="0" fontId="0" fillId="0" borderId="7" xfId="0" applyFill="1" applyBorder="1" applyAlignment="1" applyProtection="1"/>
    <xf numFmtId="0" fontId="0" fillId="0" borderId="28" xfId="0" applyFill="1" applyBorder="1" applyAlignment="1"/>
    <xf numFmtId="0" fontId="5" fillId="44" borderId="14" xfId="0" applyFont="1" applyFill="1" applyBorder="1" applyAlignment="1" applyProtection="1">
      <protection locked="0"/>
    </xf>
    <xf numFmtId="0" fontId="35" fillId="0" borderId="36" xfId="0" applyFont="1" applyFill="1" applyBorder="1" applyAlignment="1" applyProtection="1">
      <alignment horizontal="center" vertical="center" wrapText="1"/>
    </xf>
    <xf numFmtId="0" fontId="27" fillId="0" borderId="36" xfId="0" applyFont="1" applyFill="1" applyBorder="1" applyAlignment="1">
      <alignment wrapText="1"/>
    </xf>
    <xf numFmtId="0" fontId="27" fillId="0" borderId="3" xfId="0" applyFont="1" applyFill="1" applyBorder="1" applyAlignment="1">
      <alignment wrapText="1"/>
    </xf>
    <xf numFmtId="49" fontId="5" fillId="2" borderId="1" xfId="0" applyNumberFormat="1" applyFont="1" applyFill="1" applyBorder="1" applyAlignment="1" applyProtection="1">
      <alignment horizontal="center"/>
      <protection locked="0"/>
    </xf>
    <xf numFmtId="49" fontId="0" fillId="2" borderId="1" xfId="0" applyNumberFormat="1" applyFill="1" applyBorder="1" applyAlignment="1" applyProtection="1">
      <alignment horizontal="center"/>
      <protection locked="0"/>
    </xf>
    <xf numFmtId="49" fontId="0" fillId="0" borderId="1" xfId="0" applyNumberFormat="1" applyBorder="1" applyAlignment="1" applyProtection="1">
      <alignment horizontal="center"/>
      <protection locked="0"/>
    </xf>
    <xf numFmtId="0" fontId="0" fillId="44" borderId="32" xfId="0" applyFill="1" applyBorder="1" applyAlignment="1" applyProtection="1">
      <protection locked="0"/>
    </xf>
    <xf numFmtId="0" fontId="0" fillId="0" borderId="0" xfId="0" applyFill="1" applyAlignment="1" applyProtection="1">
      <protection locked="0"/>
    </xf>
    <xf numFmtId="0" fontId="0" fillId="0" borderId="0" xfId="0" applyAlignment="1" applyProtection="1">
      <protection locked="0"/>
    </xf>
    <xf numFmtId="0" fontId="4" fillId="0" borderId="84" xfId="0" applyFont="1" applyFill="1" applyBorder="1" applyAlignment="1">
      <alignment vertical="center" wrapText="1"/>
    </xf>
    <xf numFmtId="0" fontId="4" fillId="0" borderId="17" xfId="0" applyFont="1" applyFill="1" applyBorder="1" applyAlignment="1">
      <alignment wrapText="1"/>
    </xf>
    <xf numFmtId="0" fontId="4" fillId="0" borderId="84" xfId="0" applyFont="1" applyFill="1" applyBorder="1" applyAlignment="1">
      <alignment wrapText="1"/>
    </xf>
    <xf numFmtId="0" fontId="0" fillId="0" borderId="84" xfId="0" applyFill="1" applyBorder="1" applyAlignment="1">
      <alignment wrapText="1"/>
    </xf>
    <xf numFmtId="0" fontId="0" fillId="0" borderId="17" xfId="0" applyFill="1" applyBorder="1" applyAlignment="1">
      <alignment wrapText="1"/>
    </xf>
    <xf numFmtId="0" fontId="5" fillId="44" borderId="2" xfId="0" applyFont="1" applyFill="1" applyBorder="1" applyAlignment="1" applyProtection="1">
      <alignment horizontal="center"/>
      <protection locked="0"/>
    </xf>
    <xf numFmtId="0" fontId="4" fillId="44" borderId="32" xfId="0" applyFont="1" applyFill="1" applyBorder="1" applyAlignment="1" applyProtection="1">
      <alignment horizontal="left"/>
      <protection locked="0"/>
    </xf>
    <xf numFmtId="0" fontId="5" fillId="44" borderId="65" xfId="0" applyFont="1" applyFill="1" applyBorder="1" applyAlignment="1" applyProtection="1">
      <alignment horizontal="center"/>
      <protection locked="0"/>
    </xf>
    <xf numFmtId="0" fontId="12" fillId="0" borderId="85" xfId="0" applyFont="1" applyFill="1" applyBorder="1" applyAlignment="1" applyProtection="1">
      <alignment horizontal="center" vertical="center" wrapText="1"/>
    </xf>
    <xf numFmtId="0" fontId="5" fillId="44" borderId="14" xfId="0" applyFont="1" applyFill="1" applyBorder="1" applyAlignment="1" applyProtection="1">
      <alignment horizontal="left"/>
      <protection locked="0"/>
    </xf>
    <xf numFmtId="0" fontId="5" fillId="44" borderId="52" xfId="0" applyFont="1" applyFill="1" applyBorder="1" applyAlignment="1" applyProtection="1">
      <alignment horizontal="left"/>
      <protection locked="0"/>
    </xf>
    <xf numFmtId="0" fontId="5" fillId="44" borderId="55" xfId="0" applyFont="1" applyFill="1" applyBorder="1" applyAlignment="1" applyProtection="1">
      <alignment horizontal="center"/>
      <protection locked="0"/>
    </xf>
    <xf numFmtId="0" fontId="0" fillId="0" borderId="11" xfId="0" applyBorder="1"/>
    <xf numFmtId="49" fontId="5" fillId="44" borderId="11" xfId="0" applyNumberFormat="1" applyFont="1" applyFill="1" applyBorder="1" applyAlignment="1" applyProtection="1">
      <alignment horizontal="center"/>
      <protection locked="0"/>
    </xf>
    <xf numFmtId="0" fontId="27" fillId="0" borderId="36" xfId="0" applyFont="1" applyFill="1" applyBorder="1" applyAlignment="1" applyProtection="1">
      <alignment horizontal="center"/>
    </xf>
    <xf numFmtId="0" fontId="27" fillId="0" borderId="83" xfId="0" applyFont="1" applyFill="1" applyBorder="1" applyAlignment="1" applyProtection="1">
      <alignment horizontal="center"/>
    </xf>
    <xf numFmtId="0" fontId="39" fillId="0" borderId="63" xfId="0" applyFont="1" applyFill="1" applyBorder="1" applyAlignment="1" applyProtection="1">
      <alignment horizontal="center"/>
    </xf>
    <xf numFmtId="0" fontId="0" fillId="0" borderId="63" xfId="0" applyFill="1" applyBorder="1" applyAlignment="1"/>
    <xf numFmtId="0" fontId="27" fillId="0" borderId="63" xfId="0" applyFont="1" applyFill="1" applyBorder="1" applyAlignment="1" applyProtection="1">
      <alignment horizontal="center"/>
    </xf>
    <xf numFmtId="0" fontId="27" fillId="0" borderId="86" xfId="0" applyFont="1" applyFill="1" applyBorder="1" applyAlignment="1" applyProtection="1">
      <alignment horizontal="center"/>
    </xf>
    <xf numFmtId="0" fontId="0" fillId="0" borderId="63" xfId="0" applyFill="1" applyBorder="1" applyAlignment="1">
      <alignment horizontal="center"/>
    </xf>
    <xf numFmtId="0" fontId="0" fillId="0" borderId="11" xfId="0" applyFill="1" applyBorder="1" applyAlignment="1" applyProtection="1"/>
    <xf numFmtId="0" fontId="0" fillId="0" borderId="56" xfId="0" applyFill="1" applyBorder="1" applyAlignment="1"/>
    <xf numFmtId="0" fontId="3" fillId="0" borderId="29" xfId="0" applyFont="1" applyFill="1" applyBorder="1" applyAlignment="1" applyProtection="1">
      <protection hidden="1"/>
    </xf>
    <xf numFmtId="0" fontId="3" fillId="0" borderId="3" xfId="0" applyFont="1" applyFill="1" applyBorder="1" applyAlignment="1" applyProtection="1"/>
    <xf numFmtId="0" fontId="4" fillId="0" borderId="16" xfId="0" applyFont="1" applyFill="1" applyBorder="1" applyAlignment="1" applyProtection="1">
      <protection hidden="1"/>
    </xf>
    <xf numFmtId="0" fontId="4" fillId="0" borderId="7" xfId="0" applyFont="1" applyBorder="1" applyAlignment="1" applyProtection="1"/>
    <xf numFmtId="0" fontId="5" fillId="44" borderId="28" xfId="0" applyFont="1" applyFill="1" applyBorder="1" applyAlignment="1" applyProtection="1">
      <protection locked="0"/>
    </xf>
    <xf numFmtId="0" fontId="0" fillId="0" borderId="3" xfId="0" applyFill="1" applyBorder="1" applyAlignment="1" applyProtection="1"/>
    <xf numFmtId="0" fontId="5" fillId="0" borderId="7" xfId="0" applyFont="1" applyFill="1" applyBorder="1" applyAlignment="1" applyProtection="1">
      <alignment horizontal="center"/>
    </xf>
    <xf numFmtId="0" fontId="5" fillId="0" borderId="28" xfId="0" applyFont="1" applyFill="1" applyBorder="1" applyAlignment="1" applyProtection="1">
      <alignment horizontal="center"/>
    </xf>
    <xf numFmtId="0" fontId="11" fillId="0" borderId="92" xfId="0" applyFont="1" applyFill="1" applyBorder="1" applyAlignment="1" applyProtection="1">
      <alignment horizontal="center" wrapText="1"/>
    </xf>
    <xf numFmtId="1" fontId="23" fillId="2" borderId="1" xfId="0" applyNumberFormat="1" applyFont="1" applyFill="1" applyBorder="1" applyAlignment="1" applyProtection="1">
      <alignment horizontal="center" vertical="top"/>
      <protection locked="0"/>
    </xf>
    <xf numFmtId="0" fontId="0" fillId="2" borderId="1" xfId="0" applyFill="1" applyBorder="1" applyAlignment="1" applyProtection="1">
      <alignment vertical="top"/>
      <protection locked="0"/>
    </xf>
    <xf numFmtId="0" fontId="0" fillId="2" borderId="55" xfId="0" applyFill="1" applyBorder="1" applyAlignment="1" applyProtection="1">
      <alignment vertical="top"/>
      <protection locked="0"/>
    </xf>
    <xf numFmtId="166" fontId="24" fillId="44" borderId="24" xfId="0" applyNumberFormat="1" applyFont="1" applyFill="1" applyBorder="1" applyAlignment="1" applyProtection="1">
      <alignment horizontal="center"/>
      <protection locked="0"/>
    </xf>
    <xf numFmtId="166" fontId="24" fillId="44" borderId="1" xfId="0" applyNumberFormat="1" applyFont="1" applyFill="1" applyBorder="1" applyAlignment="1" applyProtection="1">
      <protection locked="0"/>
    </xf>
    <xf numFmtId="166" fontId="5" fillId="2" borderId="24" xfId="0" applyNumberFormat="1" applyFont="1" applyFill="1" applyBorder="1" applyAlignment="1" applyProtection="1">
      <alignment horizontal="center"/>
      <protection locked="0"/>
    </xf>
    <xf numFmtId="166" fontId="5" fillId="2" borderId="14" xfId="0" applyNumberFormat="1" applyFont="1" applyFill="1" applyBorder="1" applyAlignment="1" applyProtection="1">
      <alignment horizontal="center"/>
      <protection locked="0"/>
    </xf>
    <xf numFmtId="0" fontId="0" fillId="2" borderId="14" xfId="0" applyFill="1" applyBorder="1" applyAlignment="1" applyProtection="1">
      <protection locked="0"/>
    </xf>
    <xf numFmtId="0" fontId="9" fillId="0" borderId="16" xfId="0" applyFont="1" applyFill="1" applyBorder="1" applyAlignment="1" applyProtection="1"/>
    <xf numFmtId="1" fontId="5" fillId="44" borderId="7" xfId="0" applyNumberFormat="1" applyFont="1" applyFill="1" applyBorder="1" applyAlignment="1" applyProtection="1">
      <alignment horizontal="center"/>
      <protection locked="0"/>
    </xf>
    <xf numFmtId="0" fontId="0" fillId="44" borderId="7" xfId="0" applyFill="1" applyBorder="1" applyAlignment="1">
      <alignment horizontal="center"/>
    </xf>
    <xf numFmtId="0" fontId="27" fillId="0" borderId="84" xfId="0" applyFont="1" applyFill="1" applyBorder="1" applyAlignment="1" applyProtection="1">
      <alignment horizontal="center"/>
    </xf>
    <xf numFmtId="0" fontId="27" fillId="0" borderId="90" xfId="0" applyFont="1" applyFill="1" applyBorder="1" applyAlignment="1" applyProtection="1">
      <alignment horizontal="center"/>
    </xf>
    <xf numFmtId="0" fontId="3" fillId="38" borderId="7" xfId="0" applyFont="1" applyFill="1" applyBorder="1" applyAlignment="1" applyProtection="1">
      <alignment horizontal="center"/>
      <protection locked="0"/>
    </xf>
    <xf numFmtId="0" fontId="3" fillId="38" borderId="28" xfId="0" applyFont="1" applyFill="1" applyBorder="1" applyAlignment="1" applyProtection="1">
      <alignment horizontal="center"/>
      <protection locked="0"/>
    </xf>
    <xf numFmtId="0" fontId="3" fillId="0" borderId="7" xfId="0" applyFont="1" applyBorder="1" applyAlignment="1">
      <alignment horizontal="center"/>
    </xf>
    <xf numFmtId="0" fontId="0" fillId="0" borderId="28" xfId="0" applyBorder="1" applyAlignment="1">
      <alignment horizontal="center"/>
    </xf>
    <xf numFmtId="0" fontId="8" fillId="0" borderId="3" xfId="0" applyFont="1" applyFill="1" applyBorder="1" applyAlignment="1" applyProtection="1">
      <alignment horizontal="center"/>
    </xf>
    <xf numFmtId="0" fontId="8" fillId="0" borderId="7" xfId="0" applyFont="1" applyBorder="1" applyAlignment="1"/>
    <xf numFmtId="0" fontId="0" fillId="44" borderId="28" xfId="0" applyFill="1" applyBorder="1" applyAlignment="1" applyProtection="1">
      <protection locked="0"/>
    </xf>
    <xf numFmtId="0" fontId="3" fillId="0" borderId="11" xfId="0" applyFont="1" applyFill="1" applyBorder="1" applyAlignment="1" applyProtection="1">
      <alignment horizontal="center"/>
    </xf>
    <xf numFmtId="0" fontId="0" fillId="0" borderId="11" xfId="0" applyFill="1" applyBorder="1" applyAlignment="1">
      <alignment horizontal="center"/>
    </xf>
    <xf numFmtId="0" fontId="0" fillId="0" borderId="30" xfId="0" applyFill="1" applyBorder="1" applyAlignment="1">
      <alignment horizontal="center"/>
    </xf>
    <xf numFmtId="0" fontId="33" fillId="0" borderId="14" xfId="0" applyFont="1" applyFill="1" applyBorder="1" applyAlignment="1" applyProtection="1">
      <alignment horizontal="center"/>
    </xf>
    <xf numFmtId="0" fontId="33" fillId="0" borderId="52" xfId="0" applyFont="1" applyFill="1" applyBorder="1" applyAlignment="1" applyProtection="1">
      <alignment horizontal="center"/>
    </xf>
    <xf numFmtId="0" fontId="0" fillId="0" borderId="52" xfId="0" applyFill="1" applyBorder="1" applyAlignment="1"/>
    <xf numFmtId="0" fontId="9" fillId="0" borderId="7" xfId="0" applyFont="1" applyFill="1" applyBorder="1" applyAlignment="1" applyProtection="1">
      <alignment horizontal="left"/>
    </xf>
    <xf numFmtId="0" fontId="4" fillId="0" borderId="7" xfId="0" applyFont="1" applyBorder="1" applyAlignment="1"/>
    <xf numFmtId="0" fontId="9" fillId="0" borderId="7" xfId="0" applyFont="1" applyBorder="1" applyAlignment="1" applyProtection="1"/>
    <xf numFmtId="0" fontId="5" fillId="2" borderId="7" xfId="0" applyNumberFormat="1" applyFont="1" applyFill="1" applyBorder="1" applyAlignment="1" applyProtection="1">
      <alignment horizontal="center"/>
      <protection locked="0"/>
    </xf>
    <xf numFmtId="0" fontId="23" fillId="38" borderId="1" xfId="0" applyFont="1" applyFill="1" applyBorder="1" applyAlignment="1" applyProtection="1">
      <alignment horizontal="center"/>
      <protection locked="0"/>
    </xf>
    <xf numFmtId="0" fontId="0" fillId="38" borderId="1" xfId="0" applyFill="1" applyBorder="1" applyAlignment="1" applyProtection="1">
      <protection locked="0"/>
    </xf>
    <xf numFmtId="0" fontId="3" fillId="0" borderId="0" xfId="0" applyFont="1" applyBorder="1" applyAlignment="1" applyProtection="1"/>
    <xf numFmtId="0" fontId="36" fillId="0" borderId="4" xfId="0" applyFont="1" applyFill="1" applyBorder="1" applyAlignment="1" applyProtection="1"/>
    <xf numFmtId="0" fontId="36" fillId="0" borderId="24" xfId="0" applyFont="1" applyFill="1" applyBorder="1" applyAlignment="1" applyProtection="1"/>
    <xf numFmtId="0" fontId="41" fillId="0" borderId="10" xfId="0" applyFont="1" applyFill="1" applyBorder="1" applyAlignment="1" applyProtection="1">
      <alignment wrapText="1"/>
    </xf>
    <xf numFmtId="0" fontId="0" fillId="0" borderId="10" xfId="0" applyFill="1" applyBorder="1" applyAlignment="1">
      <alignment wrapText="1"/>
    </xf>
    <xf numFmtId="0" fontId="0" fillId="0" borderId="22" xfId="0" applyFill="1" applyBorder="1" applyAlignment="1">
      <alignment wrapText="1"/>
    </xf>
    <xf numFmtId="0" fontId="5" fillId="2" borderId="14" xfId="0" applyFont="1" applyFill="1" applyBorder="1" applyAlignment="1" applyProtection="1">
      <alignment horizontal="center"/>
      <protection locked="0"/>
    </xf>
    <xf numFmtId="0" fontId="0" fillId="2" borderId="2" xfId="0" applyFill="1" applyBorder="1" applyAlignment="1" applyProtection="1">
      <protection locked="0"/>
    </xf>
    <xf numFmtId="0" fontId="52" fillId="0" borderId="36" xfId="0" applyFont="1" applyFill="1" applyBorder="1" applyAlignment="1" applyProtection="1"/>
    <xf numFmtId="0" fontId="4" fillId="0" borderId="36" xfId="0" applyFont="1" applyFill="1" applyBorder="1" applyAlignment="1" applyProtection="1"/>
    <xf numFmtId="0" fontId="4" fillId="0" borderId="3" xfId="0" applyFont="1" applyFill="1" applyBorder="1" applyAlignment="1" applyProtection="1">
      <alignment horizontal="center"/>
    </xf>
    <xf numFmtId="0" fontId="4" fillId="0" borderId="28" xfId="0" applyFont="1" applyFill="1" applyBorder="1" applyAlignment="1" applyProtection="1">
      <alignment horizontal="center"/>
    </xf>
    <xf numFmtId="49" fontId="4" fillId="0" borderId="3"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46" xfId="0" applyFont="1" applyFill="1" applyBorder="1" applyAlignment="1" applyProtection="1">
      <alignment horizontal="center"/>
      <protection locked="0"/>
    </xf>
    <xf numFmtId="0" fontId="0" fillId="2" borderId="36" xfId="0" applyFill="1" applyBorder="1" applyAlignment="1" applyProtection="1">
      <alignment horizontal="center"/>
      <protection locked="0"/>
    </xf>
    <xf numFmtId="0" fontId="10" fillId="0" borderId="36" xfId="0" applyFont="1" applyFill="1" applyBorder="1" applyAlignment="1" applyProtection="1"/>
    <xf numFmtId="0" fontId="9" fillId="0" borderId="36" xfId="0" applyFont="1" applyFill="1" applyBorder="1" applyAlignment="1" applyProtection="1"/>
    <xf numFmtId="0" fontId="53" fillId="0" borderId="59" xfId="0" applyFont="1" applyFill="1" applyBorder="1" applyAlignment="1" applyProtection="1"/>
    <xf numFmtId="0" fontId="4" fillId="0" borderId="59" xfId="0" applyFont="1" applyFill="1" applyBorder="1" applyAlignment="1" applyProtection="1"/>
    <xf numFmtId="0" fontId="4" fillId="2" borderId="42" xfId="0" applyFont="1" applyFill="1" applyBorder="1" applyAlignment="1" applyProtection="1">
      <alignment horizontal="center"/>
      <protection locked="0"/>
    </xf>
    <xf numFmtId="0" fontId="0" fillId="2" borderId="43" xfId="0" applyFill="1" applyBorder="1" applyAlignment="1" applyProtection="1">
      <alignment horizontal="center"/>
      <protection locked="0"/>
    </xf>
    <xf numFmtId="0" fontId="3" fillId="0" borderId="3" xfId="0" applyFont="1" applyFill="1" applyBorder="1" applyAlignment="1" applyProtection="1">
      <alignment horizontal="center"/>
    </xf>
    <xf numFmtId="0" fontId="5" fillId="2" borderId="48" xfId="0" applyNumberFormat="1" applyFont="1" applyFill="1" applyBorder="1" applyAlignment="1" applyProtection="1">
      <alignment horizontal="center"/>
      <protection locked="0"/>
    </xf>
    <xf numFmtId="0" fontId="3" fillId="2" borderId="96" xfId="0" applyFont="1" applyFill="1" applyBorder="1" applyAlignment="1" applyProtection="1">
      <alignment horizontal="center"/>
      <protection locked="0"/>
    </xf>
    <xf numFmtId="49" fontId="3" fillId="44" borderId="7" xfId="0" applyNumberFormat="1" applyFont="1" applyFill="1" applyBorder="1" applyAlignment="1" applyProtection="1">
      <protection locked="0"/>
    </xf>
    <xf numFmtId="49" fontId="3" fillId="44" borderId="97" xfId="0" applyNumberFormat="1" applyFont="1" applyFill="1" applyBorder="1" applyAlignment="1" applyProtection="1">
      <protection locked="0"/>
    </xf>
    <xf numFmtId="0" fontId="3" fillId="0" borderId="98" xfId="0" applyFont="1" applyBorder="1" applyAlignment="1" applyProtection="1"/>
    <xf numFmtId="0" fontId="0" fillId="0" borderId="48" xfId="0" applyBorder="1" applyAlignment="1" applyProtection="1"/>
    <xf numFmtId="0" fontId="4" fillId="2" borderId="99" xfId="0" applyFont="1" applyFill="1" applyBorder="1" applyAlignment="1" applyProtection="1">
      <alignment horizontal="center"/>
      <protection locked="0"/>
    </xf>
    <xf numFmtId="0" fontId="0" fillId="2" borderId="100" xfId="0" applyFill="1" applyBorder="1" applyAlignment="1" applyProtection="1">
      <alignment horizontal="center"/>
      <protection locked="0"/>
    </xf>
    <xf numFmtId="0" fontId="4" fillId="0" borderId="101" xfId="0" applyFont="1" applyBorder="1" applyAlignment="1" applyProtection="1">
      <alignment horizontal="center" vertical="center"/>
    </xf>
    <xf numFmtId="0" fontId="0" fillId="0" borderId="48" xfId="0" applyBorder="1" applyAlignment="1" applyProtection="1">
      <alignment horizontal="center" vertical="center"/>
    </xf>
    <xf numFmtId="0" fontId="0" fillId="0" borderId="96" xfId="0" applyBorder="1" applyAlignment="1" applyProtection="1">
      <alignment horizontal="center" vertical="center"/>
    </xf>
    <xf numFmtId="0" fontId="4" fillId="0" borderId="50" xfId="0" applyFont="1" applyBorder="1" applyAlignment="1" applyProtection="1">
      <alignment horizontal="center"/>
    </xf>
    <xf numFmtId="0" fontId="0" fillId="0" borderId="64" xfId="0" applyBorder="1" applyAlignment="1" applyProtection="1">
      <alignment horizontal="center"/>
    </xf>
    <xf numFmtId="0" fontId="3" fillId="0" borderId="24" xfId="0" applyFont="1" applyFill="1" applyBorder="1" applyAlignment="1" applyProtection="1">
      <alignment horizontal="center" wrapText="1"/>
    </xf>
    <xf numFmtId="0" fontId="0" fillId="0" borderId="1" xfId="0" applyBorder="1" applyAlignment="1" applyProtection="1">
      <alignment horizontal="center" wrapText="1"/>
    </xf>
    <xf numFmtId="0" fontId="4" fillId="0" borderId="3" xfId="0" applyFont="1" applyBorder="1" applyAlignment="1" applyProtection="1"/>
    <xf numFmtId="0" fontId="3" fillId="0" borderId="4" xfId="0" applyFont="1" applyFill="1" applyBorder="1" applyAlignment="1" applyProtection="1">
      <alignment horizontal="center"/>
    </xf>
    <xf numFmtId="0" fontId="3" fillId="0" borderId="24" xfId="0" applyFont="1" applyBorder="1" applyAlignment="1" applyProtection="1">
      <alignment horizontal="center"/>
    </xf>
    <xf numFmtId="0" fontId="3" fillId="0" borderId="93" xfId="0" applyFont="1" applyBorder="1" applyAlignment="1" applyProtection="1">
      <alignment horizontal="center"/>
    </xf>
    <xf numFmtId="0" fontId="3" fillId="2" borderId="5" xfId="0" applyFont="1" applyFill="1" applyBorder="1" applyAlignment="1" applyProtection="1">
      <alignment wrapText="1"/>
      <protection locked="0"/>
    </xf>
    <xf numFmtId="0" fontId="3" fillId="2" borderId="0" xfId="0" applyFont="1" applyFill="1" applyBorder="1" applyAlignment="1" applyProtection="1">
      <alignment wrapText="1"/>
      <protection locked="0"/>
    </xf>
    <xf numFmtId="0" fontId="3" fillId="2" borderId="41" xfId="0" applyFont="1" applyFill="1" applyBorder="1" applyAlignment="1" applyProtection="1">
      <alignment wrapText="1"/>
      <protection locked="0"/>
    </xf>
    <xf numFmtId="0" fontId="0" fillId="0" borderId="5" xfId="0" applyBorder="1" applyAlignment="1">
      <alignment wrapText="1"/>
    </xf>
    <xf numFmtId="0" fontId="0" fillId="0" borderId="0" xfId="0" applyAlignment="1">
      <alignment wrapText="1"/>
    </xf>
    <xf numFmtId="0" fontId="0" fillId="0" borderId="41" xfId="0" applyBorder="1" applyAlignment="1">
      <alignment wrapText="1"/>
    </xf>
    <xf numFmtId="0" fontId="0" fillId="0" borderId="94" xfId="0" applyBorder="1" applyAlignment="1">
      <alignment wrapText="1"/>
    </xf>
    <xf numFmtId="0" fontId="0" fillId="0" borderId="38" xfId="0" applyBorder="1" applyAlignment="1">
      <alignment wrapText="1"/>
    </xf>
    <xf numFmtId="0" fontId="0" fillId="0" borderId="95" xfId="0" applyBorder="1" applyAlignment="1">
      <alignment wrapText="1"/>
    </xf>
    <xf numFmtId="1" fontId="5" fillId="2" borderId="34" xfId="0" applyNumberFormat="1" applyFont="1" applyFill="1" applyBorder="1" applyAlignment="1" applyProtection="1">
      <alignment horizontal="center"/>
      <protection locked="0"/>
    </xf>
    <xf numFmtId="1" fontId="5" fillId="2" borderId="2" xfId="0" applyNumberFormat="1" applyFont="1" applyFill="1" applyBorder="1" applyAlignment="1" applyProtection="1">
      <alignment horizontal="center"/>
      <protection locked="0"/>
    </xf>
    <xf numFmtId="0" fontId="3" fillId="0" borderId="99" xfId="0" applyFont="1" applyBorder="1" applyAlignment="1" applyProtection="1">
      <alignment horizontal="center" wrapText="1"/>
    </xf>
    <xf numFmtId="0" fontId="4" fillId="0" borderId="45" xfId="0" applyFont="1" applyBorder="1" applyAlignment="1" applyProtection="1">
      <alignment horizontal="center" wrapText="1"/>
    </xf>
    <xf numFmtId="0" fontId="3" fillId="0" borderId="3" xfId="0" applyFont="1" applyBorder="1" applyAlignment="1" applyProtection="1"/>
    <xf numFmtId="0" fontId="28" fillId="0" borderId="3" xfId="0" applyFont="1" applyBorder="1" applyAlignment="1" applyProtection="1"/>
    <xf numFmtId="0" fontId="4" fillId="0" borderId="105" xfId="0" applyFont="1" applyBorder="1" applyAlignment="1" applyProtection="1">
      <alignment horizontal="center" vertical="center"/>
    </xf>
    <xf numFmtId="0" fontId="4" fillId="0" borderId="3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0" borderId="47" xfId="0" applyFont="1" applyBorder="1" applyAlignment="1" applyProtection="1"/>
    <xf numFmtId="0" fontId="4" fillId="0" borderId="64" xfId="0" applyFont="1" applyBorder="1" applyAlignment="1" applyProtection="1"/>
    <xf numFmtId="0" fontId="4" fillId="0" borderId="102" xfId="0" applyFont="1" applyBorder="1" applyAlignment="1" applyProtection="1">
      <alignment horizontal="center" wrapText="1"/>
    </xf>
    <xf numFmtId="0" fontId="4" fillId="0" borderId="103" xfId="0" applyFont="1" applyBorder="1" applyAlignment="1" applyProtection="1">
      <alignment horizontal="center" wrapText="1"/>
    </xf>
    <xf numFmtId="0" fontId="9" fillId="0" borderId="102" xfId="0" applyFont="1" applyBorder="1" applyAlignment="1" applyProtection="1">
      <alignment horizontal="center" wrapText="1"/>
    </xf>
    <xf numFmtId="0" fontId="9" fillId="0" borderId="103" xfId="0" applyFont="1" applyBorder="1" applyAlignment="1" applyProtection="1">
      <alignment horizontal="center" wrapText="1"/>
    </xf>
    <xf numFmtId="0" fontId="4" fillId="0" borderId="104" xfId="0" applyFont="1" applyBorder="1" applyAlignment="1" applyProtection="1"/>
    <xf numFmtId="0" fontId="3" fillId="0" borderId="104" xfId="0" applyFont="1" applyBorder="1" applyAlignment="1" applyProtection="1"/>
    <xf numFmtId="0" fontId="3" fillId="0" borderId="7" xfId="0" applyFont="1" applyBorder="1" applyAlignment="1" applyProtection="1"/>
    <xf numFmtId="0" fontId="3" fillId="0" borderId="108" xfId="0" applyFont="1" applyBorder="1" applyAlignment="1" applyProtection="1"/>
    <xf numFmtId="0" fontId="3" fillId="0" borderId="24" xfId="0" applyFont="1" applyBorder="1" applyAlignment="1" applyProtection="1"/>
    <xf numFmtId="0" fontId="3" fillId="0" borderId="109" xfId="0" applyFont="1" applyBorder="1" applyAlignment="1" applyProtection="1">
      <alignment horizontal="center" wrapText="1"/>
    </xf>
    <xf numFmtId="0" fontId="0" fillId="0" borderId="106" xfId="0" applyBorder="1" applyAlignment="1" applyProtection="1">
      <alignment horizontal="center" wrapText="1"/>
    </xf>
    <xf numFmtId="0" fontId="0" fillId="0" borderId="33" xfId="0" applyBorder="1" applyAlignment="1" applyProtection="1">
      <alignment horizontal="center" wrapText="1"/>
    </xf>
    <xf numFmtId="0" fontId="0" fillId="0" borderId="107" xfId="0" applyBorder="1" applyAlignment="1" applyProtection="1">
      <alignment horizontal="center" wrapText="1"/>
    </xf>
    <xf numFmtId="166" fontId="3" fillId="0" borderId="102" xfId="0" applyNumberFormat="1" applyFont="1" applyFill="1" applyBorder="1" applyAlignment="1" applyProtection="1">
      <alignment horizontal="center" vertical="center"/>
    </xf>
    <xf numFmtId="0" fontId="0" fillId="0" borderId="66" xfId="0" applyFill="1" applyBorder="1" applyAlignment="1" applyProtection="1">
      <alignment vertical="center"/>
    </xf>
    <xf numFmtId="2" fontId="3" fillId="0" borderId="39" xfId="0" applyNumberFormat="1" applyFont="1" applyFill="1" applyBorder="1" applyAlignment="1" applyProtection="1">
      <alignment horizontal="center"/>
    </xf>
    <xf numFmtId="0" fontId="0" fillId="0" borderId="106" xfId="0" applyFill="1" applyBorder="1" applyAlignment="1" applyProtection="1"/>
    <xf numFmtId="0" fontId="0" fillId="0" borderId="1" xfId="0" applyFill="1" applyBorder="1" applyAlignment="1" applyProtection="1"/>
    <xf numFmtId="0" fontId="0" fillId="0" borderId="107" xfId="0" applyFill="1" applyBorder="1" applyAlignment="1" applyProtection="1"/>
    <xf numFmtId="0" fontId="3" fillId="2" borderId="3" xfId="0" applyFont="1" applyFill="1" applyBorder="1" applyAlignment="1" applyProtection="1">
      <alignment horizontal="center"/>
      <protection locked="0"/>
    </xf>
    <xf numFmtId="0" fontId="3" fillId="2" borderId="98" xfId="0" applyFont="1" applyFill="1" applyBorder="1" applyAlignment="1" applyProtection="1">
      <alignment horizontal="center"/>
      <protection locked="0"/>
    </xf>
    <xf numFmtId="0" fontId="3" fillId="2" borderId="74" xfId="0" applyFont="1" applyFill="1" applyBorder="1" applyAlignment="1" applyProtection="1">
      <alignment horizontal="center"/>
      <protection locked="0"/>
    </xf>
    <xf numFmtId="0" fontId="0" fillId="2" borderId="107" xfId="0" applyFill="1" applyBorder="1" applyAlignment="1" applyProtection="1">
      <alignment horizontal="center"/>
      <protection locked="0"/>
    </xf>
    <xf numFmtId="0" fontId="4" fillId="0" borderId="47" xfId="0" applyFont="1" applyFill="1" applyBorder="1" applyAlignment="1" applyProtection="1">
      <alignment horizontal="center"/>
    </xf>
    <xf numFmtId="0" fontId="4" fillId="0" borderId="64" xfId="0" applyFont="1" applyFill="1" applyBorder="1" applyAlignment="1" applyProtection="1">
      <alignment horizontal="center"/>
    </xf>
    <xf numFmtId="0" fontId="10" fillId="0" borderId="43" xfId="0" applyFont="1" applyFill="1" applyBorder="1" applyAlignment="1" applyProtection="1"/>
    <xf numFmtId="0" fontId="9" fillId="0" borderId="43" xfId="0" applyFont="1" applyFill="1" applyBorder="1" applyAlignment="1" applyProtection="1"/>
    <xf numFmtId="0" fontId="4" fillId="0" borderId="3" xfId="0" applyFont="1" applyBorder="1" applyAlignment="1" applyProtection="1">
      <alignment horizontal="center"/>
    </xf>
    <xf numFmtId="0" fontId="4" fillId="0" borderId="28" xfId="0" applyFont="1" applyBorder="1" applyAlignment="1" applyProtection="1">
      <alignment horizontal="center"/>
    </xf>
    <xf numFmtId="0" fontId="4" fillId="0" borderId="64" xfId="0" applyFont="1" applyBorder="1" applyAlignment="1" applyProtection="1">
      <alignment horizontal="center"/>
    </xf>
    <xf numFmtId="0" fontId="4" fillId="0" borderId="36" xfId="0" applyFont="1" applyFill="1" applyBorder="1" applyAlignment="1" applyProtection="1">
      <alignment horizontal="center"/>
    </xf>
    <xf numFmtId="0" fontId="4" fillId="0" borderId="36" xfId="0" applyFont="1" applyBorder="1" applyAlignment="1" applyProtection="1"/>
    <xf numFmtId="0" fontId="4" fillId="0" borderId="36" xfId="0" applyFont="1" applyBorder="1" applyAlignment="1" applyProtection="1">
      <alignment horizontal="center"/>
    </xf>
    <xf numFmtId="0" fontId="4" fillId="0" borderId="43" xfId="0" applyFont="1" applyFill="1" applyBorder="1" applyAlignment="1" applyProtection="1">
      <alignment horizontal="center"/>
    </xf>
    <xf numFmtId="0" fontId="4" fillId="0" borderId="43" xfId="0" applyFont="1" applyBorder="1" applyAlignment="1" applyProtection="1"/>
    <xf numFmtId="0" fontId="3" fillId="0" borderId="101" xfId="0" applyFont="1" applyBorder="1" applyAlignment="1" applyProtection="1"/>
    <xf numFmtId="0" fontId="4" fillId="0" borderId="98" xfId="0" applyFont="1" applyBorder="1" applyAlignment="1" applyProtection="1"/>
    <xf numFmtId="0" fontId="5" fillId="2" borderId="48" xfId="0" applyFont="1" applyFill="1" applyBorder="1" applyAlignment="1" applyProtection="1">
      <alignment horizontal="right"/>
      <protection locked="0"/>
    </xf>
    <xf numFmtId="0" fontId="0" fillId="2" borderId="74" xfId="0" applyFill="1" applyBorder="1" applyAlignment="1" applyProtection="1">
      <alignment horizontal="right"/>
      <protection locked="0"/>
    </xf>
    <xf numFmtId="0" fontId="5" fillId="2" borderId="7" xfId="0" applyFont="1" applyFill="1" applyBorder="1" applyAlignment="1" applyProtection="1">
      <alignment horizontal="right"/>
      <protection locked="0"/>
    </xf>
    <xf numFmtId="0" fontId="0" fillId="2" borderId="28" xfId="0" applyFill="1" applyBorder="1" applyAlignment="1" applyProtection="1">
      <alignment horizontal="right"/>
      <protection locked="0"/>
    </xf>
    <xf numFmtId="0" fontId="23" fillId="0" borderId="57" xfId="0" applyFont="1" applyBorder="1" applyAlignment="1">
      <alignment horizontal="right" textRotation="90"/>
    </xf>
    <xf numFmtId="0" fontId="23" fillId="0" borderId="58" xfId="0" applyFont="1" applyBorder="1" applyAlignment="1">
      <alignment horizontal="right"/>
    </xf>
    <xf numFmtId="0" fontId="23" fillId="0" borderId="4" xfId="0" applyFont="1" applyBorder="1" applyAlignment="1" applyProtection="1">
      <alignment horizontal="left" textRotation="90" wrapText="1"/>
    </xf>
    <xf numFmtId="0" fontId="23" fillId="0" borderId="5" xfId="0" applyFont="1" applyBorder="1" applyAlignment="1">
      <alignment horizontal="left" textRotation="90" wrapText="1"/>
    </xf>
    <xf numFmtId="49" fontId="98" fillId="0" borderId="24" xfId="0" applyNumberFormat="1" applyFont="1" applyBorder="1" applyAlignment="1" applyProtection="1">
      <alignment horizontal="left" textRotation="90" wrapText="1"/>
    </xf>
    <xf numFmtId="0" fontId="0" fillId="0" borderId="24" xfId="0" applyBorder="1" applyAlignment="1">
      <alignment textRotation="90"/>
    </xf>
    <xf numFmtId="49" fontId="27" fillId="0" borderId="0" xfId="0" applyNumberFormat="1" applyFont="1" applyBorder="1" applyAlignment="1">
      <alignment textRotation="90"/>
    </xf>
    <xf numFmtId="0" fontId="0" fillId="0" borderId="0" xfId="0" applyBorder="1" applyAlignment="1">
      <alignment textRotation="90"/>
    </xf>
    <xf numFmtId="0" fontId="4" fillId="0" borderId="24" xfId="0" applyFont="1" applyBorder="1" applyAlignment="1" applyProtection="1">
      <protection locked="0"/>
    </xf>
    <xf numFmtId="0" fontId="0" fillId="0" borderId="24" xfId="0" applyBorder="1" applyAlignment="1" applyProtection="1">
      <protection locked="0"/>
    </xf>
    <xf numFmtId="0" fontId="0" fillId="0" borderId="34" xfId="0" applyBorder="1" applyAlignment="1" applyProtection="1">
      <protection locked="0"/>
    </xf>
    <xf numFmtId="0" fontId="0" fillId="0" borderId="0" xfId="0" applyBorder="1" applyAlignment="1" applyProtection="1">
      <protection locked="0"/>
    </xf>
    <xf numFmtId="0" fontId="0" fillId="0" borderId="6" xfId="0" applyBorder="1" applyAlignment="1" applyProtection="1">
      <protection locked="0"/>
    </xf>
    <xf numFmtId="0" fontId="0" fillId="0" borderId="1" xfId="0" applyBorder="1" applyAlignment="1" applyProtection="1">
      <protection locked="0"/>
    </xf>
    <xf numFmtId="0" fontId="0" fillId="0" borderId="2" xfId="0" applyBorder="1" applyAlignment="1" applyProtection="1">
      <protection locked="0"/>
    </xf>
    <xf numFmtId="0" fontId="23" fillId="0" borderId="6" xfId="0" applyFont="1" applyBorder="1" applyAlignment="1" applyProtection="1">
      <alignment horizontal="left" textRotation="90" wrapText="1"/>
    </xf>
    <xf numFmtId="0" fontId="23" fillId="0" borderId="6" xfId="0" applyFont="1" applyBorder="1" applyAlignment="1">
      <alignment horizontal="left" textRotation="90" wrapText="1"/>
    </xf>
    <xf numFmtId="0" fontId="99" fillId="0" borderId="5" xfId="0" applyFont="1" applyBorder="1" applyAlignment="1" applyProtection="1">
      <alignment horizontal="left" textRotation="90" wrapText="1"/>
    </xf>
    <xf numFmtId="0" fontId="0" fillId="0" borderId="5" xfId="0" applyBorder="1" applyAlignment="1">
      <alignment horizontal="left"/>
    </xf>
    <xf numFmtId="0" fontId="0" fillId="0" borderId="33" xfId="0" applyBorder="1" applyAlignment="1">
      <alignment horizontal="left"/>
    </xf>
    <xf numFmtId="0" fontId="3" fillId="2" borderId="33" xfId="0" applyFont="1" applyFill="1" applyBorder="1" applyAlignment="1" applyProtection="1">
      <alignment wrapText="1"/>
      <protection locked="0"/>
    </xf>
    <xf numFmtId="0" fontId="4" fillId="2" borderId="2" xfId="0" applyFont="1" applyFill="1" applyBorder="1" applyAlignment="1" applyProtection="1">
      <alignment wrapText="1"/>
      <protection locked="0"/>
    </xf>
    <xf numFmtId="0" fontId="24" fillId="2" borderId="1" xfId="0" applyFont="1" applyFill="1" applyBorder="1" applyAlignment="1" applyProtection="1">
      <protection locked="0"/>
    </xf>
    <xf numFmtId="0" fontId="56" fillId="2" borderId="1" xfId="0" applyFont="1" applyFill="1" applyBorder="1" applyAlignment="1" applyProtection="1">
      <protection locked="0"/>
    </xf>
    <xf numFmtId="0" fontId="3" fillId="0" borderId="58" xfId="0" applyFont="1" applyBorder="1" applyAlignment="1"/>
    <xf numFmtId="0" fontId="0" fillId="0" borderId="72" xfId="0" applyBorder="1" applyAlignment="1"/>
  </cellXfs>
  <cellStyles count="3">
    <cellStyle name="Normal" xfId="0" builtinId="0"/>
    <cellStyle name="Tusental (0)_ELFPRO" xfId="1" xr:uid="{00000000-0005-0000-0000-000001000000}"/>
    <cellStyle name="Valuta (0)_ELFPRO" xfId="2" xr:uid="{00000000-0005-0000-0000-000002000000}"/>
  </cellStyles>
  <dxfs count="960">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DFFFF"/>
        </patternFill>
      </fill>
      <border>
        <left style="thin">
          <color theme="0" tint="-0.14996795556505021"/>
        </left>
        <right style="thin">
          <color theme="0" tint="-0.14996795556505021"/>
        </right>
        <bottom style="thin">
          <color theme="0" tint="-0.14996795556505021"/>
        </bottom>
      </border>
    </dxf>
    <dxf>
      <fill>
        <patternFill>
          <bgColor rgb="FFCCFFFF"/>
        </patternFill>
      </fill>
      <border>
        <left style="thin">
          <color theme="0" tint="-0.14996795556505021"/>
        </left>
        <right style="thin">
          <color theme="0" tint="-0.14996795556505021"/>
        </right>
        <bottom style="thin">
          <color theme="0" tint="-0.14996795556505021"/>
        </bottom>
      </border>
    </dxf>
    <dxf>
      <fill>
        <patternFill>
          <bgColor rgb="FFFF0000"/>
        </patternFill>
      </fill>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bgColor rgb="FFCDFFFF"/>
        </patternFill>
      </fill>
      <border>
        <left style="thin">
          <color indexed="64"/>
        </left>
        <right style="thin">
          <color indexed="64"/>
        </right>
        <bottom style="thin">
          <color indexed="64"/>
        </bottom>
      </border>
    </dxf>
    <dxf>
      <fill>
        <patternFill>
          <bgColor theme="0" tint="-0.14996795556505021"/>
        </patternFill>
      </fill>
      <border>
        <left style="thin">
          <color indexed="64"/>
        </left>
        <right style="thin">
          <color indexed="64"/>
        </right>
        <bottom style="thin">
          <color indexed="64"/>
        </bottom>
      </border>
    </dxf>
    <dxf>
      <font>
        <color rgb="FFFF0000"/>
      </font>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none">
          <bgColor indexed="65"/>
        </patternFill>
      </fill>
      <border>
        <bottom/>
      </border>
    </dxf>
    <dxf>
      <font>
        <b/>
        <i val="0"/>
      </font>
      <fill>
        <patternFill>
          <bgColor theme="0"/>
        </patternFill>
      </fill>
      <border>
        <left style="thin">
          <color indexed="64"/>
        </left>
        <right style="thin">
          <color indexed="64"/>
        </right>
        <bottom style="thin">
          <color indexed="64"/>
        </bottom>
      </border>
    </dxf>
    <dxf>
      <border>
        <left style="thin">
          <color indexed="64"/>
        </left>
        <right style="thin">
          <color indexed="64"/>
        </right>
      </border>
    </dxf>
    <dxf>
      <fill>
        <patternFill>
          <bgColor theme="0" tint="-0.14996795556505021"/>
        </patternFill>
      </fill>
    </dxf>
    <dxf>
      <font>
        <color rgb="FFFF0000"/>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border>
        <left style="thin">
          <color indexed="64"/>
        </left>
        <right style="thin">
          <color indexed="64"/>
        </right>
        <bottom style="thin">
          <color indexed="64"/>
        </bottom>
      </border>
    </dxf>
    <dxf>
      <border>
        <bottom/>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ont>
        <b/>
        <i val="0"/>
      </font>
      <border>
        <left style="thin">
          <color indexed="64"/>
        </left>
        <right style="thin">
          <color indexed="64"/>
        </right>
        <bottom style="thin">
          <color indexed="64"/>
        </bottom>
      </border>
    </dxf>
    <dxf>
      <border>
        <left style="thin">
          <color indexed="64"/>
        </left>
        <right style="thin">
          <color indexed="64"/>
        </right>
        <bottom style="thin">
          <color indexed="64"/>
        </bottom>
      </border>
    </dxf>
    <dxf>
      <font>
        <color rgb="FFFF0000"/>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0000FF"/>
      <color rgb="FFC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66005352508996"/>
          <c:y val="3.7007874015748031E-2"/>
          <c:w val="0.86402957568343097"/>
          <c:h val="0.7399867998956271"/>
        </c:manualLayout>
      </c:layout>
      <c:barChart>
        <c:barDir val="col"/>
        <c:grouping val="clustered"/>
        <c:varyColors val="0"/>
        <c:ser>
          <c:idx val="0"/>
          <c:order val="0"/>
          <c:tx>
            <c:strRef>
              <c:f>Artuppgifter!$Q$3</c:f>
              <c:strCache>
                <c:ptCount val="1"/>
              </c:strCache>
            </c:strRef>
          </c:tx>
          <c:spPr>
            <a:solidFill>
              <a:srgbClr val="00B050"/>
            </a:solidFill>
            <a:ln w="25400">
              <a:noFill/>
            </a:ln>
          </c:spPr>
          <c:invertIfNegative val="0"/>
          <c:cat>
            <c:strRef>
              <c:f>Artuppgifter!$Q$6:$Q$56</c:f>
              <c:strCache>
                <c:ptCount val="51"/>
                <c:pt idx="0">
                  <c:v>1 - 5</c:v>
                </c:pt>
                <c:pt idx="1">
                  <c:v>6 - 10</c:v>
                </c:pt>
                <c:pt idx="2">
                  <c:v>11 - 15</c:v>
                </c:pt>
                <c:pt idx="3">
                  <c:v>16 - 20</c:v>
                </c:pt>
                <c:pt idx="4">
                  <c:v>21 - 25</c:v>
                </c:pt>
                <c:pt idx="5">
                  <c:v>26 - 30</c:v>
                </c:pt>
                <c:pt idx="6">
                  <c:v>31 - 35</c:v>
                </c:pt>
                <c:pt idx="7">
                  <c:v>36 - 40</c:v>
                </c:pt>
                <c:pt idx="8">
                  <c:v>41 - 45</c:v>
                </c:pt>
                <c:pt idx="9">
                  <c:v>46 - 50</c:v>
                </c:pt>
                <c:pt idx="10">
                  <c:v>51 - 55</c:v>
                </c:pt>
                <c:pt idx="11">
                  <c:v>56 - 60</c:v>
                </c:pt>
                <c:pt idx="12">
                  <c:v>61 - 65</c:v>
                </c:pt>
                <c:pt idx="13">
                  <c:v>66 - 70</c:v>
                </c:pt>
                <c:pt idx="14">
                  <c:v>71 - 75</c:v>
                </c:pt>
                <c:pt idx="15">
                  <c:v>76 - 80</c:v>
                </c:pt>
                <c:pt idx="16">
                  <c:v>81 - 85</c:v>
                </c:pt>
                <c:pt idx="17">
                  <c:v>86 - 90</c:v>
                </c:pt>
                <c:pt idx="18">
                  <c:v>91 - 95</c:v>
                </c:pt>
                <c:pt idx="19">
                  <c:v>96 - 100</c:v>
                </c:pt>
                <c:pt idx="20">
                  <c:v>101 - 105</c:v>
                </c:pt>
                <c:pt idx="21">
                  <c:v>106 - 110</c:v>
                </c:pt>
                <c:pt idx="22">
                  <c:v>111 - 115</c:v>
                </c:pt>
                <c:pt idx="23">
                  <c:v>116 - 120</c:v>
                </c:pt>
                <c:pt idx="24">
                  <c:v>121 - 125</c:v>
                </c:pt>
                <c:pt idx="25">
                  <c:v>126 - 130</c:v>
                </c:pt>
                <c:pt idx="26">
                  <c:v>131 - 135</c:v>
                </c:pt>
                <c:pt idx="27">
                  <c:v>136 - 140</c:v>
                </c:pt>
                <c:pt idx="28">
                  <c:v>141 - 145</c:v>
                </c:pt>
                <c:pt idx="29">
                  <c:v>146 - 150</c:v>
                </c:pt>
                <c:pt idx="30">
                  <c:v>151 - 155</c:v>
                </c:pt>
                <c:pt idx="31">
                  <c:v>156 - 160</c:v>
                </c:pt>
                <c:pt idx="32">
                  <c:v>161 - 165</c:v>
                </c:pt>
                <c:pt idx="33">
                  <c:v>166 - 170</c:v>
                </c:pt>
                <c:pt idx="34">
                  <c:v>171 - 175</c:v>
                </c:pt>
                <c:pt idx="35">
                  <c:v>176 - 180</c:v>
                </c:pt>
                <c:pt idx="36">
                  <c:v>181 - 185</c:v>
                </c:pt>
                <c:pt idx="37">
                  <c:v>186 - 190</c:v>
                </c:pt>
                <c:pt idx="38">
                  <c:v>191 - 195</c:v>
                </c:pt>
                <c:pt idx="39">
                  <c:v>196 - 200</c:v>
                </c:pt>
                <c:pt idx="40">
                  <c:v>201 - 205</c:v>
                </c:pt>
                <c:pt idx="41">
                  <c:v>206 - 210</c:v>
                </c:pt>
                <c:pt idx="42">
                  <c:v>211 - 215</c:v>
                </c:pt>
                <c:pt idx="43">
                  <c:v>216 - 220</c:v>
                </c:pt>
                <c:pt idx="44">
                  <c:v>221 - 225</c:v>
                </c:pt>
                <c:pt idx="45">
                  <c:v>226 - 230</c:v>
                </c:pt>
                <c:pt idx="46">
                  <c:v>231 - 235</c:v>
                </c:pt>
                <c:pt idx="47">
                  <c:v>236 - 240</c:v>
                </c:pt>
                <c:pt idx="48">
                  <c:v>241 - 245</c:v>
                </c:pt>
                <c:pt idx="49">
                  <c:v>246 - 250</c:v>
                </c:pt>
                <c:pt idx="50">
                  <c:v>&gt;250</c:v>
                </c:pt>
              </c:strCache>
            </c:strRef>
          </c:cat>
          <c:val>
            <c:numRef>
              <c:f>Artuppgifter!$R$6:$R$56</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6E89-45F1-8C3F-ED2954A29D7A}"/>
            </c:ext>
          </c:extLst>
        </c:ser>
        <c:dLbls>
          <c:showLegendKey val="0"/>
          <c:showVal val="0"/>
          <c:showCatName val="0"/>
          <c:showSerName val="0"/>
          <c:showPercent val="0"/>
          <c:showBubbleSize val="0"/>
        </c:dLbls>
        <c:gapWidth val="55"/>
        <c:overlap val="-5"/>
        <c:axId val="682636864"/>
        <c:axId val="1"/>
      </c:barChart>
      <c:barChart>
        <c:barDir val="col"/>
        <c:grouping val="clustered"/>
        <c:varyColors val="0"/>
        <c:ser>
          <c:idx val="1"/>
          <c:order val="1"/>
          <c:tx>
            <c:strRef>
              <c:f>Artuppgifter!$S$5</c:f>
              <c:strCache>
                <c:ptCount val="1"/>
                <c:pt idx="0">
                  <c:v>0+ gräns</c:v>
                </c:pt>
              </c:strCache>
            </c:strRef>
          </c:tx>
          <c:spPr>
            <a:noFill/>
            <a:ln>
              <a:solidFill>
                <a:schemeClr val="tx1"/>
              </a:solidFill>
              <a:prstDash val="dash"/>
            </a:ln>
            <a:effectLst/>
          </c:spPr>
          <c:invertIfNegative val="0"/>
          <c:cat>
            <c:strRef>
              <c:f>Artuppgifter!$Q$6:$Q$56</c:f>
              <c:strCache>
                <c:ptCount val="51"/>
                <c:pt idx="0">
                  <c:v>1 - 5</c:v>
                </c:pt>
                <c:pt idx="1">
                  <c:v>6 - 10</c:v>
                </c:pt>
                <c:pt idx="2">
                  <c:v>11 - 15</c:v>
                </c:pt>
                <c:pt idx="3">
                  <c:v>16 - 20</c:v>
                </c:pt>
                <c:pt idx="4">
                  <c:v>21 - 25</c:v>
                </c:pt>
                <c:pt idx="5">
                  <c:v>26 - 30</c:v>
                </c:pt>
                <c:pt idx="6">
                  <c:v>31 - 35</c:v>
                </c:pt>
                <c:pt idx="7">
                  <c:v>36 - 40</c:v>
                </c:pt>
                <c:pt idx="8">
                  <c:v>41 - 45</c:v>
                </c:pt>
                <c:pt idx="9">
                  <c:v>46 - 50</c:v>
                </c:pt>
                <c:pt idx="10">
                  <c:v>51 - 55</c:v>
                </c:pt>
                <c:pt idx="11">
                  <c:v>56 - 60</c:v>
                </c:pt>
                <c:pt idx="12">
                  <c:v>61 - 65</c:v>
                </c:pt>
                <c:pt idx="13">
                  <c:v>66 - 70</c:v>
                </c:pt>
                <c:pt idx="14">
                  <c:v>71 - 75</c:v>
                </c:pt>
                <c:pt idx="15">
                  <c:v>76 - 80</c:v>
                </c:pt>
                <c:pt idx="16">
                  <c:v>81 - 85</c:v>
                </c:pt>
                <c:pt idx="17">
                  <c:v>86 - 90</c:v>
                </c:pt>
                <c:pt idx="18">
                  <c:v>91 - 95</c:v>
                </c:pt>
                <c:pt idx="19">
                  <c:v>96 - 100</c:v>
                </c:pt>
                <c:pt idx="20">
                  <c:v>101 - 105</c:v>
                </c:pt>
                <c:pt idx="21">
                  <c:v>106 - 110</c:v>
                </c:pt>
                <c:pt idx="22">
                  <c:v>111 - 115</c:v>
                </c:pt>
                <c:pt idx="23">
                  <c:v>116 - 120</c:v>
                </c:pt>
                <c:pt idx="24">
                  <c:v>121 - 125</c:v>
                </c:pt>
                <c:pt idx="25">
                  <c:v>126 - 130</c:v>
                </c:pt>
                <c:pt idx="26">
                  <c:v>131 - 135</c:v>
                </c:pt>
                <c:pt idx="27">
                  <c:v>136 - 140</c:v>
                </c:pt>
                <c:pt idx="28">
                  <c:v>141 - 145</c:v>
                </c:pt>
                <c:pt idx="29">
                  <c:v>146 - 150</c:v>
                </c:pt>
                <c:pt idx="30">
                  <c:v>151 - 155</c:v>
                </c:pt>
                <c:pt idx="31">
                  <c:v>156 - 160</c:v>
                </c:pt>
                <c:pt idx="32">
                  <c:v>161 - 165</c:v>
                </c:pt>
                <c:pt idx="33">
                  <c:v>166 - 170</c:v>
                </c:pt>
                <c:pt idx="34">
                  <c:v>171 - 175</c:v>
                </c:pt>
                <c:pt idx="35">
                  <c:v>176 - 180</c:v>
                </c:pt>
                <c:pt idx="36">
                  <c:v>181 - 185</c:v>
                </c:pt>
                <c:pt idx="37">
                  <c:v>186 - 190</c:v>
                </c:pt>
                <c:pt idx="38">
                  <c:v>191 - 195</c:v>
                </c:pt>
                <c:pt idx="39">
                  <c:v>196 - 200</c:v>
                </c:pt>
                <c:pt idx="40">
                  <c:v>201 - 205</c:v>
                </c:pt>
                <c:pt idx="41">
                  <c:v>206 - 210</c:v>
                </c:pt>
                <c:pt idx="42">
                  <c:v>211 - 215</c:v>
                </c:pt>
                <c:pt idx="43">
                  <c:v>216 - 220</c:v>
                </c:pt>
                <c:pt idx="44">
                  <c:v>221 - 225</c:v>
                </c:pt>
                <c:pt idx="45">
                  <c:v>226 - 230</c:v>
                </c:pt>
                <c:pt idx="46">
                  <c:v>231 - 235</c:v>
                </c:pt>
                <c:pt idx="47">
                  <c:v>236 - 240</c:v>
                </c:pt>
                <c:pt idx="48">
                  <c:v>241 - 245</c:v>
                </c:pt>
                <c:pt idx="49">
                  <c:v>246 - 250</c:v>
                </c:pt>
                <c:pt idx="50">
                  <c:v>&gt;250</c:v>
                </c:pt>
              </c:strCache>
            </c:strRef>
          </c:cat>
          <c:val>
            <c:numRef>
              <c:f>Artuppgifter!$S$6:$S$56</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6E89-45F1-8C3F-ED2954A29D7A}"/>
            </c:ext>
          </c:extLst>
        </c:ser>
        <c:ser>
          <c:idx val="2"/>
          <c:order val="2"/>
          <c:tx>
            <c:strRef>
              <c:f>Artuppgifter!$T$5</c:f>
              <c:strCache>
                <c:ptCount val="1"/>
              </c:strCache>
            </c:strRef>
          </c:tx>
          <c:spPr>
            <a:noFill/>
            <a:ln>
              <a:noFill/>
            </a:ln>
          </c:spPr>
          <c:invertIfNegative val="0"/>
          <c:val>
            <c:numRef>
              <c:f>Artuppgifter!$T$6:$T$56</c:f>
              <c:numCache>
                <c:formatCode>General</c:formatCode>
                <c:ptCount val="51"/>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numCache>
            </c:numRef>
          </c:val>
          <c:extLst>
            <c:ext xmlns:c16="http://schemas.microsoft.com/office/drawing/2014/chart" uri="{C3380CC4-5D6E-409C-BE32-E72D297353CC}">
              <c16:uniqueId val="{00000002-6E89-45F1-8C3F-ED2954A29D7A}"/>
            </c:ext>
          </c:extLst>
        </c:ser>
        <c:dLbls>
          <c:showLegendKey val="0"/>
          <c:showVal val="0"/>
          <c:showCatName val="0"/>
          <c:showSerName val="0"/>
          <c:showPercent val="0"/>
          <c:showBubbleSize val="0"/>
        </c:dLbls>
        <c:gapWidth val="500"/>
        <c:overlap val="5"/>
        <c:axId val="3"/>
        <c:axId val="4"/>
      </c:barChart>
      <c:catAx>
        <c:axId val="682636864"/>
        <c:scaling>
          <c:orientation val="minMax"/>
        </c:scaling>
        <c:delete val="0"/>
        <c:axPos val="b"/>
        <c:title>
          <c:tx>
            <c:rich>
              <a:bodyPr/>
              <a:lstStyle/>
              <a:p>
                <a:pPr>
                  <a:defRPr sz="1200" b="1" i="0" u="none" strike="noStrike" baseline="0">
                    <a:solidFill>
                      <a:srgbClr val="333333"/>
                    </a:solidFill>
                    <a:latin typeface="Calibri"/>
                    <a:ea typeface="Calibri"/>
                    <a:cs typeface="Calibri"/>
                  </a:defRPr>
                </a:pPr>
                <a:r>
                  <a:rPr lang="sv-SE"/>
                  <a:t>Längdintervall (mm)</a:t>
                </a:r>
              </a:p>
            </c:rich>
          </c:tx>
          <c:layout>
            <c:manualLayout>
              <c:xMode val="edge"/>
              <c:yMode val="edge"/>
              <c:x val="0.40898384164243623"/>
              <c:y val="0.93118920388651205"/>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sv-SE"/>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333333"/>
                    </a:solidFill>
                    <a:latin typeface="Calibri"/>
                    <a:ea typeface="Calibri"/>
                    <a:cs typeface="Calibri"/>
                  </a:defRPr>
                </a:pPr>
                <a:r>
                  <a:rPr lang="sv-SE"/>
                  <a:t>Antal fångade</a:t>
                </a:r>
              </a:p>
            </c:rich>
          </c:tx>
          <c:layout>
            <c:manualLayout>
              <c:xMode val="edge"/>
              <c:yMode val="edge"/>
              <c:x val="2.9877751130165334E-3"/>
              <c:y val="0.33360939554860081"/>
            </c:manualLayout>
          </c:layout>
          <c:overlay val="0"/>
          <c:spPr>
            <a:noFill/>
            <a:ln w="25400">
              <a:noFill/>
            </a:ln>
          </c:spPr>
        </c:title>
        <c:numFmt formatCode="General" sourceLinked="1"/>
        <c:majorTickMark val="out"/>
        <c:minorTickMark val="none"/>
        <c:tickLblPos val="nextTo"/>
        <c:spPr>
          <a:noFill/>
          <a:ln>
            <a:solidFill>
              <a:schemeClr val="tx1"/>
            </a:solidFill>
          </a:ln>
          <a:effectLst/>
        </c:spPr>
        <c:txPr>
          <a:bodyPr rot="0" vert="horz"/>
          <a:lstStyle/>
          <a:p>
            <a:pPr>
              <a:defRPr sz="900" b="0" i="0" u="none" strike="noStrike" baseline="0">
                <a:solidFill>
                  <a:srgbClr val="333333"/>
                </a:solidFill>
                <a:latin typeface="Calibri"/>
                <a:ea typeface="Calibri"/>
                <a:cs typeface="Calibri"/>
              </a:defRPr>
            </a:pPr>
            <a:endParaRPr lang="sv-SE"/>
          </a:p>
        </c:txPr>
        <c:crossAx val="6826368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General" sourceLinked="1"/>
        <c:majorTickMark val="out"/>
        <c:minorTickMark val="none"/>
        <c:tickLblPos val="nextTo"/>
        <c:crossAx val="3"/>
        <c:crosses val="max"/>
        <c:crossBetween val="between"/>
      </c:valAx>
      <c:spPr>
        <a:noFill/>
        <a:ln w="25400">
          <a:noFill/>
        </a:ln>
      </c:spPr>
    </c:plotArea>
    <c:legend>
      <c:legendPos val="r"/>
      <c:legendEntry>
        <c:idx val="1"/>
        <c:delete val="1"/>
      </c:legendEntry>
      <c:layout>
        <c:manualLayout>
          <c:xMode val="edge"/>
          <c:yMode val="edge"/>
          <c:x val="0.31401617250673858"/>
          <c:y val="1.4799154334038054E-2"/>
          <c:w val="0.41778975741239893"/>
          <c:h val="0.14376321353065538"/>
        </c:manualLayout>
      </c:layout>
      <c:overlay val="0"/>
      <c:spPr>
        <a:noFill/>
        <a:ln w="25400">
          <a:noFill/>
        </a:ln>
      </c:spPr>
      <c:txPr>
        <a:bodyPr/>
        <a:lstStyle/>
        <a:p>
          <a:pPr>
            <a:defRPr sz="645" b="1" i="0" u="none" strike="noStrike" baseline="0">
              <a:solidFill>
                <a:srgbClr val="333333"/>
              </a:solidFill>
              <a:latin typeface="Calibri"/>
              <a:ea typeface="Calibri"/>
              <a:cs typeface="Calibri"/>
            </a:defRPr>
          </a:pPr>
          <a:endParaRPr lang="sv-SE"/>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243840</xdr:colOff>
      <xdr:row>79</xdr:row>
      <xdr:rowOff>131517</xdr:rowOff>
    </xdr:from>
    <xdr:to>
      <xdr:col>22</xdr:col>
      <xdr:colOff>53339</xdr:colOff>
      <xdr:row>101</xdr:row>
      <xdr:rowOff>76986</xdr:rowOff>
    </xdr:to>
    <xdr:pic>
      <xdr:nvPicPr>
        <xdr:cNvPr id="3" name="Bildobjekt 2">
          <a:extLst>
            <a:ext uri="{FF2B5EF4-FFF2-40B4-BE49-F238E27FC236}">
              <a16:creationId xmlns:a16="http://schemas.microsoft.com/office/drawing/2014/main" id="{EB55CDC3-4722-4C9F-99C8-D093C9BE18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18427137"/>
          <a:ext cx="5173979" cy="36030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99060</xdr:colOff>
      <xdr:row>54</xdr:row>
      <xdr:rowOff>45720</xdr:rowOff>
    </xdr:from>
    <xdr:to>
      <xdr:col>1</xdr:col>
      <xdr:colOff>464820</xdr:colOff>
      <xdr:row>54</xdr:row>
      <xdr:rowOff>167640</xdr:rowOff>
    </xdr:to>
    <xdr:sp macro="" textlink="">
      <xdr:nvSpPr>
        <xdr:cNvPr id="18102" name="Rektangel 8">
          <a:extLst>
            <a:ext uri="{FF2B5EF4-FFF2-40B4-BE49-F238E27FC236}">
              <a16:creationId xmlns:a16="http://schemas.microsoft.com/office/drawing/2014/main" id="{E586279C-6108-43A1-82AB-F61BB2FBCFEB}"/>
            </a:ext>
          </a:extLst>
        </xdr:cNvPr>
        <xdr:cNvSpPr>
          <a:spLocks noChangeArrowheads="1"/>
        </xdr:cNvSpPr>
      </xdr:nvSpPr>
      <xdr:spPr bwMode="auto">
        <a:xfrm>
          <a:off x="708660" y="1059180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381000</xdr:colOff>
      <xdr:row>54</xdr:row>
      <xdr:rowOff>15240</xdr:rowOff>
    </xdr:from>
    <xdr:to>
      <xdr:col>1</xdr:col>
      <xdr:colOff>685800</xdr:colOff>
      <xdr:row>54</xdr:row>
      <xdr:rowOff>198120</xdr:rowOff>
    </xdr:to>
    <xdr:sp macro="" textlink="">
      <xdr:nvSpPr>
        <xdr:cNvPr id="18103" name="Rektangel 9">
          <a:extLst>
            <a:ext uri="{FF2B5EF4-FFF2-40B4-BE49-F238E27FC236}">
              <a16:creationId xmlns:a16="http://schemas.microsoft.com/office/drawing/2014/main" id="{5BC4E97B-A92E-44B6-B13F-977B762D0763}"/>
            </a:ext>
          </a:extLst>
        </xdr:cNvPr>
        <xdr:cNvSpPr>
          <a:spLocks noChangeArrowheads="1"/>
        </xdr:cNvSpPr>
      </xdr:nvSpPr>
      <xdr:spPr bwMode="auto">
        <a:xfrm>
          <a:off x="990600" y="10561320"/>
          <a:ext cx="304800" cy="1828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929640</xdr:colOff>
      <xdr:row>44</xdr:row>
      <xdr:rowOff>198120</xdr:rowOff>
    </xdr:from>
    <xdr:to>
      <xdr:col>1</xdr:col>
      <xdr:colOff>929640</xdr:colOff>
      <xdr:row>56</xdr:row>
      <xdr:rowOff>0</xdr:rowOff>
    </xdr:to>
    <xdr:cxnSp macro="">
      <xdr:nvCxnSpPr>
        <xdr:cNvPr id="18104" name="Rak 2">
          <a:extLst>
            <a:ext uri="{FF2B5EF4-FFF2-40B4-BE49-F238E27FC236}">
              <a16:creationId xmlns:a16="http://schemas.microsoft.com/office/drawing/2014/main" id="{695BA232-14B4-468C-9B44-4F5A79149818}"/>
            </a:ext>
          </a:extLst>
        </xdr:cNvPr>
        <xdr:cNvCxnSpPr>
          <a:cxnSpLocks noChangeShapeType="1"/>
        </xdr:cNvCxnSpPr>
      </xdr:nvCxnSpPr>
      <xdr:spPr bwMode="auto">
        <a:xfrm flipV="1">
          <a:off x="1539240" y="8610600"/>
          <a:ext cx="0" cy="371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739140</xdr:colOff>
      <xdr:row>69</xdr:row>
      <xdr:rowOff>1478280</xdr:rowOff>
    </xdr:from>
    <xdr:to>
      <xdr:col>1</xdr:col>
      <xdr:colOff>861060</xdr:colOff>
      <xdr:row>69</xdr:row>
      <xdr:rowOff>1851660</xdr:rowOff>
    </xdr:to>
    <xdr:sp macro="" textlink="">
      <xdr:nvSpPr>
        <xdr:cNvPr id="18105" name="Rektangel 10">
          <a:extLst>
            <a:ext uri="{FF2B5EF4-FFF2-40B4-BE49-F238E27FC236}">
              <a16:creationId xmlns:a16="http://schemas.microsoft.com/office/drawing/2014/main" id="{407D065A-BE42-40E2-86FA-A402F765681F}"/>
            </a:ext>
          </a:extLst>
        </xdr:cNvPr>
        <xdr:cNvSpPr>
          <a:spLocks noChangeArrowheads="1"/>
        </xdr:cNvSpPr>
      </xdr:nvSpPr>
      <xdr:spPr bwMode="auto">
        <a:xfrm>
          <a:off x="1348740" y="16024860"/>
          <a:ext cx="121920" cy="3733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891540</xdr:colOff>
      <xdr:row>57</xdr:row>
      <xdr:rowOff>0</xdr:rowOff>
    </xdr:from>
    <xdr:to>
      <xdr:col>1</xdr:col>
      <xdr:colOff>891540</xdr:colOff>
      <xdr:row>70</xdr:row>
      <xdr:rowOff>7620</xdr:rowOff>
    </xdr:to>
    <xdr:cxnSp macro="">
      <xdr:nvCxnSpPr>
        <xdr:cNvPr id="18106" name="Rak 7">
          <a:extLst>
            <a:ext uri="{FF2B5EF4-FFF2-40B4-BE49-F238E27FC236}">
              <a16:creationId xmlns:a16="http://schemas.microsoft.com/office/drawing/2014/main" id="{2ED5933C-3388-4E4A-880C-6DC7D20527D6}"/>
            </a:ext>
          </a:extLst>
        </xdr:cNvPr>
        <xdr:cNvCxnSpPr>
          <a:cxnSpLocks noChangeShapeType="1"/>
        </xdr:cNvCxnSpPr>
      </xdr:nvCxnSpPr>
      <xdr:spPr bwMode="auto">
        <a:xfrm flipV="1">
          <a:off x="1501140" y="12557760"/>
          <a:ext cx="0" cy="38785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480060</xdr:colOff>
      <xdr:row>45</xdr:row>
      <xdr:rowOff>0</xdr:rowOff>
    </xdr:from>
    <xdr:to>
      <xdr:col>1</xdr:col>
      <xdr:colOff>480060</xdr:colOff>
      <xdr:row>56</xdr:row>
      <xdr:rowOff>7620</xdr:rowOff>
    </xdr:to>
    <xdr:cxnSp macro="">
      <xdr:nvCxnSpPr>
        <xdr:cNvPr id="18107" name="Rak 5">
          <a:extLst>
            <a:ext uri="{FF2B5EF4-FFF2-40B4-BE49-F238E27FC236}">
              <a16:creationId xmlns:a16="http://schemas.microsoft.com/office/drawing/2014/main" id="{446BB717-81DE-42CA-BDC7-E840C4ADBD2B}"/>
            </a:ext>
          </a:extLst>
        </xdr:cNvPr>
        <xdr:cNvCxnSpPr>
          <a:cxnSpLocks noChangeShapeType="1"/>
        </xdr:cNvCxnSpPr>
      </xdr:nvCxnSpPr>
      <xdr:spPr bwMode="auto">
        <a:xfrm flipV="1">
          <a:off x="1089660" y="8618220"/>
          <a:ext cx="0" cy="371856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960120</xdr:colOff>
      <xdr:row>54</xdr:row>
      <xdr:rowOff>22860</xdr:rowOff>
    </xdr:from>
    <xdr:to>
      <xdr:col>1</xdr:col>
      <xdr:colOff>1165860</xdr:colOff>
      <xdr:row>54</xdr:row>
      <xdr:rowOff>152400</xdr:rowOff>
    </xdr:to>
    <xdr:sp macro="" textlink="">
      <xdr:nvSpPr>
        <xdr:cNvPr id="18108" name="Rektangel 13">
          <a:extLst>
            <a:ext uri="{FF2B5EF4-FFF2-40B4-BE49-F238E27FC236}">
              <a16:creationId xmlns:a16="http://schemas.microsoft.com/office/drawing/2014/main" id="{2F472883-5E48-4331-981D-59E4A01E4BD0}"/>
            </a:ext>
          </a:extLst>
        </xdr:cNvPr>
        <xdr:cNvSpPr>
          <a:spLocks noChangeArrowheads="1"/>
        </xdr:cNvSpPr>
      </xdr:nvSpPr>
      <xdr:spPr bwMode="auto">
        <a:xfrm>
          <a:off x="1569720" y="10568940"/>
          <a:ext cx="205740" cy="12954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2</xdr:col>
      <xdr:colOff>22860</xdr:colOff>
      <xdr:row>44</xdr:row>
      <xdr:rowOff>190500</xdr:rowOff>
    </xdr:from>
    <xdr:to>
      <xdr:col>2</xdr:col>
      <xdr:colOff>22860</xdr:colOff>
      <xdr:row>55</xdr:row>
      <xdr:rowOff>1584960</xdr:rowOff>
    </xdr:to>
    <xdr:cxnSp macro="">
      <xdr:nvCxnSpPr>
        <xdr:cNvPr id="18109" name="Rak 12">
          <a:extLst>
            <a:ext uri="{FF2B5EF4-FFF2-40B4-BE49-F238E27FC236}">
              <a16:creationId xmlns:a16="http://schemas.microsoft.com/office/drawing/2014/main" id="{9E55ED10-D54B-47CD-B9DE-FA758AB95C4B}"/>
            </a:ext>
          </a:extLst>
        </xdr:cNvPr>
        <xdr:cNvCxnSpPr>
          <a:cxnSpLocks noChangeShapeType="1"/>
        </xdr:cNvCxnSpPr>
      </xdr:nvCxnSpPr>
      <xdr:spPr bwMode="auto">
        <a:xfrm flipV="1">
          <a:off x="1828800" y="8602980"/>
          <a:ext cx="0" cy="37261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259080</xdr:colOff>
      <xdr:row>66</xdr:row>
      <xdr:rowOff>45720</xdr:rowOff>
    </xdr:from>
    <xdr:to>
      <xdr:col>1</xdr:col>
      <xdr:colOff>419100</xdr:colOff>
      <xdr:row>68</xdr:row>
      <xdr:rowOff>160020</xdr:rowOff>
    </xdr:to>
    <xdr:sp macro="" textlink="">
      <xdr:nvSpPr>
        <xdr:cNvPr id="18110" name="Rektangel 8">
          <a:extLst>
            <a:ext uri="{FF2B5EF4-FFF2-40B4-BE49-F238E27FC236}">
              <a16:creationId xmlns:a16="http://schemas.microsoft.com/office/drawing/2014/main" id="{10184135-4D80-4B33-9A77-7B095364C579}"/>
            </a:ext>
          </a:extLst>
        </xdr:cNvPr>
        <xdr:cNvSpPr>
          <a:spLocks noChangeArrowheads="1"/>
        </xdr:cNvSpPr>
      </xdr:nvSpPr>
      <xdr:spPr bwMode="auto">
        <a:xfrm>
          <a:off x="868680" y="14089380"/>
          <a:ext cx="160020" cy="44958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472440</xdr:colOff>
      <xdr:row>57</xdr:row>
      <xdr:rowOff>15240</xdr:rowOff>
    </xdr:from>
    <xdr:to>
      <xdr:col>1</xdr:col>
      <xdr:colOff>472440</xdr:colOff>
      <xdr:row>70</xdr:row>
      <xdr:rowOff>22860</xdr:rowOff>
    </xdr:to>
    <xdr:cxnSp macro="">
      <xdr:nvCxnSpPr>
        <xdr:cNvPr id="18111" name="Rak 4">
          <a:extLst>
            <a:ext uri="{FF2B5EF4-FFF2-40B4-BE49-F238E27FC236}">
              <a16:creationId xmlns:a16="http://schemas.microsoft.com/office/drawing/2014/main" id="{76AF950E-CB18-4B58-A670-01E13C7C6CA4}"/>
            </a:ext>
          </a:extLst>
        </xdr:cNvPr>
        <xdr:cNvCxnSpPr>
          <a:cxnSpLocks noChangeShapeType="1"/>
        </xdr:cNvCxnSpPr>
      </xdr:nvCxnSpPr>
      <xdr:spPr bwMode="auto">
        <a:xfrm flipV="1">
          <a:off x="1082040" y="12573000"/>
          <a:ext cx="0" cy="387858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53340</xdr:colOff>
      <xdr:row>45</xdr:row>
      <xdr:rowOff>83820</xdr:rowOff>
    </xdr:from>
    <xdr:to>
      <xdr:col>1</xdr:col>
      <xdr:colOff>419100</xdr:colOff>
      <xdr:row>46</xdr:row>
      <xdr:rowOff>15240</xdr:rowOff>
    </xdr:to>
    <xdr:sp macro="" textlink="">
      <xdr:nvSpPr>
        <xdr:cNvPr id="18112" name="Rektangel 8">
          <a:extLst>
            <a:ext uri="{FF2B5EF4-FFF2-40B4-BE49-F238E27FC236}">
              <a16:creationId xmlns:a16="http://schemas.microsoft.com/office/drawing/2014/main" id="{A4738F43-9CAC-4A41-A224-44CC51850EEF}"/>
            </a:ext>
          </a:extLst>
        </xdr:cNvPr>
        <xdr:cNvSpPr>
          <a:spLocks noChangeArrowheads="1"/>
        </xdr:cNvSpPr>
      </xdr:nvSpPr>
      <xdr:spPr bwMode="auto">
        <a:xfrm>
          <a:off x="662940" y="870204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525780</xdr:colOff>
      <xdr:row>54</xdr:row>
      <xdr:rowOff>68580</xdr:rowOff>
    </xdr:from>
    <xdr:to>
      <xdr:col>1</xdr:col>
      <xdr:colOff>891540</xdr:colOff>
      <xdr:row>54</xdr:row>
      <xdr:rowOff>190500</xdr:rowOff>
    </xdr:to>
    <xdr:sp macro="" textlink="">
      <xdr:nvSpPr>
        <xdr:cNvPr id="18113" name="Rektangel 8">
          <a:extLst>
            <a:ext uri="{FF2B5EF4-FFF2-40B4-BE49-F238E27FC236}">
              <a16:creationId xmlns:a16="http://schemas.microsoft.com/office/drawing/2014/main" id="{5217A06A-56CE-4B11-8474-F86394F2464B}"/>
            </a:ext>
          </a:extLst>
        </xdr:cNvPr>
        <xdr:cNvSpPr>
          <a:spLocks noChangeArrowheads="1"/>
        </xdr:cNvSpPr>
      </xdr:nvSpPr>
      <xdr:spPr bwMode="auto">
        <a:xfrm>
          <a:off x="1135380" y="1061466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xdr:col>
      <xdr:colOff>76200</xdr:colOff>
      <xdr:row>58</xdr:row>
      <xdr:rowOff>91440</xdr:rowOff>
    </xdr:from>
    <xdr:to>
      <xdr:col>1</xdr:col>
      <xdr:colOff>441960</xdr:colOff>
      <xdr:row>59</xdr:row>
      <xdr:rowOff>45720</xdr:rowOff>
    </xdr:to>
    <xdr:sp macro="" textlink="">
      <xdr:nvSpPr>
        <xdr:cNvPr id="18114" name="Rektangel 8">
          <a:extLst>
            <a:ext uri="{FF2B5EF4-FFF2-40B4-BE49-F238E27FC236}">
              <a16:creationId xmlns:a16="http://schemas.microsoft.com/office/drawing/2014/main" id="{6C9F5CB8-4C98-4546-BFEC-4E89C0E7B7B5}"/>
            </a:ext>
          </a:extLst>
        </xdr:cNvPr>
        <xdr:cNvSpPr>
          <a:spLocks noChangeArrowheads="1"/>
        </xdr:cNvSpPr>
      </xdr:nvSpPr>
      <xdr:spPr bwMode="auto">
        <a:xfrm>
          <a:off x="685800" y="12809220"/>
          <a:ext cx="365760" cy="12192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144780</xdr:colOff>
      <xdr:row>2</xdr:row>
      <xdr:rowOff>144780</xdr:rowOff>
    </xdr:from>
    <xdr:to>
      <xdr:col>8</xdr:col>
      <xdr:colOff>632460</xdr:colOff>
      <xdr:row>23</xdr:row>
      <xdr:rowOff>129540</xdr:rowOff>
    </xdr:to>
    <xdr:graphicFrame macro="">
      <xdr:nvGraphicFramePr>
        <xdr:cNvPr id="1285071" name="Diagram 1">
          <a:extLst>
            <a:ext uri="{FF2B5EF4-FFF2-40B4-BE49-F238E27FC236}">
              <a16:creationId xmlns:a16="http://schemas.microsoft.com/office/drawing/2014/main" id="{2130D355-A7C6-4BF0-9CC8-85D1A8CA1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9"/>
  <sheetViews>
    <sheetView tabSelected="1" topLeftCell="A75" zoomScaleNormal="100" workbookViewId="0">
      <selection activeCell="B80" sqref="B80:AE102"/>
    </sheetView>
  </sheetViews>
  <sheetFormatPr defaultColWidth="9.109375" defaultRowHeight="13.2" x14ac:dyDescent="0.25"/>
  <cols>
    <col min="1" max="1" width="1.44140625" style="10" customWidth="1"/>
    <col min="2" max="16" width="3.6640625" style="10" customWidth="1"/>
    <col min="17" max="17" width="4.33203125" style="10" customWidth="1"/>
    <col min="18" max="18" width="4.44140625" style="10" customWidth="1"/>
    <col min="19" max="19" width="3.6640625" style="10" customWidth="1"/>
    <col min="20" max="21" width="3.5546875" style="10" customWidth="1"/>
    <col min="22" max="24" width="3.6640625" style="10" customWidth="1"/>
    <col min="25" max="31" width="3.5546875" style="10" customWidth="1"/>
    <col min="32" max="32" width="9.109375" style="15"/>
    <col min="33" max="33" width="12.33203125" style="15" customWidth="1"/>
    <col min="34" max="16384" width="9.109375" style="10"/>
  </cols>
  <sheetData>
    <row r="1" spans="1:33" ht="18.75" customHeight="1" x14ac:dyDescent="0.3">
      <c r="B1" s="35" t="s">
        <v>678</v>
      </c>
      <c r="C1" s="24"/>
      <c r="D1" s="25"/>
      <c r="E1" s="25"/>
      <c r="F1" s="25"/>
      <c r="G1" s="25"/>
      <c r="H1" s="36"/>
      <c r="I1" s="856" t="s">
        <v>120</v>
      </c>
      <c r="J1" s="856"/>
      <c r="K1" s="856"/>
      <c r="L1" s="856"/>
      <c r="M1" s="856"/>
      <c r="N1" s="856"/>
      <c r="O1" s="856"/>
      <c r="P1" s="856"/>
      <c r="Q1" s="856"/>
      <c r="R1" s="856"/>
      <c r="S1" s="857"/>
      <c r="T1" s="137"/>
      <c r="V1" s="652" t="s">
        <v>2055</v>
      </c>
      <c r="W1" s="867"/>
      <c r="X1" s="867"/>
      <c r="Y1" s="867"/>
      <c r="Z1" s="867"/>
      <c r="AA1" s="867"/>
      <c r="AB1" s="867"/>
      <c r="AC1" s="866" t="str">
        <f>IF(AND(I6&lt;&gt;"",N6&lt;&gt;"",IF(LEN(N6)=6,N6&lt;188200,TRUE)),CONCATENATE(INT((LEFT(I6,6)-605000)/5000),CHAR(65+INT((LEFT(N6,6)-120000)/5000))," ",IF(CEILING((LEFT(I6,6)+1)/2500,1)=EVEN((LEFT(I6,6)+1)/2500),"N","S"),IF(CEILING((LEFT(N6,6)+1)/2500,1)=EVEN((LEFT(N6,6)+1)/2500),"O","V")),"")</f>
        <v>5B NO</v>
      </c>
      <c r="AD1" s="866"/>
      <c r="AE1" s="866"/>
      <c r="AF1" s="318"/>
      <c r="AG1" s="527" t="s">
        <v>2524</v>
      </c>
    </row>
    <row r="2" spans="1:33" ht="6" customHeight="1" thickBot="1" x14ac:dyDescent="0.35">
      <c r="B2" s="24"/>
      <c r="C2" s="24"/>
      <c r="D2" s="25"/>
      <c r="E2" s="25"/>
      <c r="F2" s="25"/>
      <c r="G2" s="25"/>
      <c r="H2" s="25"/>
      <c r="I2" s="26"/>
      <c r="J2" s="26"/>
      <c r="K2" s="26"/>
      <c r="L2" s="26"/>
      <c r="M2" s="26"/>
      <c r="N2" s="26"/>
      <c r="O2" s="11"/>
      <c r="P2" s="11"/>
      <c r="Q2" s="27"/>
      <c r="R2" s="27"/>
      <c r="S2" s="30"/>
      <c r="T2" s="27"/>
      <c r="U2" s="28"/>
      <c r="V2" s="26"/>
      <c r="W2" s="26"/>
      <c r="X2" s="26"/>
      <c r="Y2" s="26"/>
      <c r="Z2" s="11"/>
      <c r="AA2" s="11"/>
      <c r="AB2" s="11"/>
      <c r="AC2" s="11"/>
      <c r="AD2" s="11"/>
      <c r="AE2" s="11"/>
    </row>
    <row r="3" spans="1:33" ht="21.9" customHeight="1" thickTop="1" x14ac:dyDescent="0.3">
      <c r="B3" s="945" t="s">
        <v>679</v>
      </c>
      <c r="C3" s="943"/>
      <c r="D3" s="943"/>
      <c r="E3" s="943"/>
      <c r="F3" s="943"/>
      <c r="G3" s="670"/>
      <c r="H3" s="859" t="s">
        <v>2525</v>
      </c>
      <c r="I3" s="860"/>
      <c r="J3" s="860"/>
      <c r="K3" s="860"/>
      <c r="L3" s="860"/>
      <c r="M3" s="860"/>
      <c r="N3" s="860"/>
      <c r="O3" s="860"/>
      <c r="P3" s="860"/>
      <c r="Q3" s="860"/>
      <c r="R3" s="860"/>
      <c r="S3" s="860"/>
      <c r="T3" s="797"/>
      <c r="U3" s="868" t="s">
        <v>753</v>
      </c>
      <c r="V3" s="842"/>
      <c r="W3" s="842"/>
      <c r="X3" s="842"/>
      <c r="Y3" s="786">
        <f>IF(I1&lt;&gt;"",VLOOKUP(I1,Beräkningshjälp!F69:G91,2,FALSE),"")</f>
        <v>13</v>
      </c>
      <c r="Z3" s="858"/>
      <c r="AA3" s="858"/>
      <c r="AB3" s="230"/>
      <c r="AC3" s="231"/>
      <c r="AD3" s="231"/>
      <c r="AE3" s="232"/>
      <c r="AF3" s="387"/>
      <c r="AG3" s="205"/>
    </row>
    <row r="4" spans="1:33" ht="21.9" customHeight="1" x14ac:dyDescent="0.3">
      <c r="B4" s="947" t="s">
        <v>65</v>
      </c>
      <c r="C4" s="948"/>
      <c r="D4" s="948"/>
      <c r="E4" s="864" t="s">
        <v>409</v>
      </c>
      <c r="F4" s="864"/>
      <c r="G4" s="864"/>
      <c r="H4" s="864"/>
      <c r="I4" s="864"/>
      <c r="J4" s="864"/>
      <c r="K4" s="949"/>
      <c r="L4" s="950" t="s">
        <v>66</v>
      </c>
      <c r="M4" s="801"/>
      <c r="N4" s="801"/>
      <c r="O4" s="801"/>
      <c r="P4" s="951">
        <f>IF(E4&lt;&gt;"",VLOOKUP(E4,Beräkningshjälp!G114:I403,2,FALSE),"")</f>
        <v>1383</v>
      </c>
      <c r="Q4" s="951"/>
      <c r="R4" s="952"/>
      <c r="S4" s="946" t="s">
        <v>760</v>
      </c>
      <c r="T4" s="679"/>
      <c r="U4" s="679"/>
      <c r="V4" s="679"/>
      <c r="W4" s="679"/>
      <c r="X4" s="672"/>
      <c r="Y4" s="854" t="s">
        <v>1506</v>
      </c>
      <c r="Z4" s="824"/>
      <c r="AA4" s="824"/>
      <c r="AB4" s="824"/>
      <c r="AC4" s="824"/>
      <c r="AD4" s="824"/>
      <c r="AE4" s="846"/>
      <c r="AF4" s="391"/>
      <c r="AG4" s="323"/>
    </row>
    <row r="5" spans="1:33" ht="21.9" customHeight="1" x14ac:dyDescent="0.3">
      <c r="B5" s="962" t="s">
        <v>681</v>
      </c>
      <c r="C5" s="982"/>
      <c r="D5" s="982"/>
      <c r="E5" s="982"/>
      <c r="F5" s="672"/>
      <c r="G5" s="672"/>
      <c r="H5" s="10" t="s">
        <v>740</v>
      </c>
      <c r="I5" s="861">
        <v>6325020</v>
      </c>
      <c r="J5" s="862"/>
      <c r="K5" s="862"/>
      <c r="L5" s="862"/>
      <c r="M5" s="39" t="s">
        <v>739</v>
      </c>
      <c r="N5" s="861">
        <v>1290200</v>
      </c>
      <c r="O5" s="862"/>
      <c r="P5" s="862"/>
      <c r="Q5" s="314"/>
      <c r="R5" s="583"/>
      <c r="S5" s="969"/>
      <c r="T5" s="970"/>
      <c r="U5" s="869" t="s">
        <v>680</v>
      </c>
      <c r="V5" s="674"/>
      <c r="W5" s="674"/>
      <c r="X5" s="863" t="s">
        <v>1427</v>
      </c>
      <c r="Y5" s="864"/>
      <c r="Z5" s="864"/>
      <c r="AA5" s="864"/>
      <c r="AB5" s="862"/>
      <c r="AC5" s="862"/>
      <c r="AD5" s="862"/>
      <c r="AE5" s="865"/>
      <c r="AF5" s="387"/>
      <c r="AG5" s="208"/>
    </row>
    <row r="6" spans="1:33" ht="21.9" customHeight="1" x14ac:dyDescent="0.3">
      <c r="B6" s="806" t="s">
        <v>682</v>
      </c>
      <c r="C6" s="674"/>
      <c r="D6" s="674"/>
      <c r="E6" s="674"/>
      <c r="F6" s="674"/>
      <c r="G6" s="655"/>
      <c r="H6" s="40" t="s">
        <v>740</v>
      </c>
      <c r="I6" s="983">
        <v>6325882</v>
      </c>
      <c r="J6" s="824"/>
      <c r="K6" s="824"/>
      <c r="L6" s="824"/>
      <c r="M6" s="41" t="s">
        <v>739</v>
      </c>
      <c r="N6" s="659">
        <v>1294786</v>
      </c>
      <c r="O6" s="824"/>
      <c r="P6" s="824"/>
      <c r="Q6" s="971" t="s">
        <v>2522</v>
      </c>
      <c r="R6" s="972"/>
      <c r="S6" s="967" t="s">
        <v>81</v>
      </c>
      <c r="T6" s="968"/>
      <c r="U6" s="807" t="s">
        <v>530</v>
      </c>
      <c r="V6" s="679"/>
      <c r="W6" s="672"/>
      <c r="X6" s="816"/>
      <c r="Y6" s="816"/>
      <c r="Z6" s="816"/>
      <c r="AA6" s="816"/>
      <c r="AB6" s="225"/>
      <c r="AC6" s="225"/>
      <c r="AD6" s="225"/>
      <c r="AE6" s="226"/>
      <c r="AF6" s="387"/>
      <c r="AG6" s="352"/>
    </row>
    <row r="7" spans="1:33" ht="21.9" customHeight="1" thickBot="1" x14ac:dyDescent="0.35">
      <c r="B7" s="717" t="s">
        <v>684</v>
      </c>
      <c r="C7" s="771"/>
      <c r="D7" s="771"/>
      <c r="E7" s="771"/>
      <c r="F7" s="825" t="s">
        <v>2526</v>
      </c>
      <c r="G7" s="825"/>
      <c r="H7" s="825"/>
      <c r="I7" s="825"/>
      <c r="J7" s="825"/>
      <c r="K7" s="825"/>
      <c r="L7" s="825"/>
      <c r="M7" s="825"/>
      <c r="N7" s="825"/>
      <c r="O7" s="825"/>
      <c r="P7" s="825"/>
      <c r="Q7" s="826"/>
      <c r="R7" s="42" t="s">
        <v>531</v>
      </c>
      <c r="S7" s="829"/>
      <c r="T7" s="830"/>
      <c r="U7" s="834" t="s">
        <v>683</v>
      </c>
      <c r="V7" s="689"/>
      <c r="W7" s="689"/>
      <c r="X7" s="689"/>
      <c r="Y7" s="791"/>
      <c r="Z7" s="791"/>
      <c r="AA7" s="791"/>
      <c r="AB7" s="227"/>
      <c r="AC7" s="227"/>
      <c r="AD7" s="227"/>
      <c r="AE7" s="228"/>
      <c r="AF7" s="387"/>
      <c r="AG7" s="205"/>
    </row>
    <row r="8" spans="1:33" ht="9.75" customHeight="1" thickTop="1" x14ac:dyDescent="0.25">
      <c r="A8" s="11"/>
      <c r="B8" s="11"/>
      <c r="C8" s="11"/>
      <c r="D8" s="26"/>
      <c r="E8" s="26"/>
      <c r="F8" s="26"/>
      <c r="G8" s="26"/>
      <c r="H8" s="26"/>
      <c r="I8" s="26"/>
      <c r="J8" s="26"/>
      <c r="K8" s="26"/>
      <c r="L8" s="26"/>
      <c r="M8" s="26"/>
      <c r="N8" s="26"/>
      <c r="O8" s="26"/>
      <c r="P8" s="26"/>
      <c r="Q8" s="26"/>
      <c r="R8" s="26"/>
      <c r="S8" s="26"/>
      <c r="T8" s="26"/>
      <c r="U8" s="11"/>
      <c r="V8" s="11"/>
      <c r="W8" s="11"/>
      <c r="X8" s="11"/>
      <c r="Y8" s="11"/>
      <c r="Z8" s="11"/>
      <c r="AA8" s="11"/>
      <c r="AB8" s="11"/>
      <c r="AC8" s="11"/>
      <c r="AD8" s="11"/>
      <c r="AE8" s="11"/>
      <c r="AG8" s="8"/>
    </row>
    <row r="9" spans="1:33" ht="19.5" customHeight="1" x14ac:dyDescent="0.3">
      <c r="A9" s="11"/>
      <c r="B9" s="838" t="s">
        <v>687</v>
      </c>
      <c r="C9" s="653"/>
      <c r="D9" s="653"/>
      <c r="E9" s="653"/>
      <c r="F9" s="653"/>
      <c r="G9" s="653"/>
      <c r="H9" s="839" t="s">
        <v>2372</v>
      </c>
      <c r="I9" s="840"/>
      <c r="J9" s="840"/>
      <c r="K9" s="840"/>
      <c r="L9" s="840"/>
      <c r="M9" s="840"/>
      <c r="N9" s="840"/>
      <c r="O9" s="840"/>
      <c r="P9" s="840"/>
      <c r="Q9" s="840"/>
      <c r="R9" s="840"/>
      <c r="S9" s="840"/>
      <c r="T9" s="840"/>
      <c r="U9" s="652" t="s">
        <v>685</v>
      </c>
      <c r="V9" s="833"/>
      <c r="W9" s="653"/>
      <c r="X9" s="916" t="s">
        <v>2527</v>
      </c>
      <c r="Y9" s="917"/>
      <c r="Z9" s="917"/>
      <c r="AA9" s="917"/>
      <c r="AB9" s="918"/>
      <c r="AC9" s="229"/>
      <c r="AD9" s="229"/>
      <c r="AE9" s="229"/>
      <c r="AG9" s="8"/>
    </row>
    <row r="10" spans="1:33" ht="20.100000000000001" customHeight="1" x14ac:dyDescent="0.3">
      <c r="A10" s="11"/>
      <c r="B10" s="652" t="s">
        <v>686</v>
      </c>
      <c r="C10" s="653"/>
      <c r="D10" s="653"/>
      <c r="E10" s="653"/>
      <c r="F10" s="653"/>
      <c r="G10" s="653"/>
      <c r="H10" s="653"/>
      <c r="I10" s="653"/>
      <c r="J10" s="653"/>
      <c r="K10" s="854" t="s">
        <v>2528</v>
      </c>
      <c r="L10" s="855"/>
      <c r="M10" s="855"/>
      <c r="N10" s="855"/>
      <c r="O10" s="855"/>
      <c r="P10" s="855"/>
      <c r="Q10" s="855"/>
      <c r="R10" s="855"/>
      <c r="S10" s="855"/>
      <c r="T10" s="855"/>
      <c r="U10" s="652" t="s">
        <v>1522</v>
      </c>
      <c r="V10" s="833"/>
      <c r="W10" s="653"/>
      <c r="X10" s="850" t="s">
        <v>2529</v>
      </c>
      <c r="Y10" s="851"/>
      <c r="Z10" s="851"/>
      <c r="AA10" s="851"/>
      <c r="AB10" s="851"/>
      <c r="AC10" s="851"/>
      <c r="AD10" s="851"/>
      <c r="AE10" s="851"/>
      <c r="AF10" s="385"/>
      <c r="AG10" s="8"/>
    </row>
    <row r="11" spans="1:33" ht="20.100000000000001" customHeight="1" x14ac:dyDescent="0.3">
      <c r="A11" s="11"/>
      <c r="B11" s="654" t="s">
        <v>688</v>
      </c>
      <c r="C11" s="655"/>
      <c r="D11" s="655"/>
      <c r="E11" s="655"/>
      <c r="F11" s="655"/>
      <c r="G11" s="655"/>
      <c r="H11" s="831" t="s">
        <v>2530</v>
      </c>
      <c r="I11" s="832"/>
      <c r="J11" s="832"/>
      <c r="K11" s="832"/>
      <c r="L11" s="832"/>
      <c r="M11" s="832"/>
      <c r="N11" s="832"/>
      <c r="O11" s="832"/>
      <c r="P11" s="832"/>
      <c r="Q11" s="832"/>
      <c r="R11" s="832"/>
      <c r="S11" s="832"/>
      <c r="T11" s="832"/>
      <c r="U11" s="832"/>
      <c r="V11" s="832"/>
      <c r="W11" s="832"/>
      <c r="X11" s="832"/>
      <c r="Y11" s="832"/>
      <c r="Z11" s="832"/>
      <c r="AA11" s="832"/>
      <c r="AB11" s="832"/>
      <c r="AC11" s="832"/>
      <c r="AD11" s="832"/>
      <c r="AE11" s="832"/>
      <c r="AF11" s="385"/>
      <c r="AG11" s="8"/>
    </row>
    <row r="12" spans="1:33" ht="9.75" customHeight="1" x14ac:dyDescent="0.3">
      <c r="A12" s="11"/>
      <c r="B12" s="12"/>
      <c r="C12" s="13"/>
      <c r="D12" s="13"/>
      <c r="E12" s="13"/>
      <c r="F12" s="13"/>
      <c r="G12" s="13"/>
      <c r="H12" s="13"/>
      <c r="I12" s="13"/>
      <c r="J12" s="13"/>
      <c r="K12" s="13"/>
      <c r="L12" s="13"/>
      <c r="M12" s="13"/>
      <c r="N12" s="13"/>
      <c r="O12" s="13"/>
      <c r="P12" s="13"/>
      <c r="Q12" s="13"/>
      <c r="R12" s="13"/>
      <c r="S12" s="13"/>
      <c r="T12" s="13"/>
      <c r="U12" s="112"/>
      <c r="V12" s="112"/>
      <c r="X12" s="154" t="str">
        <f>IF(AND(P13&lt;&gt;"",T13&lt;&gt;""),"Ange endast ett av alternativen ovan","")</f>
        <v/>
      </c>
      <c r="Y12" s="44"/>
      <c r="AA12" s="43"/>
      <c r="AB12" s="11"/>
      <c r="AC12" s="44"/>
      <c r="AD12" s="130"/>
      <c r="AE12" s="44"/>
      <c r="AF12" s="386"/>
      <c r="AG12" s="8"/>
    </row>
    <row r="13" spans="1:33" ht="21.75" customHeight="1" x14ac:dyDescent="0.3">
      <c r="A13" s="11"/>
      <c r="B13" s="986" t="s">
        <v>752</v>
      </c>
      <c r="C13" s="833"/>
      <c r="D13" s="833"/>
      <c r="E13" s="833"/>
      <c r="F13" s="833"/>
      <c r="G13" s="653"/>
      <c r="H13" s="984">
        <v>1</v>
      </c>
      <c r="I13" s="985"/>
      <c r="J13" s="838" t="s">
        <v>689</v>
      </c>
      <c r="K13" s="653"/>
      <c r="L13" s="653"/>
      <c r="M13" s="43" t="s">
        <v>690</v>
      </c>
      <c r="N13" s="44"/>
      <c r="P13" s="622"/>
      <c r="Q13" s="43" t="s">
        <v>691</v>
      </c>
      <c r="R13" s="11"/>
      <c r="S13" s="44"/>
      <c r="T13" s="317" t="s">
        <v>2327</v>
      </c>
      <c r="AG13" s="8"/>
    </row>
    <row r="14" spans="1:33" ht="21.75" customHeight="1" x14ac:dyDescent="0.3">
      <c r="A14" s="11"/>
      <c r="B14" s="16" t="s">
        <v>910</v>
      </c>
      <c r="C14" s="16"/>
      <c r="D14" s="11"/>
      <c r="E14" s="11"/>
      <c r="F14" s="11"/>
      <c r="G14" s="11"/>
      <c r="H14" s="11"/>
      <c r="I14" s="11"/>
      <c r="J14" s="11"/>
      <c r="K14" s="11"/>
      <c r="L14" s="11"/>
      <c r="M14" s="11"/>
      <c r="N14" s="11"/>
      <c r="O14" s="11"/>
      <c r="P14" s="11"/>
      <c r="Q14" s="841" t="s">
        <v>81</v>
      </c>
      <c r="R14" s="701"/>
      <c r="S14" s="249"/>
      <c r="T14" s="138"/>
      <c r="U14" s="138"/>
      <c r="V14" s="852" t="s">
        <v>533</v>
      </c>
      <c r="W14" s="853"/>
      <c r="X14" s="853"/>
      <c r="Y14" s="853"/>
      <c r="Z14" s="853"/>
      <c r="AA14" s="853"/>
      <c r="AB14" s="775" t="s">
        <v>82</v>
      </c>
      <c r="AC14" s="775"/>
      <c r="AD14" s="775"/>
      <c r="AE14" s="111"/>
      <c r="AG14" s="8"/>
    </row>
    <row r="15" spans="1:33" ht="9.75" customHeight="1" thickBot="1" x14ac:dyDescent="0.3">
      <c r="A15" s="11"/>
      <c r="B15" s="16"/>
      <c r="C15" s="16"/>
      <c r="D15" s="26"/>
      <c r="E15" s="26"/>
      <c r="F15" s="26"/>
      <c r="G15" s="26"/>
      <c r="H15" s="26"/>
      <c r="I15" s="26"/>
      <c r="J15" s="26"/>
      <c r="K15" s="26"/>
      <c r="L15" s="26"/>
      <c r="M15" s="26"/>
      <c r="N15" s="26"/>
      <c r="O15" s="26"/>
      <c r="P15" s="26"/>
      <c r="Q15" s="26"/>
      <c r="R15" s="26"/>
      <c r="S15" s="26"/>
      <c r="T15" s="26"/>
      <c r="U15" s="11"/>
      <c r="V15" s="11"/>
      <c r="W15" s="11"/>
      <c r="X15" s="11"/>
      <c r="Y15" s="11"/>
      <c r="Z15" s="11"/>
      <c r="AA15" s="11"/>
      <c r="AB15" s="11"/>
      <c r="AC15" s="11"/>
      <c r="AD15" s="11"/>
      <c r="AE15" s="11"/>
    </row>
    <row r="16" spans="1:33" ht="21.9" customHeight="1" thickTop="1" x14ac:dyDescent="0.3">
      <c r="B16" s="765" t="s">
        <v>741</v>
      </c>
      <c r="C16" s="842"/>
      <c r="D16" s="842"/>
      <c r="E16" s="842"/>
      <c r="F16" s="670"/>
      <c r="G16" s="843" t="s">
        <v>2339</v>
      </c>
      <c r="H16" s="844"/>
      <c r="I16" s="844"/>
      <c r="J16" s="844"/>
      <c r="K16" s="845"/>
      <c r="L16" s="120" t="s">
        <v>743</v>
      </c>
      <c r="M16" s="122"/>
      <c r="N16" s="122"/>
      <c r="O16" s="122"/>
      <c r="P16" s="122"/>
      <c r="Q16" s="46"/>
      <c r="R16" s="122"/>
      <c r="S16" s="122"/>
      <c r="T16" s="122"/>
      <c r="U16" s="122"/>
      <c r="V16" s="122"/>
      <c r="W16" s="122"/>
      <c r="X16" s="122"/>
      <c r="Y16" s="122"/>
      <c r="Z16" s="624" t="s">
        <v>2327</v>
      </c>
      <c r="AA16" s="123" t="s">
        <v>742</v>
      </c>
      <c r="AB16" s="124"/>
      <c r="AC16" s="124"/>
      <c r="AD16" s="336"/>
      <c r="AE16" s="125"/>
    </row>
    <row r="17" spans="1:33" ht="21.9" customHeight="1" x14ac:dyDescent="0.3">
      <c r="B17" s="806" t="s">
        <v>693</v>
      </c>
      <c r="C17" s="674"/>
      <c r="D17" s="674"/>
      <c r="E17" s="674"/>
      <c r="F17" s="655"/>
      <c r="G17" s="39"/>
      <c r="H17" s="659">
        <v>400</v>
      </c>
      <c r="I17" s="847"/>
      <c r="J17" s="835" t="str">
        <f>IF(H17="",IF(OR(H13&lt;&gt;"",X9&lt;&gt;""),IF(OR(H19&lt;&gt;"",H20&lt;&gt;"",H22&lt;&gt;"",R18&lt;&gt;""),"","Om tran-sektmät-"),""),"")</f>
        <v/>
      </c>
      <c r="K17" s="836"/>
      <c r="L17" s="807" t="s">
        <v>692</v>
      </c>
      <c r="M17" s="679"/>
      <c r="N17" s="679"/>
      <c r="O17" s="679"/>
      <c r="P17" s="679"/>
      <c r="Q17" s="672"/>
      <c r="R17" s="841">
        <v>1.2</v>
      </c>
      <c r="S17" s="841"/>
      <c r="T17" s="848"/>
      <c r="U17" s="807" t="s">
        <v>532</v>
      </c>
      <c r="V17" s="672"/>
      <c r="W17" s="672"/>
      <c r="X17" s="672"/>
      <c r="Y17" s="672"/>
      <c r="Z17" s="659"/>
      <c r="AA17" s="824"/>
      <c r="AB17" s="824"/>
      <c r="AC17" s="824"/>
      <c r="AD17" s="824"/>
      <c r="AE17" s="846"/>
      <c r="AF17" s="387"/>
      <c r="AG17" s="352"/>
    </row>
    <row r="18" spans="1:33" ht="20.25" customHeight="1" x14ac:dyDescent="0.3">
      <c r="B18" s="745" t="s">
        <v>905</v>
      </c>
      <c r="C18" s="672"/>
      <c r="D18" s="672"/>
      <c r="E18" s="672"/>
      <c r="F18" s="672"/>
      <c r="G18" s="672"/>
      <c r="H18" s="849">
        <v>4</v>
      </c>
      <c r="I18" s="824"/>
      <c r="J18" s="835" t="str">
        <f>IF(H18="",IF(OR(H13&lt;&gt;"",X9&lt;&gt;""),IF(OR(H19&lt;&gt;"",H20&lt;&gt;"",H22&lt;&gt;"",R18&lt;&gt;""),"","ning av lokalen"),""),"")</f>
        <v/>
      </c>
      <c r="K18" s="836"/>
      <c r="L18" s="837" t="s">
        <v>695</v>
      </c>
      <c r="M18" s="672"/>
      <c r="N18" s="672"/>
      <c r="O18" s="672"/>
      <c r="P18" s="672"/>
      <c r="Q18" s="672"/>
      <c r="R18" s="849">
        <f>IF(Q14="Ja",H18,IF(AND(Prot.Avfisk.h.bredd="Nej",Lokalbeskrivn!C34&lt;&gt;""),Lokalbeskrivn!C34,""))</f>
        <v>4</v>
      </c>
      <c r="S18" s="824"/>
      <c r="T18" s="824"/>
      <c r="U18" s="225"/>
      <c r="V18" s="242"/>
      <c r="W18" s="82"/>
      <c r="X18" s="153"/>
      <c r="Y18" s="153"/>
      <c r="Z18" s="153"/>
      <c r="AA18" s="153"/>
      <c r="AB18" s="153"/>
      <c r="AC18" s="11"/>
      <c r="AD18" s="126"/>
      <c r="AE18" s="127"/>
      <c r="AG18" s="208"/>
    </row>
    <row r="19" spans="1:33" ht="20.25" customHeight="1" x14ac:dyDescent="0.3">
      <c r="B19" s="671" t="s">
        <v>694</v>
      </c>
      <c r="C19" s="672"/>
      <c r="D19" s="672"/>
      <c r="E19" s="672"/>
      <c r="F19" s="672"/>
      <c r="G19" s="672"/>
      <c r="H19" s="983">
        <v>25</v>
      </c>
      <c r="I19" s="824"/>
      <c r="J19" s="835" t="str">
        <f>IF(H19="",IF(OR(H13&lt;&gt;"",X9&lt;&gt;""),IF(OR(H18&lt;&gt;"",H20&lt;&gt;"",H22&lt;&gt;"",R18),"","genom-förts"),""),"")</f>
        <v/>
      </c>
      <c r="K19" s="836"/>
      <c r="L19" s="987" t="s">
        <v>843</v>
      </c>
      <c r="M19" s="988"/>
      <c r="N19" s="988"/>
      <c r="O19" s="988"/>
      <c r="P19" s="988"/>
      <c r="Q19" s="988"/>
      <c r="R19" s="988"/>
      <c r="S19" s="988"/>
      <c r="T19" s="963" t="str">
        <f>IF(Lokalbeskrivn!J8&lt;&gt;"",Lokalbeskrivn!J8,"")</f>
        <v/>
      </c>
      <c r="U19" s="964"/>
      <c r="V19" s="964"/>
      <c r="W19" s="82"/>
      <c r="X19" s="682" t="s">
        <v>842</v>
      </c>
      <c r="Y19" s="683"/>
      <c r="Z19" s="683"/>
      <c r="AA19" s="683"/>
      <c r="AB19" s="683"/>
      <c r="AC19" s="954">
        <f>IF(H19&lt;&gt;"",IF(R18&lt;&gt;"",IF(AND(T19&lt;&gt;"",T19&gt;=5),R18*H19*(1-T19/100),R18*H19),IF(AND(Q14="Ja",H18&lt;&gt;""),IF(AND(T19&lt;&gt;"",T19&gt;=5),H19*H18*(1-T19/100),H18*H19),"")),"")</f>
        <v>100</v>
      </c>
      <c r="AD19" s="955"/>
      <c r="AE19" s="956"/>
      <c r="AF19" s="391"/>
      <c r="AG19" s="208"/>
    </row>
    <row r="20" spans="1:33" ht="11.25" customHeight="1" x14ac:dyDescent="0.25">
      <c r="B20" s="656" t="s">
        <v>909</v>
      </c>
      <c r="C20" s="657"/>
      <c r="D20" s="657"/>
      <c r="E20" s="657"/>
      <c r="F20" s="657"/>
      <c r="G20" s="657"/>
      <c r="H20" s="699">
        <v>0.5</v>
      </c>
      <c r="I20" s="700"/>
      <c r="J20" s="702" t="str">
        <f>IF(H20="",IF(OR(H13&lt;&gt;"",X9&lt;&gt;""),IF(OR(H18&lt;&gt;"",H19&lt;&gt;"",H22&lt;&gt;"",R18&lt;&gt;""),"","fyll i blad:"),""),"")</f>
        <v/>
      </c>
      <c r="K20" s="703"/>
      <c r="L20" s="661" t="s">
        <v>53</v>
      </c>
      <c r="M20" s="676"/>
      <c r="N20" s="676"/>
      <c r="O20" s="676"/>
      <c r="P20" s="676"/>
      <c r="Q20" s="676"/>
      <c r="R20" s="957"/>
      <c r="S20" s="957"/>
      <c r="T20" s="244"/>
      <c r="U20" s="245"/>
      <c r="V20" s="245"/>
      <c r="W20" s="246"/>
      <c r="X20" s="661" t="s">
        <v>54</v>
      </c>
      <c r="Y20" s="657"/>
      <c r="Z20" s="657"/>
      <c r="AA20" s="657"/>
      <c r="AB20" s="657"/>
      <c r="AC20" s="657"/>
      <c r="AD20" s="706"/>
      <c r="AE20" s="707"/>
    </row>
    <row r="21" spans="1:33" s="11" customFormat="1" ht="11.25" customHeight="1" x14ac:dyDescent="0.25">
      <c r="B21" s="658"/>
      <c r="C21" s="655"/>
      <c r="D21" s="655"/>
      <c r="E21" s="655"/>
      <c r="F21" s="655"/>
      <c r="G21" s="655"/>
      <c r="H21" s="701"/>
      <c r="I21" s="701"/>
      <c r="J21" s="704"/>
      <c r="K21" s="705"/>
      <c r="L21" s="662"/>
      <c r="M21" s="655"/>
      <c r="N21" s="655"/>
      <c r="O21" s="655"/>
      <c r="P21" s="655"/>
      <c r="Q21" s="655"/>
      <c r="R21" s="958"/>
      <c r="S21" s="958"/>
      <c r="T21" s="247"/>
      <c r="U21" s="247"/>
      <c r="V21" s="247"/>
      <c r="W21" s="248"/>
      <c r="X21" s="662"/>
      <c r="Y21" s="655"/>
      <c r="Z21" s="655"/>
      <c r="AA21" s="655"/>
      <c r="AB21" s="655"/>
      <c r="AC21" s="655"/>
      <c r="AD21" s="708"/>
      <c r="AE21" s="709"/>
      <c r="AF21" s="8"/>
      <c r="AG21" s="213"/>
    </row>
    <row r="22" spans="1:33" s="11" customFormat="1" ht="11.25" customHeight="1" x14ac:dyDescent="0.25">
      <c r="B22" s="656" t="s">
        <v>908</v>
      </c>
      <c r="C22" s="657"/>
      <c r="D22" s="657"/>
      <c r="E22" s="657"/>
      <c r="F22" s="657"/>
      <c r="G22" s="657"/>
      <c r="H22" s="699">
        <v>0.4</v>
      </c>
      <c r="I22" s="700"/>
      <c r="J22" s="702" t="str">
        <f>IF(H22="",IF(OR(H13&lt;&gt;"",X9&lt;&gt;""),IF(OR(H18&lt;&gt;"",H19&lt;&gt;"",H20&lt;&gt;"",R18&lt;&gt;""),"","LOKAL-BESK-"),""),"")</f>
        <v/>
      </c>
      <c r="K22" s="703"/>
      <c r="L22" s="95"/>
      <c r="M22" s="83"/>
      <c r="N22" s="83"/>
      <c r="O22" s="83"/>
      <c r="P22" s="83"/>
      <c r="Q22" s="83"/>
      <c r="R22" s="83"/>
      <c r="S22" s="668" t="s">
        <v>745</v>
      </c>
      <c r="T22" s="657"/>
      <c r="U22" s="34"/>
      <c r="V22" s="38"/>
      <c r="W22" s="712" t="s">
        <v>746</v>
      </c>
      <c r="X22" s="713"/>
      <c r="Y22" s="660" t="s">
        <v>747</v>
      </c>
      <c r="Z22" s="655"/>
      <c r="AA22" s="655"/>
      <c r="AB22" s="655"/>
      <c r="AC22" s="655"/>
      <c r="AD22" s="96"/>
      <c r="AE22" s="97"/>
      <c r="AF22" s="8"/>
      <c r="AG22" s="8"/>
    </row>
    <row r="23" spans="1:33" ht="11.25" customHeight="1" x14ac:dyDescent="0.25">
      <c r="B23" s="658"/>
      <c r="C23" s="655"/>
      <c r="D23" s="655"/>
      <c r="E23" s="655"/>
      <c r="F23" s="655"/>
      <c r="G23" s="655"/>
      <c r="H23" s="701"/>
      <c r="I23" s="701"/>
      <c r="J23" s="704"/>
      <c r="K23" s="705"/>
      <c r="L23" s="675" t="s">
        <v>748</v>
      </c>
      <c r="M23" s="676"/>
      <c r="N23" s="676"/>
      <c r="O23" s="676"/>
      <c r="P23" s="676"/>
      <c r="Q23" s="676"/>
      <c r="R23" s="724"/>
      <c r="S23" s="663" t="s">
        <v>2327</v>
      </c>
      <c r="T23" s="753"/>
      <c r="U23" s="716"/>
      <c r="V23" s="697"/>
      <c r="W23" s="663"/>
      <c r="X23" s="664"/>
      <c r="Y23" s="697"/>
      <c r="Z23" s="663"/>
      <c r="AA23" s="695"/>
      <c r="AB23" s="664"/>
      <c r="AC23" s="667"/>
      <c r="AD23" s="694"/>
      <c r="AE23" s="692"/>
    </row>
    <row r="24" spans="1:33" ht="11.25" customHeight="1" x14ac:dyDescent="0.25">
      <c r="B24" s="656" t="s">
        <v>907</v>
      </c>
      <c r="C24" s="657"/>
      <c r="D24" s="657"/>
      <c r="E24" s="657"/>
      <c r="F24" s="657"/>
      <c r="G24" s="657"/>
      <c r="H24" s="959">
        <v>22</v>
      </c>
      <c r="I24" s="700"/>
      <c r="J24" s="702" t="str">
        <f>IF(H24="",IF(OR(H13&lt;&gt;"",X9&lt;&gt;""),IF(OR(H18&lt;&gt;"",H19&lt;&gt;"",H20&lt;&gt;"",H22&lt;&gt;"",R18&lt;&gt;""),"","RIVN före"),""),"")</f>
        <v/>
      </c>
      <c r="K24" s="703"/>
      <c r="L24" s="662"/>
      <c r="M24" s="655"/>
      <c r="N24" s="655"/>
      <c r="O24" s="655"/>
      <c r="P24" s="655"/>
      <c r="Q24" s="655"/>
      <c r="R24" s="725"/>
      <c r="S24" s="665"/>
      <c r="T24" s="993"/>
      <c r="U24" s="698"/>
      <c r="V24" s="698"/>
      <c r="W24" s="665"/>
      <c r="X24" s="666"/>
      <c r="Y24" s="698"/>
      <c r="Z24" s="665"/>
      <c r="AA24" s="696"/>
      <c r="AB24" s="666"/>
      <c r="AC24" s="662"/>
      <c r="AD24" s="655"/>
      <c r="AE24" s="693"/>
    </row>
    <row r="25" spans="1:33" ht="11.25" customHeight="1" x14ac:dyDescent="0.25">
      <c r="B25" s="658"/>
      <c r="C25" s="655"/>
      <c r="D25" s="655"/>
      <c r="E25" s="655"/>
      <c r="F25" s="655"/>
      <c r="G25" s="655"/>
      <c r="H25" s="701"/>
      <c r="I25" s="701"/>
      <c r="J25" s="704"/>
      <c r="K25" s="705"/>
      <c r="L25" s="98"/>
      <c r="M25" s="96"/>
      <c r="N25" s="11"/>
      <c r="O25" s="26"/>
      <c r="P25" s="26"/>
      <c r="Q25" s="26"/>
      <c r="R25" s="20"/>
      <c r="S25" s="686" t="s">
        <v>745</v>
      </c>
      <c r="T25" s="687"/>
      <c r="U25" s="673"/>
      <c r="V25" s="674"/>
      <c r="W25" s="712" t="s">
        <v>749</v>
      </c>
      <c r="X25" s="713"/>
      <c r="Y25" s="690" t="s">
        <v>841</v>
      </c>
      <c r="Z25" s="672"/>
      <c r="AA25" s="672"/>
      <c r="AB25" s="672"/>
      <c r="AC25" s="672"/>
      <c r="AD25" s="48"/>
      <c r="AE25" s="49"/>
    </row>
    <row r="26" spans="1:33" ht="21.75" customHeight="1" thickBot="1" x14ac:dyDescent="0.35">
      <c r="B26" s="717" t="s">
        <v>744</v>
      </c>
      <c r="C26" s="718"/>
      <c r="D26" s="718"/>
      <c r="E26" s="718"/>
      <c r="F26" s="718"/>
      <c r="G26" s="718"/>
      <c r="H26" s="960">
        <v>14</v>
      </c>
      <c r="I26" s="961"/>
      <c r="J26" s="677" t="str">
        <f>IF(H26="",IF(OR(H13&lt;&gt;"",X9&lt;&gt;""),IF(H18="","fält till vänster",""),""),"")</f>
        <v/>
      </c>
      <c r="K26" s="678"/>
      <c r="L26" s="688" t="s">
        <v>750</v>
      </c>
      <c r="M26" s="689"/>
      <c r="N26" s="689"/>
      <c r="O26" s="689"/>
      <c r="P26" s="689"/>
      <c r="Q26" s="689"/>
      <c r="R26" s="148"/>
      <c r="S26" s="680" t="s">
        <v>2327</v>
      </c>
      <c r="T26" s="681"/>
      <c r="U26" s="714"/>
      <c r="V26" s="715"/>
      <c r="W26" s="680"/>
      <c r="X26" s="691"/>
      <c r="Y26" s="109"/>
      <c r="Z26" s="680"/>
      <c r="AA26" s="684"/>
      <c r="AB26" s="685"/>
      <c r="AC26" s="233"/>
      <c r="AD26" s="234"/>
      <c r="AE26" s="235"/>
      <c r="AG26" s="8"/>
    </row>
    <row r="27" spans="1:33" ht="9.75" customHeight="1" thickTop="1" thickBot="1" x14ac:dyDescent="0.3">
      <c r="A27" s="11"/>
      <c r="B27" s="51"/>
      <c r="C27" s="51"/>
      <c r="D27" s="26"/>
      <c r="E27" s="26"/>
      <c r="F27" s="26"/>
      <c r="G27" s="26"/>
      <c r="H27" s="26"/>
      <c r="I27" s="26"/>
      <c r="J27" s="26"/>
      <c r="K27" s="26"/>
      <c r="L27" s="26"/>
      <c r="M27" s="26"/>
      <c r="N27" s="51"/>
      <c r="O27" s="26"/>
      <c r="P27" s="26"/>
      <c r="Q27" s="26"/>
      <c r="R27" s="26"/>
      <c r="S27" s="26"/>
      <c r="T27" s="26"/>
      <c r="U27" s="26"/>
      <c r="V27" s="26"/>
      <c r="W27" s="26"/>
      <c r="X27" s="26"/>
      <c r="Y27" s="26"/>
      <c r="Z27" s="26"/>
      <c r="AA27" s="26"/>
      <c r="AB27" s="26"/>
      <c r="AC27" s="26"/>
      <c r="AD27" s="26"/>
      <c r="AE27" s="26"/>
      <c r="AG27" s="8"/>
    </row>
    <row r="28" spans="1:33" ht="21.9" customHeight="1" thickTop="1" x14ac:dyDescent="0.3">
      <c r="B28" s="765" t="s">
        <v>755</v>
      </c>
      <c r="C28" s="842"/>
      <c r="D28" s="842"/>
      <c r="E28" s="842"/>
      <c r="F28" s="842"/>
      <c r="G28" s="670"/>
      <c r="H28" s="670"/>
      <c r="I28" s="53" t="s">
        <v>46</v>
      </c>
      <c r="J28" s="122"/>
      <c r="K28" s="794" t="s">
        <v>2327</v>
      </c>
      <c r="L28" s="820"/>
      <c r="M28" s="669" t="s">
        <v>44</v>
      </c>
      <c r="N28" s="670"/>
      <c r="O28" s="670"/>
      <c r="P28" s="794"/>
      <c r="Q28" s="820"/>
      <c r="R28" s="669" t="s">
        <v>48</v>
      </c>
      <c r="S28" s="670"/>
      <c r="T28" s="670"/>
      <c r="U28" s="670"/>
      <c r="V28" s="794"/>
      <c r="W28" s="820"/>
      <c r="X28" s="53" t="s">
        <v>49</v>
      </c>
      <c r="Y28" s="53"/>
      <c r="Z28" s="53"/>
      <c r="AA28" s="55"/>
      <c r="AB28" s="794"/>
      <c r="AC28" s="794"/>
      <c r="AD28" s="886" t="s">
        <v>757</v>
      </c>
      <c r="AE28" s="887"/>
      <c r="AF28" s="391"/>
      <c r="AG28" s="354"/>
    </row>
    <row r="29" spans="1:33" ht="21.9" customHeight="1" x14ac:dyDescent="0.3">
      <c r="B29" s="671" t="s">
        <v>756</v>
      </c>
      <c r="C29" s="679"/>
      <c r="D29" s="679"/>
      <c r="E29" s="679"/>
      <c r="F29" s="672"/>
      <c r="G29" s="672"/>
      <c r="H29" s="672"/>
      <c r="I29" s="29" t="s">
        <v>47</v>
      </c>
      <c r="J29" s="39"/>
      <c r="K29" s="659" t="s">
        <v>2327</v>
      </c>
      <c r="L29" s="819"/>
      <c r="M29" s="907" t="s">
        <v>45</v>
      </c>
      <c r="N29" s="672"/>
      <c r="O29" s="672"/>
      <c r="P29" s="659" t="str">
        <f>IF(AND(Lokalbeskrivn!C7&lt;&gt;"",LEFT(Lokalbeskrivn!C7,1)="M"),"X","")</f>
        <v/>
      </c>
      <c r="Q29" s="819"/>
      <c r="R29" s="39"/>
      <c r="S29" s="39"/>
      <c r="T29" s="39" t="s">
        <v>754</v>
      </c>
      <c r="U29" s="39"/>
      <c r="V29" s="659" t="str">
        <f>IF(AND(Lokalbeskrivn!C7&lt;&gt;"",LEFT(Lokalbeskrivn!C7,1)="H"),"X","")</f>
        <v/>
      </c>
      <c r="W29" s="819"/>
      <c r="X29" s="29" t="s">
        <v>50</v>
      </c>
      <c r="Y29" s="32"/>
      <c r="Z29" s="37"/>
      <c r="AA29" s="29"/>
      <c r="AB29" s="659"/>
      <c r="AC29" s="659"/>
      <c r="AD29" s="884" t="s">
        <v>758</v>
      </c>
      <c r="AE29" s="885"/>
      <c r="AF29" s="391"/>
      <c r="AG29" s="354"/>
    </row>
    <row r="30" spans="1:33" ht="21.9" customHeight="1" x14ac:dyDescent="0.3">
      <c r="B30" s="962" t="s">
        <v>759</v>
      </c>
      <c r="C30" s="679"/>
      <c r="D30" s="679"/>
      <c r="E30" s="679"/>
      <c r="F30" s="672"/>
      <c r="G30" s="672"/>
      <c r="H30" s="672"/>
      <c r="I30" s="149" t="s">
        <v>42</v>
      </c>
      <c r="J30" s="39"/>
      <c r="K30" s="710" t="s">
        <v>2327</v>
      </c>
      <c r="L30" s="973"/>
      <c r="M30" s="821" t="s">
        <v>43</v>
      </c>
      <c r="N30" s="672"/>
      <c r="O30" s="672"/>
      <c r="P30" s="710"/>
      <c r="Q30" s="711"/>
      <c r="R30" s="39"/>
      <c r="S30" s="39"/>
      <c r="T30" s="29" t="s">
        <v>696</v>
      </c>
      <c r="U30" s="39"/>
      <c r="V30" s="710"/>
      <c r="W30" s="711"/>
      <c r="X30" s="31"/>
      <c r="Y30" s="31"/>
      <c r="Z30" s="37"/>
      <c r="AA30" s="37"/>
      <c r="AB30" s="37"/>
      <c r="AC30" s="37"/>
      <c r="AD30" s="39"/>
      <c r="AE30" s="56"/>
      <c r="AF30" s="392"/>
      <c r="AG30" s="209"/>
    </row>
    <row r="31" spans="1:33" ht="21.9" customHeight="1" x14ac:dyDescent="0.25">
      <c r="B31" s="888" t="s">
        <v>940</v>
      </c>
      <c r="C31" s="889"/>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90"/>
      <c r="AD31" s="890"/>
      <c r="AE31" s="891"/>
      <c r="AF31" s="205"/>
    </row>
    <row r="32" spans="1:33" ht="21.9" customHeight="1" x14ac:dyDescent="0.3">
      <c r="B32" s="953" t="s">
        <v>939</v>
      </c>
      <c r="C32" s="874"/>
      <c r="D32" s="874"/>
      <c r="E32" s="877" t="s">
        <v>943</v>
      </c>
      <c r="F32" s="727"/>
      <c r="G32" s="376" t="s">
        <v>2531</v>
      </c>
      <c r="H32" s="726" t="s">
        <v>941</v>
      </c>
      <c r="I32" s="727"/>
      <c r="J32" s="376" t="s">
        <v>2532</v>
      </c>
      <c r="K32" s="726" t="s">
        <v>942</v>
      </c>
      <c r="L32" s="727"/>
      <c r="M32" s="376" t="str">
        <f>IF(Lokalbeskrivn!E42&lt;&gt;"",Lokalbeskrivn!E42,"")</f>
        <v/>
      </c>
      <c r="N32" s="726" t="s">
        <v>944</v>
      </c>
      <c r="O32" s="727"/>
      <c r="P32" s="376" t="str">
        <f>IF(Lokalbeskrivn!F42&lt;&gt;"",Lokalbeskrivn!F42,"")</f>
        <v/>
      </c>
      <c r="Q32" s="726" t="s">
        <v>945</v>
      </c>
      <c r="R32" s="727"/>
      <c r="S32" s="376" t="s">
        <v>2533</v>
      </c>
      <c r="T32" s="873" t="s">
        <v>946</v>
      </c>
      <c r="U32" s="727"/>
      <c r="V32" s="376" t="str">
        <f>IF(Lokalbeskrivn!I42&lt;&gt;"",Lokalbeskrivn!I42,"")</f>
        <v/>
      </c>
      <c r="W32" s="873" t="s">
        <v>947</v>
      </c>
      <c r="X32" s="874"/>
      <c r="Y32" s="376" t="str">
        <f>IF(Lokalbeskrivn!J42&lt;&gt;"",Lokalbeskrivn!J42,"")</f>
        <v/>
      </c>
      <c r="Z32" s="873" t="s">
        <v>948</v>
      </c>
      <c r="AA32" s="874"/>
      <c r="AB32" s="376" t="str">
        <f>IF(Lokalbeskrivn!L42&lt;&gt;"",Lokalbeskrivn!L42,"")</f>
        <v/>
      </c>
      <c r="AC32" s="877" t="s">
        <v>949</v>
      </c>
      <c r="AD32" s="727"/>
      <c r="AE32" s="376" t="str">
        <f>IF(Lokalbeskrivn!N42&lt;&gt;"",Lokalbeskrivn!N42,"")</f>
        <v/>
      </c>
      <c r="AF32" s="506" t="str">
        <f>IF(AND(ISNUMBER(HLOOKUP("D2",$G$32:$AE$33,2,FALSE)),ISNUMBER(HLOOKUP("D3",$G$32:$AE$33,2,FALSE))),IF(AND(HLOOKUP("D3",$G$32:$AE$33,2,FALSE)&gt;0,HLOOKUP("D2",$G$32:$AE$33,2,FALSE)&gt;0),IF(HLOOKUP("D3",$G$32:$AE$33,2,FALSE)&gt;HLOOKUP("D2",$G$32:$AE$33,2,FALSE),"&lt;= Rödmarkerade värden har angivits i felaktig kombination av",""),""),"")</f>
        <v/>
      </c>
    </row>
    <row r="33" spans="1:35" ht="21.9" customHeight="1" x14ac:dyDescent="0.3">
      <c r="B33" s="731" t="s">
        <v>697</v>
      </c>
      <c r="C33" s="732"/>
      <c r="D33" s="732"/>
      <c r="E33" s="980" t="s">
        <v>547</v>
      </c>
      <c r="F33" s="981"/>
      <c r="G33" s="376">
        <v>3</v>
      </c>
      <c r="H33" s="728" t="s">
        <v>534</v>
      </c>
      <c r="I33" s="730"/>
      <c r="J33" s="376">
        <v>2</v>
      </c>
      <c r="K33" s="730" t="s">
        <v>535</v>
      </c>
      <c r="L33" s="730"/>
      <c r="M33" s="376" t="str">
        <f>IF(Lokalbeskrivn!E43&lt;&gt;"",Lokalbeskrivn!E43,"")</f>
        <v/>
      </c>
      <c r="N33" s="728" t="s">
        <v>536</v>
      </c>
      <c r="O33" s="730"/>
      <c r="P33" s="376" t="str">
        <f>IF(Lokalbeskrivn!F43&lt;&gt;"",Lokalbeskrivn!F43,"")</f>
        <v/>
      </c>
      <c r="Q33" s="730" t="s">
        <v>537</v>
      </c>
      <c r="R33" s="730"/>
      <c r="S33" s="376">
        <v>1</v>
      </c>
      <c r="T33" s="728" t="s">
        <v>538</v>
      </c>
      <c r="U33" s="729"/>
      <c r="V33" s="376" t="str">
        <f>IF(Lokalbeskrivn!I43&lt;&gt;"",Lokalbeskrivn!I43,"")</f>
        <v/>
      </c>
      <c r="W33" s="728" t="s">
        <v>539</v>
      </c>
      <c r="X33" s="730"/>
      <c r="Y33" s="376" t="str">
        <f>IF(Lokalbeskrivn!J43&lt;&gt;"",Lokalbeskrivn!J43,"")</f>
        <v/>
      </c>
      <c r="Z33" s="728" t="s">
        <v>540</v>
      </c>
      <c r="AA33" s="872"/>
      <c r="AB33" s="376" t="str">
        <f>IF(Lokalbeskrivn!L43&lt;&gt;"",Lokalbeskrivn!L43,"")</f>
        <v/>
      </c>
      <c r="AC33" s="730" t="s">
        <v>541</v>
      </c>
      <c r="AD33" s="729"/>
      <c r="AE33" s="376" t="str">
        <f>IF(Lokalbeskrivn!N43&lt;&gt;"",Lokalbeskrivn!N43,"")</f>
        <v/>
      </c>
      <c r="AF33" s="506" t="str">
        <f>IF(AND(ISNUMBER(HLOOKUP("D2",$G$32:$AE$33,2,FALSE)),ISNUMBER(HLOOKUP("D3",$G$32:$AE$33,2,FALSE))),IF(AND(HLOOKUP("D3",$G$32:$AE$33,2,FALSE)&gt;0,HLOOKUP("D2",$G$32:$AE$33,2,FALSE)&gt;0),IF(HLOOKUP("D3",$G$32:$AE$33,2,FALSE)&gt;HLOOKUP("D2",$G$32:$AE$33,2,FALSE),"&lt;=       dominans (D2 &amp; D3) och motsvarande förekomstvärde ( 1 &amp; 2)",""),""),"")</f>
        <v/>
      </c>
    </row>
    <row r="34" spans="1:35" ht="21.9" customHeight="1" x14ac:dyDescent="0.3">
      <c r="B34" s="745" t="s">
        <v>51</v>
      </c>
      <c r="C34" s="746"/>
      <c r="D34" s="746"/>
      <c r="E34" s="746"/>
      <c r="F34" s="746"/>
      <c r="G34" s="747"/>
      <c r="H34" s="728" t="s">
        <v>698</v>
      </c>
      <c r="I34" s="729"/>
      <c r="J34" s="335"/>
      <c r="K34" s="728" t="s">
        <v>699</v>
      </c>
      <c r="L34" s="729"/>
      <c r="M34" s="335"/>
      <c r="N34" s="728" t="s">
        <v>700</v>
      </c>
      <c r="O34" s="729"/>
      <c r="P34" s="335" t="s">
        <v>2532</v>
      </c>
      <c r="Q34" s="728" t="s">
        <v>701</v>
      </c>
      <c r="R34" s="729"/>
      <c r="S34" s="335"/>
      <c r="T34" s="728" t="s">
        <v>702</v>
      </c>
      <c r="U34" s="729"/>
      <c r="V34" s="335"/>
      <c r="W34" s="728" t="s">
        <v>703</v>
      </c>
      <c r="X34" s="729"/>
      <c r="Y34" s="335" t="s">
        <v>2531</v>
      </c>
      <c r="Z34" s="236"/>
      <c r="AA34" s="237"/>
      <c r="AB34" s="237"/>
      <c r="AC34" s="237"/>
      <c r="AD34" s="237"/>
      <c r="AE34" s="238"/>
      <c r="AF34" s="506" t="str">
        <f>IF(AND(ISNUMBER(HLOOKUP("D2",$J$34:$Y$35,2,FALSE)),ISNUMBER(HLOOKUP("D3",$J$34:$Y$35,2,FALSE))),IF(AND(HLOOKUP("D3",$J$34:$Y$35,2,FALSE)&gt;0,HLOOKUP("D2",$J$34:$Y$35,2,FALSE)&gt;0),IF(HLOOKUP("D3",$J$34:$Y$35,2,FALSE)&gt;HLOOKUP("D2",$J$34:$Y$35,2,FALSE),"&lt;= Rödmarkerade värden har angivits i felaktig kombination av",""),""),"")</f>
        <v/>
      </c>
    </row>
    <row r="35" spans="1:35" ht="21.9" customHeight="1" thickBot="1" x14ac:dyDescent="0.35">
      <c r="B35" s="735" t="s">
        <v>906</v>
      </c>
      <c r="C35" s="736"/>
      <c r="D35" s="736"/>
      <c r="E35" s="736"/>
      <c r="F35" s="736"/>
      <c r="G35" s="737"/>
      <c r="H35" s="722" t="s">
        <v>698</v>
      </c>
      <c r="I35" s="723"/>
      <c r="J35" s="337"/>
      <c r="K35" s="722" t="s">
        <v>699</v>
      </c>
      <c r="L35" s="723"/>
      <c r="M35" s="337"/>
      <c r="N35" s="722" t="s">
        <v>700</v>
      </c>
      <c r="O35" s="723"/>
      <c r="P35" s="337">
        <v>2</v>
      </c>
      <c r="Q35" s="722" t="s">
        <v>701</v>
      </c>
      <c r="R35" s="723"/>
      <c r="S35" s="337"/>
      <c r="T35" s="722" t="s">
        <v>702</v>
      </c>
      <c r="U35" s="723"/>
      <c r="V35" s="337"/>
      <c r="W35" s="722" t="s">
        <v>703</v>
      </c>
      <c r="X35" s="723"/>
      <c r="Y35" s="337">
        <v>3</v>
      </c>
      <c r="Z35" s="239"/>
      <c r="AA35" s="240"/>
      <c r="AB35" s="240"/>
      <c r="AC35" s="240"/>
      <c r="AD35" s="240"/>
      <c r="AE35" s="241"/>
      <c r="AF35" s="506" t="str">
        <f>IF(AND(ISNUMBER(HLOOKUP("D2",$J$34:$Y$35,2,FALSE)),ISNUMBER(HLOOKUP("D3",$J$34:$Y$35,2,FALSE))),IF(AND(HLOOKUP("D3",$J$34:$Y$35,2,FALSE)&gt;0,HLOOKUP("D2",$J$34:$Y$35,2,FALSE)&gt;0),IF(HLOOKUP("D3",$J$34:$Y$35,2,FALSE)&gt;HLOOKUP("D2",$J$34:$Y$35,2,FALSE),"&lt;=       dominans (D2 &amp; D3) och motsvarande förekomstvärde ( 1 &amp; 2)",""),""),"")</f>
        <v/>
      </c>
      <c r="AG35" s="318"/>
    </row>
    <row r="36" spans="1:35" ht="21.9" customHeight="1" x14ac:dyDescent="0.3">
      <c r="B36" s="738" t="s">
        <v>911</v>
      </c>
      <c r="C36" s="739"/>
      <c r="D36" s="739"/>
      <c r="E36" s="740"/>
      <c r="F36" s="740"/>
      <c r="G36" s="740"/>
      <c r="H36" s="740"/>
      <c r="I36" s="740"/>
      <c r="J36" s="740"/>
      <c r="K36" s="250" t="s">
        <v>704</v>
      </c>
      <c r="L36" s="251"/>
      <c r="M36" s="11"/>
      <c r="N36" s="817" t="s">
        <v>2532</v>
      </c>
      <c r="O36" s="818"/>
      <c r="P36" s="250" t="s">
        <v>705</v>
      </c>
      <c r="Q36" s="252"/>
      <c r="R36" s="251"/>
      <c r="S36" s="817"/>
      <c r="T36" s="818"/>
      <c r="U36" s="253" t="s">
        <v>706</v>
      </c>
      <c r="V36" s="254"/>
      <c r="W36" s="255"/>
      <c r="X36" s="817"/>
      <c r="Y36" s="818"/>
      <c r="Z36" s="60" t="s">
        <v>707</v>
      </c>
      <c r="AA36" s="256"/>
      <c r="AB36" s="130"/>
      <c r="AC36" s="254"/>
      <c r="AD36" s="817"/>
      <c r="AE36" s="818"/>
      <c r="AF36" s="388"/>
      <c r="AG36" s="318"/>
      <c r="AI36" s="15" t="s">
        <v>2057</v>
      </c>
    </row>
    <row r="37" spans="1:35" ht="21.9" customHeight="1" thickBot="1" x14ac:dyDescent="0.35">
      <c r="B37" s="58" t="s">
        <v>708</v>
      </c>
      <c r="C37" s="39"/>
      <c r="D37" s="39"/>
      <c r="E37" s="695"/>
      <c r="F37" s="753"/>
      <c r="G37" s="59" t="s">
        <v>709</v>
      </c>
      <c r="H37" s="39"/>
      <c r="I37" s="659"/>
      <c r="J37" s="819"/>
      <c r="K37" s="59" t="s">
        <v>710</v>
      </c>
      <c r="L37" s="113"/>
      <c r="M37" s="361"/>
      <c r="N37" s="659"/>
      <c r="O37" s="819"/>
      <c r="P37" s="257" t="s">
        <v>711</v>
      </c>
      <c r="Q37" s="258"/>
      <c r="R37" s="113"/>
      <c r="S37" s="659"/>
      <c r="T37" s="819"/>
      <c r="U37" s="257" t="s">
        <v>712</v>
      </c>
      <c r="V37" s="113"/>
      <c r="W37" s="113"/>
      <c r="X37" s="659"/>
      <c r="Y37" s="819"/>
      <c r="Z37" s="61" t="s">
        <v>713</v>
      </c>
      <c r="AA37" s="62"/>
      <c r="AB37" s="62"/>
      <c r="AC37" s="113"/>
      <c r="AD37" s="659"/>
      <c r="AE37" s="846"/>
      <c r="AF37" s="388"/>
      <c r="AI37" s="15" t="s">
        <v>2058</v>
      </c>
    </row>
    <row r="38" spans="1:35" ht="21.9" customHeight="1" thickTop="1" thickBot="1" x14ac:dyDescent="0.35">
      <c r="B38" s="63" t="s">
        <v>714</v>
      </c>
      <c r="C38" s="52"/>
      <c r="D38" s="52"/>
      <c r="E38" s="992" t="s">
        <v>2531</v>
      </c>
      <c r="F38" s="961"/>
      <c r="G38" s="350"/>
      <c r="H38" s="11"/>
      <c r="I38" s="148"/>
      <c r="J38" s="355"/>
      <c r="K38" s="355"/>
      <c r="L38" s="356"/>
      <c r="M38" s="875" t="s">
        <v>715</v>
      </c>
      <c r="N38" s="876"/>
      <c r="O38" s="876"/>
      <c r="P38" s="876"/>
      <c r="Q38" s="876"/>
      <c r="R38" s="741" t="s">
        <v>1</v>
      </c>
      <c r="S38" s="741"/>
      <c r="T38" s="741"/>
      <c r="U38" s="741"/>
      <c r="V38" s="742"/>
      <c r="W38" s="875" t="s">
        <v>716</v>
      </c>
      <c r="X38" s="876"/>
      <c r="Y38" s="876"/>
      <c r="Z38" s="876"/>
      <c r="AA38" s="876"/>
      <c r="AB38" s="741"/>
      <c r="AC38" s="878"/>
      <c r="AD38" s="878"/>
      <c r="AE38" s="879"/>
      <c r="AF38" s="389"/>
      <c r="AG38" s="318"/>
      <c r="AI38" s="523"/>
    </row>
    <row r="39" spans="1:35" ht="21.9" customHeight="1" thickTop="1" thickBot="1" x14ac:dyDescent="0.35">
      <c r="B39" s="748" t="s">
        <v>2047</v>
      </c>
      <c r="C39" s="749"/>
      <c r="D39" s="749"/>
      <c r="E39" s="749"/>
      <c r="F39" s="734"/>
      <c r="G39" s="733">
        <v>50</v>
      </c>
      <c r="H39" s="734"/>
      <c r="I39" s="573"/>
      <c r="J39" s="262"/>
      <c r="K39" s="743" t="s">
        <v>2048</v>
      </c>
      <c r="L39" s="744"/>
      <c r="M39" s="744"/>
      <c r="N39" s="744"/>
      <c r="O39" s="744"/>
      <c r="P39" s="744"/>
      <c r="Q39" s="744"/>
      <c r="R39" s="734"/>
      <c r="S39" s="734"/>
      <c r="T39" s="734"/>
      <c r="U39" s="734"/>
      <c r="V39" s="741">
        <v>0</v>
      </c>
      <c r="W39" s="734"/>
      <c r="X39" s="500" t="s">
        <v>912</v>
      </c>
      <c r="Y39" s="65"/>
      <c r="Z39" s="65"/>
      <c r="AA39" s="64"/>
      <c r="AB39" s="65"/>
      <c r="AC39" s="150"/>
      <c r="AD39" s="870">
        <f>IF(AND(V39&lt;&gt;"",AC19&lt;&gt;""),V39/AC19*100,"")</f>
        <v>0</v>
      </c>
      <c r="AE39" s="871"/>
      <c r="AG39" s="318"/>
    </row>
    <row r="40" spans="1:35" ht="9.75" customHeight="1" thickTop="1" thickBot="1" x14ac:dyDescent="0.3">
      <c r="A40" s="11"/>
      <c r="B40" s="66"/>
      <c r="C40" s="47"/>
      <c r="D40" s="47"/>
      <c r="E40" s="47"/>
      <c r="F40" s="11"/>
      <c r="G40" s="11"/>
      <c r="H40" s="30"/>
      <c r="I40" s="30"/>
      <c r="J40" s="30"/>
      <c r="K40" s="30"/>
      <c r="L40" s="30"/>
      <c r="M40" s="30"/>
      <c r="N40" s="30"/>
      <c r="O40" s="30"/>
      <c r="P40" s="30"/>
      <c r="Q40" s="30"/>
      <c r="R40" s="30"/>
      <c r="S40" s="16"/>
      <c r="T40" s="11"/>
      <c r="U40" s="11"/>
      <c r="V40" s="11"/>
      <c r="W40" s="11"/>
      <c r="X40" s="11"/>
      <c r="Y40" s="30"/>
      <c r="Z40" s="30"/>
      <c r="AA40" s="30"/>
      <c r="AB40" s="30"/>
      <c r="AC40" s="30"/>
      <c r="AD40" s="128"/>
      <c r="AE40" s="128"/>
      <c r="AG40" s="318"/>
    </row>
    <row r="41" spans="1:35" ht="18" customHeight="1" thickTop="1" x14ac:dyDescent="0.25">
      <c r="B41" s="750"/>
      <c r="C41" s="751"/>
      <c r="D41" s="751"/>
      <c r="E41" s="751"/>
      <c r="F41" s="751"/>
      <c r="G41" s="752"/>
      <c r="H41" s="752"/>
      <c r="I41" s="719" t="s">
        <v>718</v>
      </c>
      <c r="J41" s="720"/>
      <c r="K41" s="720"/>
      <c r="L41" s="720"/>
      <c r="M41" s="720"/>
      <c r="N41" s="720"/>
      <c r="O41" s="720"/>
      <c r="P41" s="721"/>
      <c r="Q41" s="67"/>
      <c r="R41" s="66"/>
      <c r="S41" s="47"/>
      <c r="T41" s="47"/>
      <c r="U41" s="129"/>
      <c r="V41" s="47"/>
      <c r="W41" s="974" t="s">
        <v>718</v>
      </c>
      <c r="X41" s="975"/>
      <c r="Y41" s="975"/>
      <c r="Z41" s="975"/>
      <c r="AA41" s="975"/>
      <c r="AB41" s="975"/>
      <c r="AC41" s="975"/>
      <c r="AD41" s="975"/>
      <c r="AE41" s="976"/>
      <c r="AG41" s="318"/>
    </row>
    <row r="42" spans="1:35" ht="18" customHeight="1" thickBot="1" x14ac:dyDescent="0.35">
      <c r="B42" s="68" t="s">
        <v>717</v>
      </c>
      <c r="C42" s="45"/>
      <c r="D42" s="989"/>
      <c r="E42" s="990"/>
      <c r="F42" s="990"/>
      <c r="G42" s="991"/>
      <c r="H42" s="822">
        <v>1</v>
      </c>
      <c r="I42" s="892"/>
      <c r="J42" s="893"/>
      <c r="K42" s="822">
        <v>2</v>
      </c>
      <c r="L42" s="823"/>
      <c r="M42" s="772"/>
      <c r="N42" s="822">
        <v>3</v>
      </c>
      <c r="O42" s="823"/>
      <c r="P42" s="979"/>
      <c r="Q42" s="68" t="s">
        <v>717</v>
      </c>
      <c r="R42" s="45"/>
      <c r="S42" s="45"/>
      <c r="T42" s="45"/>
      <c r="U42" s="45"/>
      <c r="V42" s="69"/>
      <c r="W42" s="822">
        <v>1</v>
      </c>
      <c r="X42" s="823"/>
      <c r="Y42" s="772"/>
      <c r="Z42" s="822">
        <v>2</v>
      </c>
      <c r="AA42" s="823"/>
      <c r="AB42" s="772"/>
      <c r="AC42" s="822">
        <v>3</v>
      </c>
      <c r="AD42" s="977"/>
      <c r="AE42" s="978"/>
      <c r="AG42" s="318"/>
    </row>
    <row r="43" spans="1:35" ht="19.5" customHeight="1" thickTop="1" x14ac:dyDescent="0.3">
      <c r="B43" s="765" t="str">
        <f>IF(AND(Artuppgifter!B27&lt;&gt;"",Artuppgifter!C27&lt;&gt;"",LEN(Prot.Datum)&gt;5),Artuppgifter!C27,"")</f>
        <v>INGEN FÅNGST</v>
      </c>
      <c r="C43" s="719"/>
      <c r="D43" s="719"/>
      <c r="E43" s="719"/>
      <c r="F43" s="719"/>
      <c r="G43" s="766"/>
      <c r="H43" s="762">
        <f>IF(AND(Artuppgifter!B27&lt;&gt;"",Artuppgifter!D27&lt;&gt;""),Artuppgifter!D27,"")</f>
        <v>0</v>
      </c>
      <c r="I43" s="763"/>
      <c r="J43" s="764"/>
      <c r="K43" s="762" t="str">
        <f>IF(AND(Artuppgifter!B27&lt;&gt;"",Artuppgifter!E27&lt;&gt;""),Artuppgifter!E27,"")</f>
        <v/>
      </c>
      <c r="L43" s="763"/>
      <c r="M43" s="764"/>
      <c r="N43" s="762" t="str">
        <f>IF(AND(Artuppgifter!B27&lt;&gt;"",Artuppgifter!F27&lt;&gt;""),Artuppgifter!F27,"")</f>
        <v/>
      </c>
      <c r="O43" s="763"/>
      <c r="P43" s="767"/>
      <c r="Q43" s="765" t="str">
        <f>IF(AND(Artuppgifter!B33&lt;&gt;"",Artuppgifter!C33&lt;&gt;""),Artuppgifter!C33,"")</f>
        <v/>
      </c>
      <c r="R43" s="943"/>
      <c r="S43" s="943"/>
      <c r="T43" s="943"/>
      <c r="U43" s="943"/>
      <c r="V43" s="944"/>
      <c r="W43" s="938" t="str">
        <f>IF(AND(Artuppgifter!B33&lt;&gt;"",Artuppgifter!D33&lt;&gt;""),Artuppgifter!D33,"")</f>
        <v/>
      </c>
      <c r="X43" s="939"/>
      <c r="Y43" s="939"/>
      <c r="Z43" s="938" t="str">
        <f>IF(AND(Artuppgifter!B33&lt;&gt;"",Artuppgifter!E33&lt;&gt;""),Artuppgifter!E33,"")</f>
        <v/>
      </c>
      <c r="AA43" s="942"/>
      <c r="AB43" s="942"/>
      <c r="AC43" s="938" t="str">
        <f>IF(AND(Artuppgifter!B33&lt;&gt;"",Artuppgifter!F33&lt;&gt;""),Artuppgifter!F33,"")</f>
        <v/>
      </c>
      <c r="AD43" s="940"/>
      <c r="AE43" s="941"/>
    </row>
    <row r="44" spans="1:35" ht="19.5" customHeight="1" x14ac:dyDescent="0.3">
      <c r="B44" s="671" t="str">
        <f>IF(AND(Artuppgifter!B28&lt;&gt;"",Artuppgifter!C28&lt;&gt;""),Artuppgifter!C28,"")</f>
        <v/>
      </c>
      <c r="C44" s="760"/>
      <c r="D44" s="760"/>
      <c r="E44" s="760"/>
      <c r="F44" s="760"/>
      <c r="G44" s="761"/>
      <c r="H44" s="768" t="str">
        <f>IF(AND(Artuppgifter!B28&lt;&gt;"",Artuppgifter!D28&lt;&gt;""),Artuppgifter!D28,"")</f>
        <v/>
      </c>
      <c r="I44" s="769"/>
      <c r="J44" s="770"/>
      <c r="K44" s="768" t="str">
        <f>IF(AND(Artuppgifter!B28&lt;&gt;"",Artuppgifter!E28&lt;&gt;""),Artuppgifter!E28,"")</f>
        <v/>
      </c>
      <c r="L44" s="769"/>
      <c r="M44" s="770"/>
      <c r="N44" s="768" t="str">
        <f>IF(AND(Artuppgifter!B28&lt;&gt;"",Artuppgifter!F28&lt;&gt;""),Artuppgifter!F28,"")</f>
        <v/>
      </c>
      <c r="O44" s="769"/>
      <c r="P44" s="906"/>
      <c r="Q44" s="671" t="str">
        <f>IF(AND(Artuppgifter!B34&lt;&gt;"",Artuppgifter!C34&lt;&gt;""),Artuppgifter!C34,"")</f>
        <v/>
      </c>
      <c r="R44" s="910"/>
      <c r="S44" s="910"/>
      <c r="T44" s="910"/>
      <c r="U44" s="910"/>
      <c r="V44" s="911"/>
      <c r="W44" s="880" t="str">
        <f>IF(AND(Artuppgifter!B34&lt;&gt;"",Artuppgifter!D34&lt;&gt;""),Artuppgifter!D34,"")</f>
        <v/>
      </c>
      <c r="X44" s="881"/>
      <c r="Y44" s="881"/>
      <c r="Z44" s="880" t="str">
        <f>IF(AND(Artuppgifter!B34&lt;&gt;"",Artuppgifter!E34&lt;&gt;""),Artuppgifter!E34,"")</f>
        <v/>
      </c>
      <c r="AA44" s="883"/>
      <c r="AB44" s="883"/>
      <c r="AC44" s="880" t="str">
        <f>IF(AND(Artuppgifter!B34&lt;&gt;"",Artuppgifter!F34&lt;&gt;""),Artuppgifter!F34,"")</f>
        <v/>
      </c>
      <c r="AD44" s="936"/>
      <c r="AE44" s="937"/>
    </row>
    <row r="45" spans="1:35" ht="19.5" customHeight="1" x14ac:dyDescent="0.3">
      <c r="B45" s="671" t="str">
        <f>IF(AND(Artuppgifter!B29&lt;&gt;"",Artuppgifter!C29&lt;&gt;""),Artuppgifter!C29,"")</f>
        <v/>
      </c>
      <c r="C45" s="760"/>
      <c r="D45" s="760"/>
      <c r="E45" s="760"/>
      <c r="F45" s="760"/>
      <c r="G45" s="761"/>
      <c r="H45" s="768" t="str">
        <f>IF(AND(Artuppgifter!B29&lt;&gt;"",Artuppgifter!D29&lt;&gt;""),Artuppgifter!D29,"")</f>
        <v/>
      </c>
      <c r="I45" s="769"/>
      <c r="J45" s="770"/>
      <c r="K45" s="768" t="str">
        <f>IF(AND(Artuppgifter!B29&lt;&gt;"",Artuppgifter!E29&lt;&gt;""),Artuppgifter!E29,"")</f>
        <v/>
      </c>
      <c r="L45" s="769"/>
      <c r="M45" s="770"/>
      <c r="N45" s="768" t="str">
        <f>IF(AND(Artuppgifter!B29&lt;&gt;"",Artuppgifter!F29&lt;&gt;""),Artuppgifter!F29,"")</f>
        <v/>
      </c>
      <c r="O45" s="769"/>
      <c r="P45" s="906"/>
      <c r="Q45" s="671" t="str">
        <f>IF(AND(Artuppgifter!B35&lt;&gt;"",Artuppgifter!C35&lt;&gt;""),Artuppgifter!C35,"")</f>
        <v/>
      </c>
      <c r="R45" s="910"/>
      <c r="S45" s="910"/>
      <c r="T45" s="910"/>
      <c r="U45" s="910"/>
      <c r="V45" s="911"/>
      <c r="W45" s="880" t="str">
        <f>IF(AND(Artuppgifter!B35&lt;&gt;"",Artuppgifter!D35&lt;&gt;""),Artuppgifter!D35,"")</f>
        <v/>
      </c>
      <c r="X45" s="881"/>
      <c r="Y45" s="881"/>
      <c r="Z45" s="880" t="str">
        <f>IF(AND(Artuppgifter!B35&lt;&gt;"",Artuppgifter!E35&lt;&gt;""),Artuppgifter!E35,"")</f>
        <v/>
      </c>
      <c r="AA45" s="883"/>
      <c r="AB45" s="883"/>
      <c r="AC45" s="880" t="str">
        <f>IF(AND(Artuppgifter!B35&lt;&gt;"",Artuppgifter!F35&lt;&gt;""),Artuppgifter!F35,"")</f>
        <v/>
      </c>
      <c r="AD45" s="936"/>
      <c r="AE45" s="937"/>
    </row>
    <row r="46" spans="1:35" ht="19.5" customHeight="1" x14ac:dyDescent="0.3">
      <c r="B46" s="671" t="str">
        <f>IF(AND(Artuppgifter!B30&lt;&gt;"",Artuppgifter!C30&lt;&gt;""),Artuppgifter!C30,"")</f>
        <v/>
      </c>
      <c r="C46" s="760"/>
      <c r="D46" s="760"/>
      <c r="E46" s="760"/>
      <c r="F46" s="760"/>
      <c r="G46" s="761"/>
      <c r="H46" s="768" t="str">
        <f>IF(AND(Artuppgifter!B30&lt;&gt;"",Artuppgifter!D30&lt;&gt;""),Artuppgifter!D30,"")</f>
        <v/>
      </c>
      <c r="I46" s="769"/>
      <c r="J46" s="770"/>
      <c r="K46" s="768" t="str">
        <f>IF(AND(Artuppgifter!B30&lt;&gt;"",Artuppgifter!E30&lt;&gt;""),Artuppgifter!E30,"")</f>
        <v/>
      </c>
      <c r="L46" s="769"/>
      <c r="M46" s="770"/>
      <c r="N46" s="768" t="str">
        <f>IF(AND(Artuppgifter!B30&lt;&gt;"",Artuppgifter!F30&lt;&gt;""),Artuppgifter!F30,"")</f>
        <v/>
      </c>
      <c r="O46" s="769"/>
      <c r="P46" s="906"/>
      <c r="Q46" s="671" t="str">
        <f>IF(AND(Artuppgifter!B36&lt;&gt;"",Artuppgifter!C36&lt;&gt;""),Artuppgifter!C36,"")</f>
        <v/>
      </c>
      <c r="R46" s="910"/>
      <c r="S46" s="910"/>
      <c r="T46" s="910"/>
      <c r="U46" s="910"/>
      <c r="V46" s="911"/>
      <c r="W46" s="880" t="str">
        <f>IF(AND(Artuppgifter!B36&lt;&gt;"",Artuppgifter!D36&lt;&gt;""),Artuppgifter!D36,"")</f>
        <v/>
      </c>
      <c r="X46" s="881"/>
      <c r="Y46" s="881"/>
      <c r="Z46" s="880" t="str">
        <f>IF(AND(Artuppgifter!B36&lt;&gt;"",Artuppgifter!E36&lt;&gt;""),Artuppgifter!E36,"")</f>
        <v/>
      </c>
      <c r="AA46" s="883"/>
      <c r="AB46" s="883"/>
      <c r="AC46" s="880" t="str">
        <f>IF(AND(Artuppgifter!B36&lt;&gt;"",Artuppgifter!F36&lt;&gt;""),Artuppgifter!F36,"")</f>
        <v/>
      </c>
      <c r="AD46" s="936"/>
      <c r="AE46" s="937"/>
    </row>
    <row r="47" spans="1:35" ht="19.5" customHeight="1" x14ac:dyDescent="0.3">
      <c r="B47" s="671" t="str">
        <f>IF(AND(Artuppgifter!B31&lt;&gt;"",Artuppgifter!C31&lt;&gt;""),Artuppgifter!C31,"")</f>
        <v/>
      </c>
      <c r="C47" s="760"/>
      <c r="D47" s="760"/>
      <c r="E47" s="760"/>
      <c r="F47" s="760"/>
      <c r="G47" s="761"/>
      <c r="H47" s="768" t="str">
        <f>IF(AND(Artuppgifter!B31&lt;&gt;"",Artuppgifter!D31&lt;&gt;""),Artuppgifter!D31,"")</f>
        <v/>
      </c>
      <c r="I47" s="769"/>
      <c r="J47" s="770"/>
      <c r="K47" s="768" t="str">
        <f>IF(AND(Artuppgifter!B31&lt;&gt;"",Artuppgifter!E31&lt;&gt;""),Artuppgifter!E31,"")</f>
        <v/>
      </c>
      <c r="L47" s="769"/>
      <c r="M47" s="770"/>
      <c r="N47" s="768" t="str">
        <f>IF(AND(Artuppgifter!B31&lt;&gt;"",Artuppgifter!F31&lt;&gt;""),Artuppgifter!F31,"")</f>
        <v/>
      </c>
      <c r="O47" s="769"/>
      <c r="P47" s="906"/>
      <c r="Q47" s="671" t="str">
        <f>IF(AND(Artuppgifter!B37&lt;&gt;"",Artuppgifter!C37&lt;&gt;""),Artuppgifter!C37,"")</f>
        <v/>
      </c>
      <c r="R47" s="910"/>
      <c r="S47" s="910"/>
      <c r="T47" s="910"/>
      <c r="U47" s="910"/>
      <c r="V47" s="911"/>
      <c r="W47" s="880" t="str">
        <f>IF(AND(Artuppgifter!B37&lt;&gt;"",Artuppgifter!D37&lt;&gt;""),Artuppgifter!D37,"")</f>
        <v/>
      </c>
      <c r="X47" s="881"/>
      <c r="Y47" s="881"/>
      <c r="Z47" s="880" t="str">
        <f>IF(AND(Artuppgifter!B37&lt;&gt;"",Artuppgifter!E37&lt;&gt;""),Artuppgifter!E37,"")</f>
        <v/>
      </c>
      <c r="AA47" s="883"/>
      <c r="AB47" s="883"/>
      <c r="AC47" s="880" t="str">
        <f>IF(AND(Artuppgifter!B37&lt;&gt;"",Artuppgifter!F37&lt;&gt;""),Artuppgifter!F37,"")</f>
        <v/>
      </c>
      <c r="AD47" s="936"/>
      <c r="AE47" s="937"/>
    </row>
    <row r="48" spans="1:35" ht="19.5" customHeight="1" thickBot="1" x14ac:dyDescent="0.35">
      <c r="B48" s="717" t="str">
        <f>IF(AND(Artuppgifter!B32&lt;&gt;"",Artuppgifter!C32&lt;&gt;""),Artuppgifter!C32,"")</f>
        <v/>
      </c>
      <c r="C48" s="771"/>
      <c r="D48" s="771"/>
      <c r="E48" s="771"/>
      <c r="F48" s="771"/>
      <c r="G48" s="772"/>
      <c r="H48" s="757" t="str">
        <f>IF(AND(Artuppgifter!B32&lt;&gt;"",Artuppgifter!D32&lt;&gt;""),Artuppgifter!D32,"")</f>
        <v/>
      </c>
      <c r="I48" s="823"/>
      <c r="J48" s="772"/>
      <c r="K48" s="809" t="str">
        <f>IF(AND(Artuppgifter!B32&lt;&gt;"",Artuppgifter!E32&lt;&gt;""),Artuppgifter!E32,"")</f>
        <v/>
      </c>
      <c r="L48" s="828"/>
      <c r="M48" s="828"/>
      <c r="N48" s="757" t="str">
        <f>IF(AND(Artuppgifter!B32&lt;&gt;"",Artuppgifter!F32&lt;&gt;""),Artuppgifter!F32,"")</f>
        <v/>
      </c>
      <c r="O48" s="758"/>
      <c r="P48" s="759"/>
      <c r="Q48" s="717" t="str">
        <f>IF(AND(Artuppgifter!B38&lt;&gt;"",Artuppgifter!C38&lt;&gt;""),Artuppgifter!C38,"")</f>
        <v/>
      </c>
      <c r="R48" s="771"/>
      <c r="S48" s="771"/>
      <c r="T48" s="771"/>
      <c r="U48" s="771"/>
      <c r="V48" s="772"/>
      <c r="W48" s="809" t="str">
        <f>IF(AND(Artuppgifter!B38&lt;&gt;"",Artuppgifter!D38&lt;&gt;""),Artuppgifter!D38,"")</f>
        <v/>
      </c>
      <c r="X48" s="882"/>
      <c r="Y48" s="882"/>
      <c r="Z48" s="809" t="str">
        <f>IF(AND(Artuppgifter!B38&lt;&gt;"",Artuppgifter!E38&lt;&gt;""),Artuppgifter!E38,"")</f>
        <v/>
      </c>
      <c r="AA48" s="810"/>
      <c r="AB48" s="810"/>
      <c r="AC48" s="809" t="str">
        <f>IF(AND(Artuppgifter!B38&lt;&gt;"",Artuppgifter!F38&lt;&gt;""),Artuppgifter!F38,"")</f>
        <v/>
      </c>
      <c r="AD48" s="965"/>
      <c r="AE48" s="966"/>
    </row>
    <row r="49" spans="2:33" ht="17.25" customHeight="1" thickTop="1" x14ac:dyDescent="0.3">
      <c r="B49" s="488" t="str">
        <f>IF(MAX(Beräkningshjälp!M2:M60)&gt;12,"* Antalet fångade arter är större än vad protokollet klarar att registrera. Någon eller några arter måste registreras manuellt",IF(COUNT(Artuppgifter!B27:B50)&gt;12,"Alla fångade arter syns inte i tabellen ovan, men registreras korrekt. Se blad ARTUPPGIFTER för en komplett tabell.",""))</f>
        <v/>
      </c>
      <c r="AE49" s="489">
        <f>MAX(Beräkningshjälp!M2:M60)</f>
        <v>1</v>
      </c>
    </row>
    <row r="50" spans="2:33" ht="6" customHeight="1" x14ac:dyDescent="0.25"/>
    <row r="51" spans="2:33" ht="13.8" thickBot="1" x14ac:dyDescent="0.3">
      <c r="B51" s="70" t="s">
        <v>719</v>
      </c>
      <c r="AB51" s="71"/>
    </row>
    <row r="52" spans="2:33" ht="20.100000000000001" customHeight="1" thickTop="1" x14ac:dyDescent="0.25">
      <c r="B52" s="780" t="s">
        <v>466</v>
      </c>
      <c r="C52" s="781"/>
      <c r="D52" s="781"/>
      <c r="E52" s="781"/>
      <c r="F52" s="781"/>
      <c r="G52" s="781"/>
      <c r="H52" s="781"/>
      <c r="I52" s="781"/>
      <c r="J52" s="781"/>
      <c r="K52" s="47"/>
      <c r="L52" s="263"/>
      <c r="M52" s="151"/>
      <c r="N52" s="47"/>
      <c r="O52" s="151"/>
      <c r="P52" s="152"/>
      <c r="Q52" s="908" t="s">
        <v>840</v>
      </c>
      <c r="R52" s="781"/>
      <c r="S52" s="781"/>
      <c r="T52" s="781"/>
      <c r="U52" s="781"/>
      <c r="V52" s="781"/>
      <c r="W52" s="781"/>
      <c r="X52" s="47"/>
      <c r="Y52" s="47"/>
      <c r="Z52" s="72"/>
      <c r="AA52" s="72"/>
      <c r="AB52" s="72"/>
      <c r="AC52" s="72"/>
      <c r="AD52" s="72"/>
      <c r="AE52" s="73"/>
    </row>
    <row r="53" spans="2:33" ht="20.100000000000001" customHeight="1" x14ac:dyDescent="0.3">
      <c r="B53" s="782"/>
      <c r="C53" s="783"/>
      <c r="D53" s="783"/>
      <c r="E53" s="783"/>
      <c r="F53" s="783"/>
      <c r="G53" s="783"/>
      <c r="H53" s="783"/>
      <c r="I53" s="783"/>
      <c r="J53" s="783"/>
      <c r="K53" s="775" t="s">
        <v>2327</v>
      </c>
      <c r="L53" s="776"/>
      <c r="M53" s="776"/>
      <c r="N53" s="264"/>
      <c r="O53" s="265"/>
      <c r="P53" s="266"/>
      <c r="Q53" s="909"/>
      <c r="R53" s="783"/>
      <c r="S53" s="783"/>
      <c r="T53" s="783"/>
      <c r="U53" s="783"/>
      <c r="V53" s="783"/>
      <c r="W53" s="783"/>
      <c r="X53" s="775"/>
      <c r="Y53" s="775"/>
      <c r="Z53" s="775"/>
      <c r="AA53" s="267"/>
      <c r="AB53" s="265"/>
      <c r="AC53" s="265"/>
      <c r="AD53" s="265"/>
      <c r="AE53" s="268"/>
    </row>
    <row r="54" spans="2:33" ht="20.100000000000001" customHeight="1" x14ac:dyDescent="0.3">
      <c r="B54" s="779" t="s">
        <v>765</v>
      </c>
      <c r="C54" s="672"/>
      <c r="D54" s="672"/>
      <c r="E54" s="672"/>
      <c r="F54" s="672"/>
      <c r="G54" s="672"/>
      <c r="H54" s="672"/>
      <c r="I54" s="672"/>
      <c r="J54" s="672"/>
      <c r="K54" s="672"/>
      <c r="L54" s="82"/>
      <c r="M54" s="907" t="s">
        <v>720</v>
      </c>
      <c r="N54" s="672"/>
      <c r="O54" s="710"/>
      <c r="P54" s="774"/>
      <c r="Q54" s="18" t="s">
        <v>721</v>
      </c>
      <c r="R54" s="8"/>
      <c r="S54" s="710"/>
      <c r="T54" s="774"/>
      <c r="U54" s="18" t="s">
        <v>722</v>
      </c>
      <c r="V54" s="8"/>
      <c r="W54" s="710" t="s">
        <v>2327</v>
      </c>
      <c r="X54" s="710"/>
      <c r="Y54" s="774"/>
      <c r="Z54" s="18" t="s">
        <v>723</v>
      </c>
      <c r="AA54" s="8"/>
      <c r="AB54" s="8"/>
      <c r="AC54" s="710"/>
      <c r="AD54" s="710"/>
      <c r="AE54" s="74"/>
      <c r="AF54" s="387"/>
      <c r="AG54" s="205"/>
    </row>
    <row r="55" spans="2:33" ht="20.100000000000001" customHeight="1" thickBot="1" x14ac:dyDescent="0.35">
      <c r="B55" s="773" t="s">
        <v>766</v>
      </c>
      <c r="C55" s="718"/>
      <c r="D55" s="718"/>
      <c r="E55" s="718"/>
      <c r="F55" s="718"/>
      <c r="G55" s="718"/>
      <c r="H55" s="718"/>
      <c r="I55" s="718"/>
      <c r="J55" s="718"/>
      <c r="K55" s="718"/>
      <c r="L55" s="75"/>
      <c r="M55" s="18" t="s">
        <v>724</v>
      </c>
      <c r="N55" s="75"/>
      <c r="O55" s="710"/>
      <c r="P55" s="774"/>
      <c r="Q55" s="18" t="s">
        <v>725</v>
      </c>
      <c r="R55" s="75"/>
      <c r="S55" s="710"/>
      <c r="T55" s="774"/>
      <c r="U55" s="18" t="s">
        <v>726</v>
      </c>
      <c r="V55" s="75"/>
      <c r="W55" s="710"/>
      <c r="X55" s="710"/>
      <c r="Y55" s="774"/>
      <c r="Z55" s="18" t="s">
        <v>727</v>
      </c>
      <c r="AA55" s="75"/>
      <c r="AB55" s="75"/>
      <c r="AC55" s="791"/>
      <c r="AD55" s="791"/>
      <c r="AE55" s="76"/>
      <c r="AF55" s="387"/>
      <c r="AG55" s="205"/>
    </row>
    <row r="56" spans="2:33" ht="24" customHeight="1" thickTop="1" x14ac:dyDescent="0.3">
      <c r="B56" s="765" t="s">
        <v>764</v>
      </c>
      <c r="C56" s="670"/>
      <c r="D56" s="670"/>
      <c r="E56" s="670"/>
      <c r="F56" s="670"/>
      <c r="G56" s="670"/>
      <c r="H56" s="670"/>
      <c r="I56" s="670"/>
      <c r="J56" s="670"/>
      <c r="K56" s="670"/>
      <c r="L56" s="670"/>
      <c r="M56" s="81" t="s">
        <v>916</v>
      </c>
      <c r="N56" s="77"/>
      <c r="O56" s="794" t="s">
        <v>2327</v>
      </c>
      <c r="P56" s="795"/>
      <c r="Q56" s="77" t="s">
        <v>915</v>
      </c>
      <c r="R56" s="77"/>
      <c r="S56" s="54"/>
      <c r="T56" s="338"/>
      <c r="U56" s="55" t="s">
        <v>913</v>
      </c>
      <c r="V56" s="54"/>
      <c r="W56" s="54"/>
      <c r="X56" s="794"/>
      <c r="Y56" s="797"/>
      <c r="Z56" s="269"/>
      <c r="AA56" s="260"/>
      <c r="AB56" s="260"/>
      <c r="AC56" s="260"/>
      <c r="AD56" s="260"/>
      <c r="AE56" s="261"/>
    </row>
    <row r="57" spans="2:33" ht="24" customHeight="1" x14ac:dyDescent="0.3">
      <c r="B57" s="671" t="s">
        <v>763</v>
      </c>
      <c r="C57" s="672"/>
      <c r="D57" s="672"/>
      <c r="E57" s="672"/>
      <c r="F57" s="672"/>
      <c r="G57" s="672"/>
      <c r="H57" s="672"/>
      <c r="I57" s="672"/>
      <c r="J57" s="672"/>
      <c r="K57" s="672"/>
      <c r="L57" s="672"/>
      <c r="M57" s="672"/>
      <c r="N57" s="672"/>
      <c r="O57" s="33" t="s">
        <v>917</v>
      </c>
      <c r="P57" s="32"/>
      <c r="S57" s="659"/>
      <c r="T57" s="793"/>
      <c r="U57" s="29" t="s">
        <v>914</v>
      </c>
      <c r="V57" s="32"/>
      <c r="W57" s="32"/>
      <c r="X57" s="659" t="s">
        <v>2327</v>
      </c>
      <c r="Y57" s="792"/>
      <c r="Z57" s="236"/>
      <c r="AA57" s="243"/>
      <c r="AB57" s="243"/>
      <c r="AC57" s="243"/>
      <c r="AD57" s="243"/>
      <c r="AE57" s="270"/>
    </row>
    <row r="58" spans="2:33" ht="19.5" customHeight="1" thickBot="1" x14ac:dyDescent="0.35">
      <c r="B58" s="814" t="s">
        <v>728</v>
      </c>
      <c r="C58" s="815"/>
      <c r="D58" s="815"/>
      <c r="E58" s="815"/>
      <c r="F58" s="815"/>
      <c r="G58" s="815"/>
      <c r="H58" s="815"/>
      <c r="I58" s="815"/>
      <c r="J58" s="815"/>
      <c r="K58" s="815"/>
      <c r="L58" s="815"/>
      <c r="M58" s="815"/>
      <c r="N58" s="815"/>
      <c r="O58" s="815"/>
      <c r="P58" s="815"/>
      <c r="Q58" s="718"/>
      <c r="R58" s="718"/>
      <c r="S58" s="791">
        <v>0</v>
      </c>
      <c r="T58" s="912"/>
      <c r="U58" s="271"/>
      <c r="V58" s="272"/>
      <c r="W58" s="272"/>
      <c r="X58" s="272"/>
      <c r="Y58" s="259"/>
      <c r="Z58" s="259"/>
      <c r="AA58" s="50"/>
      <c r="AB58" s="50"/>
      <c r="AC58" s="50"/>
      <c r="AD58" s="50"/>
      <c r="AE58" s="78"/>
    </row>
    <row r="59" spans="2:33" ht="13.5" customHeight="1" thickTop="1" thickBot="1" x14ac:dyDescent="0.3">
      <c r="B59" s="15"/>
      <c r="C59" s="15"/>
      <c r="D59" s="15"/>
      <c r="E59" s="15"/>
      <c r="F59" s="15"/>
      <c r="G59" s="15"/>
      <c r="L59" s="15"/>
      <c r="V59" s="15"/>
      <c r="W59" s="15"/>
      <c r="X59" s="15"/>
      <c r="Y59" s="15"/>
      <c r="Z59" s="15"/>
      <c r="AA59" s="15"/>
      <c r="AB59" s="15"/>
      <c r="AC59" s="15"/>
      <c r="AD59" s="15"/>
      <c r="AE59" s="15"/>
    </row>
    <row r="60" spans="2:33" ht="24" customHeight="1" thickTop="1" x14ac:dyDescent="0.3">
      <c r="B60" s="765" t="s">
        <v>767</v>
      </c>
      <c r="C60" s="670"/>
      <c r="D60" s="670"/>
      <c r="E60" s="670"/>
      <c r="F60" s="670"/>
      <c r="G60" s="670"/>
      <c r="H60" s="72" t="s">
        <v>559</v>
      </c>
      <c r="I60" s="794"/>
      <c r="J60" s="811"/>
      <c r="K60" s="812" t="s">
        <v>558</v>
      </c>
      <c r="L60" s="813"/>
      <c r="M60" s="334" t="s">
        <v>2327</v>
      </c>
      <c r="N60" s="273"/>
      <c r="O60" s="274"/>
      <c r="P60" s="274"/>
      <c r="Q60" s="275"/>
      <c r="R60" s="804" t="s">
        <v>918</v>
      </c>
      <c r="S60" s="670"/>
      <c r="T60" s="670"/>
      <c r="U60" s="670"/>
      <c r="V60" s="670"/>
      <c r="W60" s="900"/>
      <c r="X60" s="901"/>
      <c r="Y60" s="901"/>
      <c r="Z60" s="901"/>
      <c r="AA60" s="901"/>
      <c r="AB60" s="897" t="b">
        <f>IF(W60&lt;&gt;"",IF(AND(I60&lt;&gt;"",ISNUMBER(W60*1),X9&lt;&gt;""),IF(LEN(W60)=10,AND(ROUND(Kalkdatum*1,-4)&gt;=ROUND(Fiskedatum-50000,-4),Kalkdatum*1&lt;Fiskedatum*1,LEN(W60*1)&lt;10),IF(LEN(W60)=8,AND(1*ROUND(W60,-4)&gt;=1*ROUND(Fiskedatum-50000,-4),1*W60&lt;1*Fiskedatum,LEFT(RIGHT(W60,4),2)*1&lt;=12,RIGHT(W60,2)*1&lt;=31),IF(LEN(W60)=4,AND(W60*1&gt;=LEFT(Fiskedatum*1-50000,4)*1,W60*1&lt;=LEFT(Fiskedatum*1,4)*1),FALSE))),FALSE),TRUE)</f>
        <v>1</v>
      </c>
      <c r="AC60" s="898"/>
      <c r="AD60" s="898"/>
      <c r="AE60" s="899"/>
    </row>
    <row r="61" spans="2:33" ht="24" customHeight="1" x14ac:dyDescent="0.25">
      <c r="B61" s="779" t="s">
        <v>819</v>
      </c>
      <c r="C61" s="672"/>
      <c r="D61" s="672"/>
      <c r="E61" s="672"/>
      <c r="F61" s="672"/>
      <c r="G61" s="672"/>
      <c r="H61" s="800" t="s">
        <v>815</v>
      </c>
      <c r="I61" s="801"/>
      <c r="J61" s="802"/>
      <c r="K61" s="803"/>
      <c r="L61" s="904" t="s">
        <v>816</v>
      </c>
      <c r="M61" s="783"/>
      <c r="N61" s="783"/>
      <c r="O61" s="802"/>
      <c r="P61" s="803"/>
      <c r="Q61" s="800" t="s">
        <v>817</v>
      </c>
      <c r="R61" s="805"/>
      <c r="S61" s="805"/>
      <c r="T61" s="802"/>
      <c r="U61" s="803"/>
      <c r="V61" s="800" t="s">
        <v>818</v>
      </c>
      <c r="W61" s="805"/>
      <c r="X61" s="805"/>
      <c r="Y61" s="802"/>
      <c r="Z61" s="803"/>
      <c r="AA61" s="57"/>
      <c r="AB61" s="86"/>
      <c r="AC61" s="39"/>
      <c r="AD61" s="86"/>
      <c r="AE61" s="87"/>
      <c r="AG61" s="208"/>
    </row>
    <row r="62" spans="2:33" ht="24" customHeight="1" x14ac:dyDescent="0.3">
      <c r="B62" s="671" t="s">
        <v>938</v>
      </c>
      <c r="C62" s="672"/>
      <c r="D62" s="672"/>
      <c r="E62" s="672"/>
      <c r="F62" s="672"/>
      <c r="G62" s="672"/>
      <c r="H62" s="672"/>
      <c r="I62" s="672"/>
      <c r="J62" s="672"/>
      <c r="K62" s="672"/>
      <c r="L62" s="672"/>
      <c r="M62" s="672"/>
      <c r="N62" s="905"/>
      <c r="O62" s="902" t="s">
        <v>2273</v>
      </c>
      <c r="P62" s="903"/>
      <c r="Q62" s="903"/>
      <c r="R62" s="903"/>
      <c r="S62" s="903"/>
      <c r="T62" s="903"/>
      <c r="U62" s="903"/>
      <c r="V62" s="903"/>
      <c r="W62" s="903"/>
      <c r="X62" s="903"/>
      <c r="Y62" s="903"/>
      <c r="Z62" s="903"/>
      <c r="AA62" s="894"/>
      <c r="AB62" s="895"/>
      <c r="AC62" s="895"/>
      <c r="AD62" s="895"/>
      <c r="AE62" s="896"/>
      <c r="AF62" s="390"/>
      <c r="AG62" s="326"/>
    </row>
    <row r="63" spans="2:33" ht="24" customHeight="1" x14ac:dyDescent="0.3">
      <c r="B63" s="777" t="s">
        <v>933</v>
      </c>
      <c r="C63" s="778"/>
      <c r="D63" s="756"/>
      <c r="E63" s="333"/>
      <c r="F63" s="754" t="s">
        <v>780</v>
      </c>
      <c r="G63" s="755"/>
      <c r="H63" s="756"/>
      <c r="I63" s="333"/>
      <c r="J63" s="754" t="s">
        <v>781</v>
      </c>
      <c r="K63" s="755"/>
      <c r="L63" s="756"/>
      <c r="M63" s="333"/>
      <c r="N63" s="754" t="s">
        <v>935</v>
      </c>
      <c r="O63" s="756"/>
      <c r="P63" s="333"/>
      <c r="Q63" s="913" t="s">
        <v>812</v>
      </c>
      <c r="R63" s="915"/>
      <c r="S63" s="333"/>
      <c r="T63" s="754" t="s">
        <v>782</v>
      </c>
      <c r="U63" s="798"/>
      <c r="V63" s="796"/>
      <c r="W63" s="333"/>
      <c r="X63" s="754" t="s">
        <v>921</v>
      </c>
      <c r="Y63" s="798"/>
      <c r="Z63" s="796"/>
      <c r="AA63" s="333"/>
      <c r="AB63" s="754" t="s">
        <v>786</v>
      </c>
      <c r="AC63" s="755"/>
      <c r="AD63" s="785"/>
      <c r="AE63" s="340"/>
      <c r="AF63" s="326"/>
      <c r="AG63" s="326"/>
    </row>
    <row r="64" spans="2:33" ht="24" customHeight="1" x14ac:dyDescent="0.25">
      <c r="B64" s="784" t="s">
        <v>837</v>
      </c>
      <c r="C64" s="755"/>
      <c r="D64" s="785"/>
      <c r="E64" s="333"/>
      <c r="F64" s="754" t="s">
        <v>937</v>
      </c>
      <c r="G64" s="755"/>
      <c r="H64" s="756"/>
      <c r="I64" s="333"/>
      <c r="J64" s="754" t="s">
        <v>950</v>
      </c>
      <c r="K64" s="798"/>
      <c r="L64" s="796"/>
      <c r="M64" s="333"/>
      <c r="N64" s="754" t="s">
        <v>930</v>
      </c>
      <c r="O64" s="756"/>
      <c r="P64" s="333"/>
      <c r="Q64" s="754" t="s">
        <v>936</v>
      </c>
      <c r="R64" s="756"/>
      <c r="S64" s="333"/>
      <c r="T64" s="754" t="s">
        <v>783</v>
      </c>
      <c r="U64" s="755"/>
      <c r="V64" s="796"/>
      <c r="W64" s="333"/>
      <c r="X64" s="754" t="s">
        <v>920</v>
      </c>
      <c r="Y64" s="798"/>
      <c r="Z64" s="796"/>
      <c r="AA64" s="333"/>
      <c r="AB64" s="754" t="s">
        <v>787</v>
      </c>
      <c r="AC64" s="755"/>
      <c r="AD64" s="785"/>
      <c r="AE64" s="340"/>
      <c r="AF64" s="326"/>
      <c r="AG64" s="326"/>
    </row>
    <row r="65" spans="2:33" ht="24" customHeight="1" x14ac:dyDescent="0.3">
      <c r="B65" s="777" t="s">
        <v>67</v>
      </c>
      <c r="C65" s="755"/>
      <c r="D65" s="827"/>
      <c r="E65" s="333"/>
      <c r="F65" s="754" t="s">
        <v>864</v>
      </c>
      <c r="G65" s="755"/>
      <c r="H65" s="756"/>
      <c r="I65" s="333"/>
      <c r="J65" s="754" t="s">
        <v>807</v>
      </c>
      <c r="K65" s="755"/>
      <c r="L65" s="756"/>
      <c r="M65" s="333"/>
      <c r="N65" s="754" t="s">
        <v>929</v>
      </c>
      <c r="O65" s="756"/>
      <c r="P65" s="333"/>
      <c r="Q65" s="754" t="s">
        <v>926</v>
      </c>
      <c r="R65" s="756"/>
      <c r="S65" s="333"/>
      <c r="T65" s="754" t="s">
        <v>924</v>
      </c>
      <c r="U65" s="755"/>
      <c r="V65" s="785"/>
      <c r="W65" s="333"/>
      <c r="X65" s="754" t="s">
        <v>922</v>
      </c>
      <c r="Y65" s="798"/>
      <c r="Z65" s="796"/>
      <c r="AA65" s="333"/>
      <c r="AB65" s="913" t="s">
        <v>919</v>
      </c>
      <c r="AC65" s="914"/>
      <c r="AD65" s="915"/>
      <c r="AE65" s="340"/>
      <c r="AF65" s="326"/>
      <c r="AG65" s="326"/>
    </row>
    <row r="66" spans="2:33" ht="24" customHeight="1" x14ac:dyDescent="0.25">
      <c r="B66" s="777" t="s">
        <v>809</v>
      </c>
      <c r="C66" s="755"/>
      <c r="D66" s="827"/>
      <c r="E66" s="333"/>
      <c r="F66" s="754" t="s">
        <v>932</v>
      </c>
      <c r="G66" s="799"/>
      <c r="H66" s="756"/>
      <c r="I66" s="333"/>
      <c r="J66" s="754" t="s">
        <v>934</v>
      </c>
      <c r="K66" s="755"/>
      <c r="L66" s="756"/>
      <c r="M66" s="333"/>
      <c r="N66" s="754" t="s">
        <v>814</v>
      </c>
      <c r="O66" s="796"/>
      <c r="P66" s="333"/>
      <c r="Q66" s="754" t="s">
        <v>813</v>
      </c>
      <c r="R66" s="796"/>
      <c r="S66" s="333"/>
      <c r="T66" s="754" t="s">
        <v>923</v>
      </c>
      <c r="U66" s="755"/>
      <c r="V66" s="796"/>
      <c r="W66" s="333">
        <v>3</v>
      </c>
      <c r="X66" s="754" t="s">
        <v>784</v>
      </c>
      <c r="Y66" s="798"/>
      <c r="Z66" s="796"/>
      <c r="AA66" s="333"/>
      <c r="AB66" s="754" t="s">
        <v>927</v>
      </c>
      <c r="AC66" s="798"/>
      <c r="AD66" s="796"/>
      <c r="AE66" s="340"/>
      <c r="AF66" s="326"/>
      <c r="AG66" s="326"/>
    </row>
    <row r="67" spans="2:33" ht="24" customHeight="1" thickBot="1" x14ac:dyDescent="0.35">
      <c r="B67" s="930" t="s">
        <v>776</v>
      </c>
      <c r="C67" s="922"/>
      <c r="D67" s="926"/>
      <c r="E67" s="339"/>
      <c r="F67" s="787" t="s">
        <v>838</v>
      </c>
      <c r="G67" s="925"/>
      <c r="H67" s="926"/>
      <c r="I67" s="339"/>
      <c r="J67" s="787" t="s">
        <v>931</v>
      </c>
      <c r="K67" s="925"/>
      <c r="L67" s="926"/>
      <c r="M67" s="339"/>
      <c r="N67" s="787" t="s">
        <v>806</v>
      </c>
      <c r="O67" s="788"/>
      <c r="P67" s="339"/>
      <c r="Q67" s="789" t="s">
        <v>777</v>
      </c>
      <c r="R67" s="790"/>
      <c r="S67" s="339"/>
      <c r="T67" s="787" t="s">
        <v>925</v>
      </c>
      <c r="U67" s="924"/>
      <c r="V67" s="923"/>
      <c r="W67" s="339"/>
      <c r="X67" s="787" t="s">
        <v>785</v>
      </c>
      <c r="Y67" s="922"/>
      <c r="Z67" s="923"/>
      <c r="AA67" s="339"/>
      <c r="AB67" s="787" t="s">
        <v>928</v>
      </c>
      <c r="AC67" s="924"/>
      <c r="AD67" s="923"/>
      <c r="AE67" s="341"/>
      <c r="AF67" s="326"/>
      <c r="AG67" s="326"/>
    </row>
    <row r="68" spans="2:33" ht="9.75" customHeight="1" thickTop="1" thickBot="1" x14ac:dyDescent="0.3">
      <c r="B68" s="41"/>
      <c r="C68" s="15"/>
      <c r="D68" s="15"/>
      <c r="E68" s="15"/>
      <c r="F68" s="15"/>
      <c r="G68" s="8"/>
      <c r="H68" s="8"/>
      <c r="I68" s="8"/>
      <c r="J68" s="8"/>
      <c r="K68" s="8"/>
      <c r="L68" s="8"/>
      <c r="M68" s="8"/>
      <c r="N68" s="8"/>
      <c r="O68" s="15"/>
      <c r="P68" s="15"/>
      <c r="Q68" s="15"/>
      <c r="R68" s="15"/>
      <c r="S68" s="15"/>
      <c r="T68" s="15"/>
      <c r="U68" s="15"/>
      <c r="V68" s="15"/>
      <c r="W68" s="15"/>
      <c r="X68" s="15"/>
      <c r="Y68" s="15"/>
      <c r="Z68" s="15"/>
      <c r="AA68" s="15"/>
      <c r="AB68" s="15"/>
      <c r="AC68" s="15"/>
      <c r="AD68" s="15"/>
      <c r="AE68" s="15"/>
      <c r="AF68" s="390"/>
      <c r="AG68" s="208"/>
    </row>
    <row r="69" spans="2:33" ht="19.5" customHeight="1" thickTop="1" x14ac:dyDescent="0.3">
      <c r="B69" s="89" t="s">
        <v>839</v>
      </c>
      <c r="C69" s="77"/>
      <c r="D69" s="77"/>
      <c r="E69" s="77"/>
      <c r="F69" s="77"/>
      <c r="G69" s="77"/>
      <c r="H69" s="786"/>
      <c r="I69" s="786"/>
      <c r="J69" s="786"/>
      <c r="K69" s="77"/>
      <c r="L69" s="77"/>
      <c r="M69" s="77"/>
      <c r="N69" s="77"/>
      <c r="O69" s="77"/>
      <c r="P69" s="77"/>
      <c r="Q69" s="77"/>
      <c r="R69" s="77"/>
      <c r="S69" s="786"/>
      <c r="T69" s="786"/>
      <c r="U69" s="786"/>
      <c r="V69" s="804" t="s">
        <v>542</v>
      </c>
      <c r="W69" s="934"/>
      <c r="X69" s="934"/>
      <c r="Y69" s="934"/>
      <c r="Z69" s="935"/>
      <c r="AA69" s="935"/>
      <c r="AB69" s="935"/>
      <c r="AC69" s="935"/>
      <c r="AD69" s="935"/>
      <c r="AE69" s="90"/>
      <c r="AF69" s="387"/>
      <c r="AG69" s="352"/>
    </row>
    <row r="70" spans="2:33" ht="19.5" customHeight="1" x14ac:dyDescent="0.3">
      <c r="B70" s="88" t="s">
        <v>729</v>
      </c>
      <c r="C70" s="8"/>
      <c r="D70" s="8"/>
      <c r="E70" s="8"/>
      <c r="F70" s="8"/>
      <c r="G70" s="8"/>
      <c r="H70" s="775"/>
      <c r="I70" s="775"/>
      <c r="J70" s="775"/>
      <c r="K70" s="8"/>
      <c r="L70" s="19" t="s">
        <v>730</v>
      </c>
      <c r="M70" s="8"/>
      <c r="N70" s="8"/>
      <c r="O70" s="8"/>
      <c r="P70" s="8"/>
      <c r="Q70" s="8"/>
      <c r="R70" s="8"/>
      <c r="S70" s="775"/>
      <c r="T70" s="775"/>
      <c r="U70" s="927"/>
      <c r="V70" s="19" t="s">
        <v>751</v>
      </c>
      <c r="W70" s="8"/>
      <c r="X70" s="8"/>
      <c r="Y70" s="8"/>
      <c r="Z70" s="8"/>
      <c r="AA70" s="8"/>
      <c r="AB70" s="8"/>
      <c r="AC70" s="775"/>
      <c r="AD70" s="775"/>
      <c r="AE70" s="933"/>
      <c r="AF70" s="387"/>
      <c r="AG70" s="352"/>
    </row>
    <row r="71" spans="2:33" ht="19.5" customHeight="1" thickBot="1" x14ac:dyDescent="0.35">
      <c r="B71" s="91" t="s">
        <v>731</v>
      </c>
      <c r="C71" s="92"/>
      <c r="D71" s="92"/>
      <c r="E71" s="92"/>
      <c r="F71" s="92"/>
      <c r="G71" s="92"/>
      <c r="H71" s="791"/>
      <c r="I71" s="791"/>
      <c r="J71" s="791"/>
      <c r="K71" s="92"/>
      <c r="L71" s="93" t="s">
        <v>732</v>
      </c>
      <c r="M71" s="92"/>
      <c r="N71" s="92"/>
      <c r="O71" s="92"/>
      <c r="P71" s="92"/>
      <c r="Q71" s="92"/>
      <c r="R71" s="92"/>
      <c r="S71" s="791"/>
      <c r="T71" s="791"/>
      <c r="U71" s="929"/>
      <c r="V71" s="85" t="s">
        <v>733</v>
      </c>
      <c r="W71" s="84"/>
      <c r="X71" s="84"/>
      <c r="Y71" s="84"/>
      <c r="Z71" s="84"/>
      <c r="AA71" s="84"/>
      <c r="AB71" s="84"/>
      <c r="AC71" s="931"/>
      <c r="AD71" s="931"/>
      <c r="AE71" s="932"/>
      <c r="AF71" s="387"/>
      <c r="AG71" s="352"/>
    </row>
    <row r="72" spans="2:33" ht="9.75" customHeight="1" thickTop="1" x14ac:dyDescent="0.2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row>
    <row r="73" spans="2:33" ht="21.75" customHeight="1" x14ac:dyDescent="0.25">
      <c r="B73" s="121" t="s">
        <v>543</v>
      </c>
      <c r="C73" s="94"/>
      <c r="D73" s="94"/>
      <c r="E73" s="362"/>
      <c r="F73" s="919" t="s">
        <v>2534</v>
      </c>
      <c r="G73" s="919"/>
      <c r="H73" s="919"/>
      <c r="I73" s="919"/>
      <c r="J73" s="919"/>
      <c r="K73" s="919"/>
      <c r="L73" s="919"/>
      <c r="M73" s="919"/>
      <c r="N73" s="919"/>
      <c r="O73" s="919"/>
      <c r="P73" s="919"/>
      <c r="Q73" s="919"/>
      <c r="R73" s="919"/>
      <c r="S73" s="919"/>
      <c r="T73" s="919"/>
      <c r="U73" s="919"/>
      <c r="V73" s="919"/>
      <c r="W73" s="919"/>
      <c r="X73" s="919"/>
      <c r="Y73" s="919"/>
      <c r="Z73" s="919"/>
      <c r="AA73" s="919"/>
      <c r="AB73" s="919"/>
      <c r="AC73" s="919"/>
      <c r="AD73" s="919"/>
      <c r="AE73" s="919"/>
    </row>
    <row r="74" spans="2:33" ht="9.75" customHeight="1" x14ac:dyDescent="0.25">
      <c r="B74" s="15"/>
      <c r="C74" s="15"/>
      <c r="D74" s="15"/>
      <c r="E74" s="15"/>
      <c r="F74" s="79"/>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row>
    <row r="75" spans="2:33" ht="21.75" customHeight="1" x14ac:dyDescent="0.25">
      <c r="B75" s="928"/>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928"/>
    </row>
    <row r="76" spans="2:33" ht="9.75" customHeight="1" x14ac:dyDescent="0.25">
      <c r="B76" s="79"/>
      <c r="C76" s="79"/>
      <c r="D76" s="79"/>
      <c r="E76" s="79"/>
      <c r="F76" s="79"/>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row>
    <row r="77" spans="2:33" ht="21.75" customHeight="1" x14ac:dyDescent="0.25">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28"/>
    </row>
    <row r="78" spans="2:33" ht="9.75" customHeight="1" x14ac:dyDescent="0.25">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2:33" ht="20.100000000000001" customHeight="1" x14ac:dyDescent="0.25">
      <c r="B79" s="808" t="s">
        <v>734</v>
      </c>
      <c r="C79" s="653"/>
      <c r="D79" s="653"/>
      <c r="E79" s="653"/>
      <c r="F79" s="653"/>
      <c r="G79" s="653"/>
      <c r="H79" s="653"/>
      <c r="I79" s="653"/>
      <c r="J79" s="653"/>
      <c r="K79" s="653"/>
      <c r="L79" s="653"/>
      <c r="M79" s="653"/>
      <c r="N79" s="653"/>
      <c r="O79" s="653"/>
      <c r="P79" s="653"/>
      <c r="Q79" s="653"/>
      <c r="R79" s="653"/>
      <c r="S79" s="653"/>
      <c r="T79" s="653"/>
      <c r="U79" s="653"/>
      <c r="V79" s="653"/>
      <c r="W79" s="653"/>
      <c r="X79" s="653"/>
      <c r="Y79" s="653"/>
      <c r="Z79" s="653"/>
      <c r="AA79" s="653"/>
      <c r="AB79" s="653"/>
      <c r="AC79" s="653"/>
      <c r="AD79" s="653"/>
      <c r="AE79" s="653"/>
    </row>
    <row r="80" spans="2:33" x14ac:dyDescent="0.25">
      <c r="B80" s="920"/>
      <c r="C80" s="920"/>
      <c r="D80" s="920"/>
      <c r="E80" s="920"/>
      <c r="F80" s="920"/>
      <c r="G80" s="920"/>
      <c r="H80" s="920"/>
      <c r="I80" s="920"/>
      <c r="J80" s="920"/>
      <c r="K80" s="920"/>
      <c r="L80" s="920"/>
      <c r="M80" s="920"/>
      <c r="N80" s="920"/>
      <c r="O80" s="920"/>
      <c r="P80" s="920"/>
      <c r="Q80" s="920"/>
      <c r="R80" s="920"/>
      <c r="S80" s="920"/>
      <c r="T80" s="920"/>
      <c r="U80" s="920"/>
      <c r="V80" s="920"/>
      <c r="W80" s="920"/>
      <c r="X80" s="920"/>
      <c r="Y80" s="920"/>
      <c r="Z80" s="920"/>
      <c r="AA80" s="920"/>
      <c r="AB80" s="920"/>
      <c r="AC80" s="920"/>
      <c r="AD80" s="920"/>
      <c r="AE80" s="920"/>
    </row>
    <row r="81" spans="2:31" x14ac:dyDescent="0.25">
      <c r="B81" s="920"/>
      <c r="C81" s="920"/>
      <c r="D81" s="920"/>
      <c r="E81" s="920"/>
      <c r="F81" s="920"/>
      <c r="G81" s="920"/>
      <c r="H81" s="920"/>
      <c r="I81" s="920"/>
      <c r="J81" s="920"/>
      <c r="K81" s="920"/>
      <c r="L81" s="920"/>
      <c r="M81" s="920"/>
      <c r="N81" s="920"/>
      <c r="O81" s="920"/>
      <c r="P81" s="920"/>
      <c r="Q81" s="920"/>
      <c r="R81" s="920"/>
      <c r="S81" s="920"/>
      <c r="T81" s="920"/>
      <c r="U81" s="920"/>
      <c r="V81" s="920"/>
      <c r="W81" s="920"/>
      <c r="X81" s="920"/>
      <c r="Y81" s="920"/>
      <c r="Z81" s="920"/>
      <c r="AA81" s="920"/>
      <c r="AB81" s="920"/>
      <c r="AC81" s="920"/>
      <c r="AD81" s="920"/>
      <c r="AE81" s="920"/>
    </row>
    <row r="82" spans="2:31" x14ac:dyDescent="0.25">
      <c r="B82" s="920"/>
      <c r="C82" s="920"/>
      <c r="D82" s="920"/>
      <c r="E82" s="920"/>
      <c r="F82" s="920"/>
      <c r="G82" s="920"/>
      <c r="H82" s="920"/>
      <c r="I82" s="920"/>
      <c r="J82" s="920"/>
      <c r="K82" s="920"/>
      <c r="L82" s="920"/>
      <c r="M82" s="920"/>
      <c r="N82" s="920"/>
      <c r="O82" s="920"/>
      <c r="P82" s="920"/>
      <c r="Q82" s="920"/>
      <c r="R82" s="920"/>
      <c r="S82" s="920"/>
      <c r="T82" s="920"/>
      <c r="U82" s="920"/>
      <c r="V82" s="920"/>
      <c r="W82" s="920"/>
      <c r="X82" s="920"/>
      <c r="Y82" s="920"/>
      <c r="Z82" s="920"/>
      <c r="AA82" s="920"/>
      <c r="AB82" s="920"/>
      <c r="AC82" s="920"/>
      <c r="AD82" s="920"/>
      <c r="AE82" s="920"/>
    </row>
    <row r="83" spans="2:31" x14ac:dyDescent="0.25">
      <c r="B83" s="920"/>
      <c r="C83" s="920"/>
      <c r="D83" s="920"/>
      <c r="E83" s="920"/>
      <c r="F83" s="920"/>
      <c r="G83" s="920"/>
      <c r="H83" s="920"/>
      <c r="I83" s="920"/>
      <c r="J83" s="920"/>
      <c r="K83" s="920"/>
      <c r="L83" s="920"/>
      <c r="M83" s="920"/>
      <c r="N83" s="920"/>
      <c r="O83" s="920"/>
      <c r="P83" s="920"/>
      <c r="Q83" s="920"/>
      <c r="R83" s="920"/>
      <c r="S83" s="920"/>
      <c r="T83" s="920"/>
      <c r="U83" s="920"/>
      <c r="V83" s="920"/>
      <c r="W83" s="920"/>
      <c r="X83" s="920"/>
      <c r="Y83" s="920"/>
      <c r="Z83" s="920"/>
      <c r="AA83" s="920"/>
      <c r="AB83" s="920"/>
      <c r="AC83" s="920"/>
      <c r="AD83" s="920"/>
      <c r="AE83" s="920"/>
    </row>
    <row r="84" spans="2:31" x14ac:dyDescent="0.25">
      <c r="B84" s="920"/>
      <c r="C84" s="920"/>
      <c r="D84" s="920"/>
      <c r="E84" s="920"/>
      <c r="F84" s="920"/>
      <c r="G84" s="920"/>
      <c r="H84" s="920"/>
      <c r="I84" s="920"/>
      <c r="J84" s="920"/>
      <c r="K84" s="920"/>
      <c r="L84" s="920"/>
      <c r="M84" s="920"/>
      <c r="N84" s="920"/>
      <c r="O84" s="920"/>
      <c r="P84" s="920"/>
      <c r="Q84" s="920"/>
      <c r="R84" s="920"/>
      <c r="S84" s="920"/>
      <c r="T84" s="920"/>
      <c r="U84" s="920"/>
      <c r="V84" s="920"/>
      <c r="W84" s="920"/>
      <c r="X84" s="920"/>
      <c r="Y84" s="920"/>
      <c r="Z84" s="920"/>
      <c r="AA84" s="920"/>
      <c r="AB84" s="920"/>
      <c r="AC84" s="920"/>
      <c r="AD84" s="920"/>
      <c r="AE84" s="920"/>
    </row>
    <row r="85" spans="2:31" x14ac:dyDescent="0.25">
      <c r="B85" s="920"/>
      <c r="C85" s="920"/>
      <c r="D85" s="920"/>
      <c r="E85" s="920"/>
      <c r="F85" s="920"/>
      <c r="G85" s="920"/>
      <c r="H85" s="920"/>
      <c r="I85" s="920"/>
      <c r="J85" s="920"/>
      <c r="K85" s="920"/>
      <c r="L85" s="920"/>
      <c r="M85" s="920"/>
      <c r="N85" s="920"/>
      <c r="O85" s="920"/>
      <c r="P85" s="920"/>
      <c r="Q85" s="920"/>
      <c r="R85" s="920"/>
      <c r="S85" s="920"/>
      <c r="T85" s="920"/>
      <c r="U85" s="920"/>
      <c r="V85" s="920"/>
      <c r="W85" s="920"/>
      <c r="X85" s="920"/>
      <c r="Y85" s="920"/>
      <c r="Z85" s="920"/>
      <c r="AA85" s="920"/>
      <c r="AB85" s="920"/>
      <c r="AC85" s="920"/>
      <c r="AD85" s="920"/>
      <c r="AE85" s="920"/>
    </row>
    <row r="86" spans="2:31" x14ac:dyDescent="0.25">
      <c r="B86" s="920"/>
      <c r="C86" s="920"/>
      <c r="D86" s="920"/>
      <c r="E86" s="920"/>
      <c r="F86" s="920"/>
      <c r="G86" s="920"/>
      <c r="H86" s="920"/>
      <c r="I86" s="920"/>
      <c r="J86" s="920"/>
      <c r="K86" s="920"/>
      <c r="L86" s="920"/>
      <c r="M86" s="920"/>
      <c r="N86" s="920"/>
      <c r="O86" s="920"/>
      <c r="P86" s="920"/>
      <c r="Q86" s="920"/>
      <c r="R86" s="920"/>
      <c r="S86" s="920"/>
      <c r="T86" s="920"/>
      <c r="U86" s="920"/>
      <c r="V86" s="920"/>
      <c r="W86" s="920"/>
      <c r="X86" s="920"/>
      <c r="Y86" s="920"/>
      <c r="Z86" s="920"/>
      <c r="AA86" s="920"/>
      <c r="AB86" s="920"/>
      <c r="AC86" s="920"/>
      <c r="AD86" s="920"/>
      <c r="AE86" s="920"/>
    </row>
    <row r="87" spans="2:31" x14ac:dyDescent="0.25">
      <c r="B87" s="920"/>
      <c r="C87" s="920"/>
      <c r="D87" s="920"/>
      <c r="E87" s="920"/>
      <c r="F87" s="920"/>
      <c r="G87" s="920"/>
      <c r="H87" s="920"/>
      <c r="I87" s="920"/>
      <c r="J87" s="920"/>
      <c r="K87" s="920"/>
      <c r="L87" s="920"/>
      <c r="M87" s="920"/>
      <c r="N87" s="920"/>
      <c r="O87" s="920"/>
      <c r="P87" s="920"/>
      <c r="Q87" s="920"/>
      <c r="R87" s="920"/>
      <c r="S87" s="920"/>
      <c r="T87" s="920"/>
      <c r="U87" s="920"/>
      <c r="V87" s="920"/>
      <c r="W87" s="920"/>
      <c r="X87" s="920"/>
      <c r="Y87" s="920"/>
      <c r="Z87" s="920"/>
      <c r="AA87" s="920"/>
      <c r="AB87" s="920"/>
      <c r="AC87" s="920"/>
      <c r="AD87" s="920"/>
      <c r="AE87" s="920"/>
    </row>
    <row r="88" spans="2:31" x14ac:dyDescent="0.25">
      <c r="B88" s="920"/>
      <c r="C88" s="920"/>
      <c r="D88" s="920"/>
      <c r="E88" s="920"/>
      <c r="F88" s="920"/>
      <c r="G88" s="920"/>
      <c r="H88" s="920"/>
      <c r="I88" s="920"/>
      <c r="J88" s="920"/>
      <c r="K88" s="920"/>
      <c r="L88" s="920"/>
      <c r="M88" s="920"/>
      <c r="N88" s="920"/>
      <c r="O88" s="920"/>
      <c r="P88" s="920"/>
      <c r="Q88" s="920"/>
      <c r="R88" s="920"/>
      <c r="S88" s="920"/>
      <c r="T88" s="920"/>
      <c r="U88" s="920"/>
      <c r="V88" s="920"/>
      <c r="W88" s="920"/>
      <c r="X88" s="920"/>
      <c r="Y88" s="920"/>
      <c r="Z88" s="920"/>
      <c r="AA88" s="920"/>
      <c r="AB88" s="920"/>
      <c r="AC88" s="920"/>
      <c r="AD88" s="920"/>
      <c r="AE88" s="920"/>
    </row>
    <row r="89" spans="2:31" x14ac:dyDescent="0.25">
      <c r="B89" s="920"/>
      <c r="C89" s="920"/>
      <c r="D89" s="920"/>
      <c r="E89" s="920"/>
      <c r="F89" s="920"/>
      <c r="G89" s="920"/>
      <c r="H89" s="920"/>
      <c r="I89" s="920"/>
      <c r="J89" s="920"/>
      <c r="K89" s="920"/>
      <c r="L89" s="920"/>
      <c r="M89" s="920"/>
      <c r="N89" s="920"/>
      <c r="O89" s="920"/>
      <c r="P89" s="920"/>
      <c r="Q89" s="920"/>
      <c r="R89" s="920"/>
      <c r="S89" s="920"/>
      <c r="T89" s="920"/>
      <c r="U89" s="920"/>
      <c r="V89" s="920"/>
      <c r="W89" s="920"/>
      <c r="X89" s="920"/>
      <c r="Y89" s="920"/>
      <c r="Z89" s="920"/>
      <c r="AA89" s="920"/>
      <c r="AB89" s="920"/>
      <c r="AC89" s="920"/>
      <c r="AD89" s="920"/>
      <c r="AE89" s="920"/>
    </row>
    <row r="90" spans="2:31" x14ac:dyDescent="0.25">
      <c r="B90" s="920"/>
      <c r="C90" s="920"/>
      <c r="D90" s="920"/>
      <c r="E90" s="920"/>
      <c r="F90" s="920"/>
      <c r="G90" s="920"/>
      <c r="H90" s="920"/>
      <c r="I90" s="920"/>
      <c r="J90" s="920"/>
      <c r="K90" s="920"/>
      <c r="L90" s="920"/>
      <c r="M90" s="920"/>
      <c r="N90" s="920"/>
      <c r="O90" s="920"/>
      <c r="P90" s="920"/>
      <c r="Q90" s="920"/>
      <c r="R90" s="920"/>
      <c r="S90" s="920"/>
      <c r="T90" s="920"/>
      <c r="U90" s="920"/>
      <c r="V90" s="920"/>
      <c r="W90" s="920"/>
      <c r="X90" s="920"/>
      <c r="Y90" s="920"/>
      <c r="Z90" s="920"/>
      <c r="AA90" s="920"/>
      <c r="AB90" s="920"/>
      <c r="AC90" s="920"/>
      <c r="AD90" s="920"/>
      <c r="AE90" s="920"/>
    </row>
    <row r="91" spans="2:31" x14ac:dyDescent="0.25">
      <c r="B91" s="920"/>
      <c r="C91" s="920"/>
      <c r="D91" s="920"/>
      <c r="E91" s="920"/>
      <c r="F91" s="920"/>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0"/>
    </row>
    <row r="92" spans="2:31" x14ac:dyDescent="0.25">
      <c r="B92" s="920"/>
      <c r="C92" s="920"/>
      <c r="D92" s="920"/>
      <c r="E92" s="920"/>
      <c r="F92" s="920"/>
      <c r="G92" s="920"/>
      <c r="H92" s="920"/>
      <c r="I92" s="920"/>
      <c r="J92" s="920"/>
      <c r="K92" s="920"/>
      <c r="L92" s="920"/>
      <c r="M92" s="920"/>
      <c r="N92" s="920"/>
      <c r="O92" s="920"/>
      <c r="P92" s="920"/>
      <c r="Q92" s="920"/>
      <c r="R92" s="920"/>
      <c r="S92" s="920"/>
      <c r="T92" s="920"/>
      <c r="U92" s="920"/>
      <c r="V92" s="920"/>
      <c r="W92" s="920"/>
      <c r="X92" s="920"/>
      <c r="Y92" s="920"/>
      <c r="Z92" s="920"/>
      <c r="AA92" s="920"/>
      <c r="AB92" s="920"/>
      <c r="AC92" s="920"/>
      <c r="AD92" s="920"/>
      <c r="AE92" s="920"/>
    </row>
    <row r="93" spans="2:31" x14ac:dyDescent="0.25">
      <c r="B93" s="920"/>
      <c r="C93" s="920"/>
      <c r="D93" s="920"/>
      <c r="E93" s="920"/>
      <c r="F93" s="920"/>
      <c r="G93" s="920"/>
      <c r="H93" s="920"/>
      <c r="I93" s="920"/>
      <c r="J93" s="920"/>
      <c r="K93" s="920"/>
      <c r="L93" s="920"/>
      <c r="M93" s="920"/>
      <c r="N93" s="920"/>
      <c r="O93" s="920"/>
      <c r="P93" s="920"/>
      <c r="Q93" s="920"/>
      <c r="R93" s="920"/>
      <c r="S93" s="920"/>
      <c r="T93" s="920"/>
      <c r="U93" s="920"/>
      <c r="V93" s="920"/>
      <c r="W93" s="920"/>
      <c r="X93" s="920"/>
      <c r="Y93" s="920"/>
      <c r="Z93" s="920"/>
      <c r="AA93" s="920"/>
      <c r="AB93" s="920"/>
      <c r="AC93" s="920"/>
      <c r="AD93" s="920"/>
      <c r="AE93" s="920"/>
    </row>
    <row r="94" spans="2:31" x14ac:dyDescent="0.25">
      <c r="B94" s="920"/>
      <c r="C94" s="920"/>
      <c r="D94" s="920"/>
      <c r="E94" s="920"/>
      <c r="F94" s="920"/>
      <c r="G94" s="920"/>
      <c r="H94" s="920"/>
      <c r="I94" s="920"/>
      <c r="J94" s="920"/>
      <c r="K94" s="920"/>
      <c r="L94" s="920"/>
      <c r="M94" s="920"/>
      <c r="N94" s="920"/>
      <c r="O94" s="920"/>
      <c r="P94" s="920"/>
      <c r="Q94" s="920"/>
      <c r="R94" s="920"/>
      <c r="S94" s="920"/>
      <c r="T94" s="920"/>
      <c r="U94" s="920"/>
      <c r="V94" s="920"/>
      <c r="W94" s="920"/>
      <c r="X94" s="920"/>
      <c r="Y94" s="920"/>
      <c r="Z94" s="920"/>
      <c r="AA94" s="920"/>
      <c r="AB94" s="920"/>
      <c r="AC94" s="920"/>
      <c r="AD94" s="920"/>
      <c r="AE94" s="920"/>
    </row>
    <row r="95" spans="2:31" x14ac:dyDescent="0.25">
      <c r="B95" s="920"/>
      <c r="C95" s="920"/>
      <c r="D95" s="920"/>
      <c r="E95" s="920"/>
      <c r="F95" s="920"/>
      <c r="G95" s="920"/>
      <c r="H95" s="920"/>
      <c r="I95" s="920"/>
      <c r="J95" s="920"/>
      <c r="K95" s="920"/>
      <c r="L95" s="920"/>
      <c r="M95" s="920"/>
      <c r="N95" s="920"/>
      <c r="O95" s="920"/>
      <c r="P95" s="920"/>
      <c r="Q95" s="920"/>
      <c r="R95" s="920"/>
      <c r="S95" s="920"/>
      <c r="T95" s="920"/>
      <c r="U95" s="920"/>
      <c r="V95" s="920"/>
      <c r="W95" s="920"/>
      <c r="X95" s="920"/>
      <c r="Y95" s="920"/>
      <c r="Z95" s="920"/>
      <c r="AA95" s="920"/>
      <c r="AB95" s="920"/>
      <c r="AC95" s="920"/>
      <c r="AD95" s="920"/>
      <c r="AE95" s="920"/>
    </row>
    <row r="96" spans="2:31" x14ac:dyDescent="0.25">
      <c r="B96" s="920"/>
      <c r="C96" s="920"/>
      <c r="D96" s="920"/>
      <c r="E96" s="920"/>
      <c r="F96" s="920"/>
      <c r="G96" s="920"/>
      <c r="H96" s="920"/>
      <c r="I96" s="920"/>
      <c r="J96" s="920"/>
      <c r="K96" s="920"/>
      <c r="L96" s="920"/>
      <c r="M96" s="920"/>
      <c r="N96" s="920"/>
      <c r="O96" s="920"/>
      <c r="P96" s="920"/>
      <c r="Q96" s="920"/>
      <c r="R96" s="920"/>
      <c r="S96" s="920"/>
      <c r="T96" s="920"/>
      <c r="U96" s="920"/>
      <c r="V96" s="920"/>
      <c r="W96" s="920"/>
      <c r="X96" s="920"/>
      <c r="Y96" s="920"/>
      <c r="Z96" s="920"/>
      <c r="AA96" s="920"/>
      <c r="AB96" s="920"/>
      <c r="AC96" s="920"/>
      <c r="AD96" s="920"/>
      <c r="AE96" s="920"/>
    </row>
    <row r="97" spans="2:31" x14ac:dyDescent="0.25">
      <c r="B97" s="920"/>
      <c r="C97" s="920"/>
      <c r="D97" s="920"/>
      <c r="E97" s="920"/>
      <c r="F97" s="920"/>
      <c r="G97" s="920"/>
      <c r="H97" s="920"/>
      <c r="I97" s="920"/>
      <c r="J97" s="920"/>
      <c r="K97" s="920"/>
      <c r="L97" s="920"/>
      <c r="M97" s="920"/>
      <c r="N97" s="920"/>
      <c r="O97" s="920"/>
      <c r="P97" s="920"/>
      <c r="Q97" s="920"/>
      <c r="R97" s="920"/>
      <c r="S97" s="920"/>
      <c r="T97" s="920"/>
      <c r="U97" s="920"/>
      <c r="V97" s="920"/>
      <c r="W97" s="920"/>
      <c r="X97" s="920"/>
      <c r="Y97" s="920"/>
      <c r="Z97" s="920"/>
      <c r="AA97" s="920"/>
      <c r="AB97" s="920"/>
      <c r="AC97" s="920"/>
      <c r="AD97" s="920"/>
      <c r="AE97" s="920"/>
    </row>
    <row r="98" spans="2:31" x14ac:dyDescent="0.25">
      <c r="B98" s="920"/>
      <c r="C98" s="920"/>
      <c r="D98" s="920"/>
      <c r="E98" s="920"/>
      <c r="F98" s="920"/>
      <c r="G98" s="920"/>
      <c r="H98" s="920"/>
      <c r="I98" s="920"/>
      <c r="J98" s="920"/>
      <c r="K98" s="920"/>
      <c r="L98" s="920"/>
      <c r="M98" s="920"/>
      <c r="N98" s="920"/>
      <c r="O98" s="920"/>
      <c r="P98" s="920"/>
      <c r="Q98" s="920"/>
      <c r="R98" s="920"/>
      <c r="S98" s="920"/>
      <c r="T98" s="920"/>
      <c r="U98" s="920"/>
      <c r="V98" s="920"/>
      <c r="W98" s="920"/>
      <c r="X98" s="920"/>
      <c r="Y98" s="920"/>
      <c r="Z98" s="920"/>
      <c r="AA98" s="920"/>
      <c r="AB98" s="920"/>
      <c r="AC98" s="920"/>
      <c r="AD98" s="920"/>
      <c r="AE98" s="920"/>
    </row>
    <row r="99" spans="2:31" x14ac:dyDescent="0.25">
      <c r="B99" s="920"/>
      <c r="C99" s="920"/>
      <c r="D99" s="920"/>
      <c r="E99" s="920"/>
      <c r="F99" s="920"/>
      <c r="G99" s="920"/>
      <c r="H99" s="920"/>
      <c r="I99" s="920"/>
      <c r="J99" s="920"/>
      <c r="K99" s="920"/>
      <c r="L99" s="920"/>
      <c r="M99" s="920"/>
      <c r="N99" s="920"/>
      <c r="O99" s="920"/>
      <c r="P99" s="920"/>
      <c r="Q99" s="920"/>
      <c r="R99" s="920"/>
      <c r="S99" s="920"/>
      <c r="T99" s="920"/>
      <c r="U99" s="920"/>
      <c r="V99" s="920"/>
      <c r="W99" s="920"/>
      <c r="X99" s="920"/>
      <c r="Y99" s="920"/>
      <c r="Z99" s="920"/>
      <c r="AA99" s="920"/>
      <c r="AB99" s="920"/>
      <c r="AC99" s="920"/>
      <c r="AD99" s="920"/>
      <c r="AE99" s="920"/>
    </row>
    <row r="100" spans="2:31" ht="12" customHeight="1" x14ac:dyDescent="0.25">
      <c r="B100" s="921"/>
      <c r="C100" s="921"/>
      <c r="D100" s="921"/>
      <c r="E100" s="921"/>
      <c r="F100" s="921"/>
      <c r="G100" s="921"/>
      <c r="H100" s="921"/>
      <c r="I100" s="921"/>
      <c r="J100" s="921"/>
      <c r="K100" s="921"/>
      <c r="L100" s="921"/>
      <c r="M100" s="921"/>
      <c r="N100" s="921"/>
      <c r="O100" s="921"/>
      <c r="P100" s="921"/>
      <c r="Q100" s="921"/>
      <c r="R100" s="921"/>
      <c r="S100" s="921"/>
      <c r="T100" s="921"/>
      <c r="U100" s="921"/>
      <c r="V100" s="921"/>
      <c r="W100" s="921"/>
      <c r="X100" s="921"/>
      <c r="Y100" s="921"/>
      <c r="Z100" s="921"/>
      <c r="AA100" s="921"/>
      <c r="AB100" s="921"/>
      <c r="AC100" s="921"/>
      <c r="AD100" s="921"/>
      <c r="AE100" s="921"/>
    </row>
    <row r="101" spans="2:31" ht="12" customHeight="1" x14ac:dyDescent="0.25">
      <c r="B101" s="921"/>
      <c r="C101" s="921"/>
      <c r="D101" s="921"/>
      <c r="E101" s="921"/>
      <c r="F101" s="921"/>
      <c r="G101" s="921"/>
      <c r="H101" s="921"/>
      <c r="I101" s="921"/>
      <c r="J101" s="921"/>
      <c r="K101" s="921"/>
      <c r="L101" s="921"/>
      <c r="M101" s="921"/>
      <c r="N101" s="921"/>
      <c r="O101" s="921"/>
      <c r="P101" s="921"/>
      <c r="Q101" s="921"/>
      <c r="R101" s="921"/>
      <c r="S101" s="921"/>
      <c r="T101" s="921"/>
      <c r="U101" s="921"/>
      <c r="V101" s="921"/>
      <c r="W101" s="921"/>
      <c r="X101" s="921"/>
      <c r="Y101" s="921"/>
      <c r="Z101" s="921"/>
      <c r="AA101" s="921"/>
      <c r="AB101" s="921"/>
      <c r="AC101" s="921"/>
      <c r="AD101" s="921"/>
      <c r="AE101" s="921"/>
    </row>
    <row r="102" spans="2:31" ht="12" customHeight="1" x14ac:dyDescent="0.25">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1"/>
    </row>
    <row r="103" spans="2:31" ht="12" customHeight="1" x14ac:dyDescent="0.25">
      <c r="B103" s="41" t="s">
        <v>2510</v>
      </c>
      <c r="C103" s="651"/>
      <c r="D103" s="651"/>
      <c r="E103" s="651"/>
      <c r="F103" s="651"/>
      <c r="G103" s="651"/>
      <c r="H103" s="651"/>
      <c r="I103" s="651"/>
      <c r="J103" s="651"/>
      <c r="K103" s="651"/>
      <c r="L103" s="651"/>
      <c r="N103" s="651"/>
      <c r="O103" s="651"/>
      <c r="P103" s="651"/>
      <c r="S103" s="645"/>
      <c r="T103" s="645"/>
      <c r="U103" s="645"/>
      <c r="V103" s="41" t="s">
        <v>1520</v>
      </c>
      <c r="W103" s="644"/>
      <c r="X103" s="644"/>
      <c r="Y103" s="644"/>
      <c r="Z103" s="644"/>
      <c r="AA103" s="644"/>
      <c r="AB103" s="644"/>
      <c r="AC103" s="644"/>
      <c r="AD103" s="644"/>
      <c r="AE103" s="644"/>
    </row>
    <row r="104" spans="2:31" ht="12" customHeight="1" x14ac:dyDescent="0.25">
      <c r="B104" s="41" t="s">
        <v>2511</v>
      </c>
      <c r="C104" s="651"/>
      <c r="D104" s="651"/>
      <c r="E104" s="651"/>
      <c r="F104" s="651"/>
      <c r="G104" s="651"/>
      <c r="H104" s="651"/>
      <c r="I104" s="651"/>
      <c r="J104" s="651"/>
      <c r="K104" s="651"/>
      <c r="L104" s="651"/>
      <c r="N104" s="651"/>
      <c r="O104" s="651"/>
      <c r="P104" s="651"/>
      <c r="S104" s="645"/>
      <c r="T104" s="645"/>
      <c r="U104" s="645"/>
      <c r="V104" s="41" t="s">
        <v>1521</v>
      </c>
      <c r="W104" s="644"/>
      <c r="X104" s="644"/>
      <c r="Y104" s="644"/>
      <c r="Z104" s="644"/>
      <c r="AA104" s="644"/>
      <c r="AB104" s="644"/>
      <c r="AC104" s="644"/>
      <c r="AD104" s="644"/>
      <c r="AE104" s="644"/>
    </row>
    <row r="105" spans="2:31" ht="12" customHeight="1" x14ac:dyDescent="0.25">
      <c r="B105" s="41" t="s">
        <v>2512</v>
      </c>
      <c r="C105" s="80"/>
      <c r="D105" s="80"/>
      <c r="E105" s="80"/>
      <c r="F105" s="80"/>
      <c r="G105" s="80"/>
      <c r="H105" s="80"/>
      <c r="I105" s="80"/>
      <c r="J105" s="80"/>
      <c r="K105" s="80"/>
      <c r="L105" s="80"/>
      <c r="M105" s="80"/>
      <c r="N105" s="80"/>
      <c r="O105" s="80"/>
      <c r="P105" s="80"/>
      <c r="S105" s="645"/>
      <c r="T105" s="645"/>
      <c r="U105" s="645"/>
      <c r="V105" s="644"/>
      <c r="W105" s="644"/>
      <c r="X105" s="644"/>
      <c r="Y105" s="644"/>
      <c r="Z105" s="644"/>
      <c r="AA105" s="644"/>
      <c r="AB105" s="644"/>
      <c r="AC105" s="644"/>
      <c r="AD105" s="644"/>
      <c r="AE105" s="644"/>
    </row>
    <row r="106" spans="2:31" x14ac:dyDescent="0.25">
      <c r="V106" s="644"/>
      <c r="W106" s="644"/>
      <c r="X106" s="644"/>
      <c r="Y106" s="644"/>
      <c r="Z106" s="644"/>
      <c r="AA106" s="644"/>
      <c r="AB106" s="644"/>
      <c r="AC106" s="644"/>
      <c r="AD106" s="644"/>
      <c r="AE106" s="644"/>
    </row>
    <row r="107" spans="2:31" ht="12.75" customHeight="1" x14ac:dyDescent="0.25">
      <c r="B107" s="41" t="s">
        <v>2513</v>
      </c>
      <c r="V107" s="644"/>
      <c r="W107" s="644"/>
      <c r="X107" s="644"/>
      <c r="Y107" s="644"/>
      <c r="Z107" s="644"/>
      <c r="AA107" s="644"/>
      <c r="AB107" s="644"/>
      <c r="AC107" s="644"/>
      <c r="AD107" s="644"/>
      <c r="AE107" s="644"/>
    </row>
    <row r="108" spans="2:31" x14ac:dyDescent="0.25">
      <c r="B108" s="41" t="s">
        <v>2514</v>
      </c>
      <c r="V108" s="644"/>
      <c r="W108" s="644"/>
      <c r="X108" s="644"/>
      <c r="Y108" s="644"/>
      <c r="Z108" s="644"/>
      <c r="AA108" s="644"/>
      <c r="AB108" s="644"/>
      <c r="AC108" s="644"/>
      <c r="AD108" s="644"/>
      <c r="AE108" s="644"/>
    </row>
    <row r="109" spans="2:31" x14ac:dyDescent="0.25">
      <c r="B109" s="41" t="s">
        <v>2515</v>
      </c>
    </row>
    <row r="110" spans="2:31" x14ac:dyDescent="0.25">
      <c r="B110" s="41" t="s">
        <v>2516</v>
      </c>
    </row>
    <row r="120" spans="32:33" x14ac:dyDescent="0.25">
      <c r="AF120" s="136"/>
      <c r="AG120" s="136"/>
    </row>
    <row r="121" spans="32:33" x14ac:dyDescent="0.25">
      <c r="AF121" s="136"/>
      <c r="AG121" s="136"/>
    </row>
    <row r="129" spans="2:2" x14ac:dyDescent="0.25">
      <c r="B129" s="16"/>
    </row>
  </sheetData>
  <mergeCells count="336">
    <mergeCell ref="I37:J37"/>
    <mergeCell ref="E33:F33"/>
    <mergeCell ref="Q45:V45"/>
    <mergeCell ref="T33:U33"/>
    <mergeCell ref="T34:U34"/>
    <mergeCell ref="Q33:R33"/>
    <mergeCell ref="B28:H28"/>
    <mergeCell ref="K29:L29"/>
    <mergeCell ref="B5:G5"/>
    <mergeCell ref="H19:I19"/>
    <mergeCell ref="I6:L6"/>
    <mergeCell ref="H13:I13"/>
    <mergeCell ref="B13:G13"/>
    <mergeCell ref="L19:S19"/>
    <mergeCell ref="J19:K19"/>
    <mergeCell ref="D42:G42"/>
    <mergeCell ref="H44:J44"/>
    <mergeCell ref="B44:G44"/>
    <mergeCell ref="E38:F38"/>
    <mergeCell ref="T32:U32"/>
    <mergeCell ref="Q32:R32"/>
    <mergeCell ref="U9:W9"/>
    <mergeCell ref="S23:T24"/>
    <mergeCell ref="W22:X22"/>
    <mergeCell ref="W45:Y45"/>
    <mergeCell ref="Z44:AB44"/>
    <mergeCell ref="K42:M42"/>
    <mergeCell ref="AC48:AE48"/>
    <mergeCell ref="AC47:AE47"/>
    <mergeCell ref="S6:T6"/>
    <mergeCell ref="S5:T5"/>
    <mergeCell ref="Q6:R6"/>
    <mergeCell ref="K30:L30"/>
    <mergeCell ref="M29:O29"/>
    <mergeCell ref="S36:T36"/>
    <mergeCell ref="M38:Q38"/>
    <mergeCell ref="K43:M43"/>
    <mergeCell ref="N44:P44"/>
    <mergeCell ref="AC46:AE46"/>
    <mergeCell ref="W44:Y44"/>
    <mergeCell ref="K44:M44"/>
    <mergeCell ref="Q44:V44"/>
    <mergeCell ref="AC45:AE45"/>
    <mergeCell ref="N46:P46"/>
    <mergeCell ref="Q46:V46"/>
    <mergeCell ref="W41:AE41"/>
    <mergeCell ref="AC42:AE42"/>
    <mergeCell ref="N42:P42"/>
    <mergeCell ref="AC44:AE44"/>
    <mergeCell ref="W43:Y43"/>
    <mergeCell ref="AC43:AE43"/>
    <mergeCell ref="Z45:AB45"/>
    <mergeCell ref="Z42:AB42"/>
    <mergeCell ref="Z43:AB43"/>
    <mergeCell ref="Q43:V43"/>
    <mergeCell ref="B3:G3"/>
    <mergeCell ref="S4:X4"/>
    <mergeCell ref="Y4:AE4"/>
    <mergeCell ref="B4:D4"/>
    <mergeCell ref="E4:K4"/>
    <mergeCell ref="L4:O4"/>
    <mergeCell ref="P4:R4"/>
    <mergeCell ref="B32:D32"/>
    <mergeCell ref="H22:I23"/>
    <mergeCell ref="AC19:AE19"/>
    <mergeCell ref="R18:T18"/>
    <mergeCell ref="R20:S21"/>
    <mergeCell ref="H24:I25"/>
    <mergeCell ref="H26:I26"/>
    <mergeCell ref="B30:H30"/>
    <mergeCell ref="H32:I32"/>
    <mergeCell ref="T19:V19"/>
    <mergeCell ref="X9:AB9"/>
    <mergeCell ref="U17:Y17"/>
    <mergeCell ref="F73:AE73"/>
    <mergeCell ref="B80:AE102"/>
    <mergeCell ref="N66:O66"/>
    <mergeCell ref="X67:Z67"/>
    <mergeCell ref="T66:V66"/>
    <mergeCell ref="T67:V67"/>
    <mergeCell ref="AB66:AD66"/>
    <mergeCell ref="AB67:AD67"/>
    <mergeCell ref="J67:L67"/>
    <mergeCell ref="S70:U70"/>
    <mergeCell ref="B75:AE75"/>
    <mergeCell ref="H71:J71"/>
    <mergeCell ref="S71:U71"/>
    <mergeCell ref="B67:D67"/>
    <mergeCell ref="B66:D66"/>
    <mergeCell ref="B77:AE77"/>
    <mergeCell ref="AC71:AE71"/>
    <mergeCell ref="X66:Z66"/>
    <mergeCell ref="F67:H67"/>
    <mergeCell ref="AC70:AE70"/>
    <mergeCell ref="V69:Y69"/>
    <mergeCell ref="Z69:AD69"/>
    <mergeCell ref="H70:J70"/>
    <mergeCell ref="S69:U69"/>
    <mergeCell ref="X65:Z65"/>
    <mergeCell ref="X64:Z64"/>
    <mergeCell ref="N64:O64"/>
    <mergeCell ref="T65:V65"/>
    <mergeCell ref="X63:Z63"/>
    <mergeCell ref="N45:P45"/>
    <mergeCell ref="Q48:V48"/>
    <mergeCell ref="N47:P47"/>
    <mergeCell ref="M54:N54"/>
    <mergeCell ref="Z46:AB46"/>
    <mergeCell ref="Q52:W53"/>
    <mergeCell ref="Q47:V47"/>
    <mergeCell ref="S54:T54"/>
    <mergeCell ref="K45:M45"/>
    <mergeCell ref="S58:T58"/>
    <mergeCell ref="T64:V64"/>
    <mergeCell ref="W54:Y54"/>
    <mergeCell ref="AB65:AD65"/>
    <mergeCell ref="AB64:AD64"/>
    <mergeCell ref="Q63:R63"/>
    <mergeCell ref="N65:O65"/>
    <mergeCell ref="W46:Y46"/>
    <mergeCell ref="AA62:AE62"/>
    <mergeCell ref="AC54:AD54"/>
    <mergeCell ref="AB60:AE60"/>
    <mergeCell ref="W60:AA60"/>
    <mergeCell ref="O62:Z62"/>
    <mergeCell ref="L61:N61"/>
    <mergeCell ref="T61:U61"/>
    <mergeCell ref="V61:X61"/>
    <mergeCell ref="B57:N57"/>
    <mergeCell ref="B62:N62"/>
    <mergeCell ref="B61:G61"/>
    <mergeCell ref="B60:G60"/>
    <mergeCell ref="J61:K61"/>
    <mergeCell ref="W47:Y47"/>
    <mergeCell ref="H48:J48"/>
    <mergeCell ref="W48:Y48"/>
    <mergeCell ref="Z47:AB47"/>
    <mergeCell ref="K46:M46"/>
    <mergeCell ref="X53:Z53"/>
    <mergeCell ref="AD29:AE29"/>
    <mergeCell ref="AD28:AE28"/>
    <mergeCell ref="V28:W28"/>
    <mergeCell ref="N32:O32"/>
    <mergeCell ref="AD37:AE37"/>
    <mergeCell ref="V29:W29"/>
    <mergeCell ref="P28:Q28"/>
    <mergeCell ref="M28:O28"/>
    <mergeCell ref="P29:Q29"/>
    <mergeCell ref="W33:X33"/>
    <mergeCell ref="Q34:R34"/>
    <mergeCell ref="X37:Y37"/>
    <mergeCell ref="B31:AE31"/>
    <mergeCell ref="E32:F32"/>
    <mergeCell ref="N33:O33"/>
    <mergeCell ref="T35:U35"/>
    <mergeCell ref="Q35:R35"/>
    <mergeCell ref="H42:J42"/>
    <mergeCell ref="AD39:AE39"/>
    <mergeCell ref="Z33:AA33"/>
    <mergeCell ref="AC33:AD33"/>
    <mergeCell ref="Z32:AA32"/>
    <mergeCell ref="W38:AA38"/>
    <mergeCell ref="W34:X34"/>
    <mergeCell ref="AC32:AD32"/>
    <mergeCell ref="W32:X32"/>
    <mergeCell ref="AB38:AE38"/>
    <mergeCell ref="X36:Y36"/>
    <mergeCell ref="AD36:AE36"/>
    <mergeCell ref="W35:X35"/>
    <mergeCell ref="V39:W39"/>
    <mergeCell ref="I1:S1"/>
    <mergeCell ref="Y3:AA3"/>
    <mergeCell ref="H3:T3"/>
    <mergeCell ref="N5:P5"/>
    <mergeCell ref="X5:AE5"/>
    <mergeCell ref="AC1:AE1"/>
    <mergeCell ref="V1:AB1"/>
    <mergeCell ref="U3:X3"/>
    <mergeCell ref="U5:W5"/>
    <mergeCell ref="I5:L5"/>
    <mergeCell ref="B7:E7"/>
    <mergeCell ref="H11:AE11"/>
    <mergeCell ref="U10:W10"/>
    <mergeCell ref="Y7:AA7"/>
    <mergeCell ref="U7:X7"/>
    <mergeCell ref="J18:K18"/>
    <mergeCell ref="L18:Q18"/>
    <mergeCell ref="B9:G9"/>
    <mergeCell ref="H9:T9"/>
    <mergeCell ref="Q14:R14"/>
    <mergeCell ref="B16:F16"/>
    <mergeCell ref="G16:K16"/>
    <mergeCell ref="Z17:AE17"/>
    <mergeCell ref="AB14:AD14"/>
    <mergeCell ref="B17:F17"/>
    <mergeCell ref="H17:I17"/>
    <mergeCell ref="R17:T17"/>
    <mergeCell ref="H18:I18"/>
    <mergeCell ref="B18:G18"/>
    <mergeCell ref="J17:K17"/>
    <mergeCell ref="X10:AE10"/>
    <mergeCell ref="V14:AA14"/>
    <mergeCell ref="K10:T10"/>
    <mergeCell ref="J13:L13"/>
    <mergeCell ref="B6:G6"/>
    <mergeCell ref="L17:Q17"/>
    <mergeCell ref="AB28:AC28"/>
    <mergeCell ref="B79:AE79"/>
    <mergeCell ref="Z48:AB48"/>
    <mergeCell ref="I60:J60"/>
    <mergeCell ref="K60:L60"/>
    <mergeCell ref="B56:L56"/>
    <mergeCell ref="B58:R58"/>
    <mergeCell ref="Y61:Z61"/>
    <mergeCell ref="X6:AA6"/>
    <mergeCell ref="U6:W6"/>
    <mergeCell ref="N36:O36"/>
    <mergeCell ref="N37:O37"/>
    <mergeCell ref="K28:L28"/>
    <mergeCell ref="M30:O30"/>
    <mergeCell ref="S55:T55"/>
    <mergeCell ref="W42:Y42"/>
    <mergeCell ref="S37:T37"/>
    <mergeCell ref="N6:P6"/>
    <mergeCell ref="F7:Q7"/>
    <mergeCell ref="B65:D65"/>
    <mergeCell ref="K48:M48"/>
    <mergeCell ref="S7:T7"/>
    <mergeCell ref="H69:J69"/>
    <mergeCell ref="F65:H65"/>
    <mergeCell ref="J66:L66"/>
    <mergeCell ref="N67:O67"/>
    <mergeCell ref="Q67:R67"/>
    <mergeCell ref="AC55:AD55"/>
    <mergeCell ref="X57:Y57"/>
    <mergeCell ref="S57:T57"/>
    <mergeCell ref="O56:P56"/>
    <mergeCell ref="Q66:R66"/>
    <mergeCell ref="X56:Y56"/>
    <mergeCell ref="AB63:AD63"/>
    <mergeCell ref="J64:L64"/>
    <mergeCell ref="N63:O63"/>
    <mergeCell ref="T63:V63"/>
    <mergeCell ref="F66:H66"/>
    <mergeCell ref="Q65:R65"/>
    <mergeCell ref="J65:L65"/>
    <mergeCell ref="H61:I61"/>
    <mergeCell ref="O61:P61"/>
    <mergeCell ref="R60:V60"/>
    <mergeCell ref="Q61:S61"/>
    <mergeCell ref="Q64:R64"/>
    <mergeCell ref="W55:Y55"/>
    <mergeCell ref="F64:H64"/>
    <mergeCell ref="N48:P48"/>
    <mergeCell ref="B45:G45"/>
    <mergeCell ref="H43:J43"/>
    <mergeCell ref="B43:G43"/>
    <mergeCell ref="N43:P43"/>
    <mergeCell ref="K47:M47"/>
    <mergeCell ref="B48:G48"/>
    <mergeCell ref="H47:J47"/>
    <mergeCell ref="B47:G47"/>
    <mergeCell ref="B55:K55"/>
    <mergeCell ref="O55:P55"/>
    <mergeCell ref="K53:M53"/>
    <mergeCell ref="O54:P54"/>
    <mergeCell ref="B63:D63"/>
    <mergeCell ref="F63:H63"/>
    <mergeCell ref="J63:L63"/>
    <mergeCell ref="B54:K54"/>
    <mergeCell ref="H46:J46"/>
    <mergeCell ref="H45:J45"/>
    <mergeCell ref="B46:G46"/>
    <mergeCell ref="B52:J53"/>
    <mergeCell ref="B64:D64"/>
    <mergeCell ref="B26:G26"/>
    <mergeCell ref="I41:P41"/>
    <mergeCell ref="N35:O35"/>
    <mergeCell ref="K35:L35"/>
    <mergeCell ref="J24:K25"/>
    <mergeCell ref="R23:R24"/>
    <mergeCell ref="K32:L32"/>
    <mergeCell ref="K34:L34"/>
    <mergeCell ref="N34:O34"/>
    <mergeCell ref="K33:L33"/>
    <mergeCell ref="J22:K23"/>
    <mergeCell ref="H33:I33"/>
    <mergeCell ref="B33:D33"/>
    <mergeCell ref="G39:H39"/>
    <mergeCell ref="B35:G35"/>
    <mergeCell ref="B36:J36"/>
    <mergeCell ref="R38:V38"/>
    <mergeCell ref="K39:U39"/>
    <mergeCell ref="H34:I34"/>
    <mergeCell ref="B34:G34"/>
    <mergeCell ref="B39:F39"/>
    <mergeCell ref="H35:I35"/>
    <mergeCell ref="B41:H41"/>
    <mergeCell ref="E37:F37"/>
    <mergeCell ref="W26:X26"/>
    <mergeCell ref="AE23:AE24"/>
    <mergeCell ref="AD23:AD24"/>
    <mergeCell ref="Z23:AB24"/>
    <mergeCell ref="Y23:Y24"/>
    <mergeCell ref="H20:I21"/>
    <mergeCell ref="J20:K21"/>
    <mergeCell ref="AD20:AE21"/>
    <mergeCell ref="V30:W30"/>
    <mergeCell ref="P30:Q30"/>
    <mergeCell ref="W25:X25"/>
    <mergeCell ref="U26:V26"/>
    <mergeCell ref="U23:V24"/>
    <mergeCell ref="B10:J10"/>
    <mergeCell ref="B11:G11"/>
    <mergeCell ref="B20:G21"/>
    <mergeCell ref="AB29:AC29"/>
    <mergeCell ref="Y22:AC22"/>
    <mergeCell ref="X20:AC21"/>
    <mergeCell ref="W23:X24"/>
    <mergeCell ref="AC23:AC24"/>
    <mergeCell ref="S22:T22"/>
    <mergeCell ref="R28:U28"/>
    <mergeCell ref="B19:G19"/>
    <mergeCell ref="U25:V25"/>
    <mergeCell ref="L23:Q24"/>
    <mergeCell ref="L20:Q21"/>
    <mergeCell ref="J26:K26"/>
    <mergeCell ref="B22:G23"/>
    <mergeCell ref="B24:G25"/>
    <mergeCell ref="B29:H29"/>
    <mergeCell ref="S26:T26"/>
    <mergeCell ref="X19:AB19"/>
    <mergeCell ref="Z26:AB26"/>
    <mergeCell ref="S25:T25"/>
    <mergeCell ref="L26:Q26"/>
    <mergeCell ref="Y25:AC25"/>
  </mergeCells>
  <phoneticPr fontId="0" type="noConversion"/>
  <conditionalFormatting sqref="I1:S1">
    <cfRule type="expression" dxfId="959" priority="310" stopIfTrue="1">
      <formula>$I$1&lt;&gt;""</formula>
    </cfRule>
  </conditionalFormatting>
  <conditionalFormatting sqref="H3:T3">
    <cfRule type="expression" dxfId="958" priority="309" stopIfTrue="1">
      <formula>$H$3&lt;&gt;""</formula>
    </cfRule>
  </conditionalFormatting>
  <conditionalFormatting sqref="AC1:AE1">
    <cfRule type="expression" dxfId="957" priority="308" stopIfTrue="1">
      <formula>$AC$1&lt;&gt;""</formula>
    </cfRule>
  </conditionalFormatting>
  <conditionalFormatting sqref="Y3:AA3">
    <cfRule type="expression" dxfId="956" priority="307" stopIfTrue="1">
      <formula>$Y$3&lt;&gt;""</formula>
    </cfRule>
  </conditionalFormatting>
  <conditionalFormatting sqref="Y4:AE4">
    <cfRule type="expression" dxfId="955" priority="306" stopIfTrue="1">
      <formula>$Y$4&lt;&gt;""</formula>
    </cfRule>
  </conditionalFormatting>
  <conditionalFormatting sqref="E4:K4">
    <cfRule type="expression" dxfId="954" priority="305" stopIfTrue="1">
      <formula>$E$4&lt;&gt;""</formula>
    </cfRule>
  </conditionalFormatting>
  <conditionalFormatting sqref="I5:L5">
    <cfRule type="expression" dxfId="953" priority="304" stopIfTrue="1">
      <formula>$I$5&lt;&gt;""</formula>
    </cfRule>
  </conditionalFormatting>
  <conditionalFormatting sqref="N5:P5">
    <cfRule type="expression" dxfId="952" priority="303" stopIfTrue="1">
      <formula>$N$5&lt;&gt;""</formula>
    </cfRule>
  </conditionalFormatting>
  <conditionalFormatting sqref="X5:AE5">
    <cfRule type="expression" dxfId="951" priority="302" stopIfTrue="1">
      <formula>$X$5&lt;&gt;""</formula>
    </cfRule>
  </conditionalFormatting>
  <conditionalFormatting sqref="I6:L6">
    <cfRule type="expression" dxfId="950" priority="301" stopIfTrue="1">
      <formula>AND($I$6&lt;&gt;"",$N$6&lt;&gt;"")</formula>
    </cfRule>
  </conditionalFormatting>
  <conditionalFormatting sqref="N6:P6">
    <cfRule type="expression" dxfId="949" priority="300" stopIfTrue="1">
      <formula>AND($I$6&lt;&gt;"",$N$6&lt;&gt;"")</formula>
    </cfRule>
  </conditionalFormatting>
  <conditionalFormatting sqref="X6:AA6">
    <cfRule type="expression" dxfId="948" priority="299" stopIfTrue="1">
      <formula>$X$6&lt;&gt;""</formula>
    </cfRule>
  </conditionalFormatting>
  <conditionalFormatting sqref="F7:Q7">
    <cfRule type="expression" dxfId="947" priority="298" stopIfTrue="1">
      <formula>OR($S$7&lt;&gt;"",$F$7&lt;&gt;"")</formula>
    </cfRule>
  </conditionalFormatting>
  <conditionalFormatting sqref="S7:T7">
    <cfRule type="expression" dxfId="946" priority="297" stopIfTrue="1">
      <formula>OR($S$7&lt;&gt;"",$F$7&lt;&gt;"")</formula>
    </cfRule>
  </conditionalFormatting>
  <conditionalFormatting sqref="Y7:AA7">
    <cfRule type="expression" dxfId="945" priority="296" stopIfTrue="1">
      <formula>$Y$7&lt;&gt;""</formula>
    </cfRule>
  </conditionalFormatting>
  <conditionalFormatting sqref="H9:T9">
    <cfRule type="expression" dxfId="944" priority="295" stopIfTrue="1">
      <formula>$H$9&lt;&gt;""</formula>
    </cfRule>
  </conditionalFormatting>
  <conditionalFormatting sqref="X9:AB9">
    <cfRule type="expression" dxfId="943" priority="294" stopIfTrue="1">
      <formula>$X$9&lt;&gt;""</formula>
    </cfRule>
  </conditionalFormatting>
  <conditionalFormatting sqref="X10:AE10">
    <cfRule type="expression" dxfId="942" priority="293" stopIfTrue="1">
      <formula>$X$10&lt;&gt;""</formula>
    </cfRule>
  </conditionalFormatting>
  <conditionalFormatting sqref="K10:T10">
    <cfRule type="expression" dxfId="941" priority="292" stopIfTrue="1">
      <formula>$K$10&lt;&gt;""</formula>
    </cfRule>
  </conditionalFormatting>
  <conditionalFormatting sqref="H11:AE11">
    <cfRule type="expression" dxfId="940" priority="291" stopIfTrue="1">
      <formula>$H$11&lt;&gt;""</formula>
    </cfRule>
  </conditionalFormatting>
  <conditionalFormatting sqref="H13:I13">
    <cfRule type="expression" dxfId="939" priority="290" stopIfTrue="1">
      <formula>$H$13&lt;&gt;""</formula>
    </cfRule>
  </conditionalFormatting>
  <conditionalFormatting sqref="P13">
    <cfRule type="expression" dxfId="938" priority="289" stopIfTrue="1">
      <formula>OR($P$13&lt;&gt;"",$T$13&lt;&gt;"")</formula>
    </cfRule>
  </conditionalFormatting>
  <conditionalFormatting sqref="T13">
    <cfRule type="expression" dxfId="937" priority="288" stopIfTrue="1">
      <formula>OR($P$13&lt;&gt;"",$T$13&lt;&gt;"")</formula>
    </cfRule>
  </conditionalFormatting>
  <conditionalFormatting sqref="Q14:R14">
    <cfRule type="expression" dxfId="936" priority="287" stopIfTrue="1">
      <formula>$Q$14&lt;&gt;""</formula>
    </cfRule>
  </conditionalFormatting>
  <conditionalFormatting sqref="AB14:AD14">
    <cfRule type="expression" dxfId="935" priority="286" stopIfTrue="1">
      <formula>$AB$14&lt;&gt;""</formula>
    </cfRule>
  </conditionalFormatting>
  <conditionalFormatting sqref="G16:K16">
    <cfRule type="expression" dxfId="934" priority="285" stopIfTrue="1">
      <formula>$G$16&lt;&gt;""</formula>
    </cfRule>
  </conditionalFormatting>
  <conditionalFormatting sqref="Z16">
    <cfRule type="expression" dxfId="933" priority="284" stopIfTrue="1">
      <formula>OR($Z$16&lt;&gt;"",$AD$16&lt;&gt;"")</formula>
    </cfRule>
  </conditionalFormatting>
  <conditionalFormatting sqref="AD16">
    <cfRule type="expression" dxfId="932" priority="283" stopIfTrue="1">
      <formula>OR($Z$16&lt;&gt;"",$AD$16&lt;&gt;"")</formula>
    </cfRule>
  </conditionalFormatting>
  <conditionalFormatting sqref="H17:I17">
    <cfRule type="expression" dxfId="931" priority="282" stopIfTrue="1">
      <formula>$H$17&lt;&gt;""</formula>
    </cfRule>
  </conditionalFormatting>
  <conditionalFormatting sqref="H18:I18">
    <cfRule type="expression" dxfId="930" priority="281" stopIfTrue="1">
      <formula>$H$18&lt;&gt;""</formula>
    </cfRule>
  </conditionalFormatting>
  <conditionalFormatting sqref="H19:I19">
    <cfRule type="expression" dxfId="929" priority="280" stopIfTrue="1">
      <formula>$H$19&lt;&gt;""</formula>
    </cfRule>
  </conditionalFormatting>
  <conditionalFormatting sqref="H20:I21">
    <cfRule type="expression" dxfId="928" priority="279" stopIfTrue="1">
      <formula>$H$20&lt;&gt;""</formula>
    </cfRule>
  </conditionalFormatting>
  <conditionalFormatting sqref="H22:I23">
    <cfRule type="expression" dxfId="927" priority="278" stopIfTrue="1">
      <formula>$H$22&lt;&gt;""</formula>
    </cfRule>
  </conditionalFormatting>
  <conditionalFormatting sqref="H24:I25">
    <cfRule type="expression" dxfId="926" priority="277" stopIfTrue="1">
      <formula>$H$24&lt;&gt;""</formula>
    </cfRule>
  </conditionalFormatting>
  <conditionalFormatting sqref="H26:I26">
    <cfRule type="expression" dxfId="925" priority="276" stopIfTrue="1">
      <formula>$H$26&lt;&gt;""</formula>
    </cfRule>
  </conditionalFormatting>
  <conditionalFormatting sqref="T19">
    <cfRule type="expression" dxfId="924" priority="275" stopIfTrue="1">
      <formula>$T$19&lt;&gt;""</formula>
    </cfRule>
  </conditionalFormatting>
  <conditionalFormatting sqref="AC19:AE19">
    <cfRule type="expression" dxfId="923" priority="274" stopIfTrue="1">
      <formula>$AC$19&lt;&gt;""</formula>
    </cfRule>
  </conditionalFormatting>
  <conditionalFormatting sqref="R20:S21">
    <cfRule type="expression" dxfId="922" priority="273" stopIfTrue="1">
      <formula>OR($R$20&lt;&gt;"",$K$53&lt;&gt;"")</formula>
    </cfRule>
  </conditionalFormatting>
  <conditionalFormatting sqref="AD20:AE21">
    <cfRule type="expression" dxfId="921" priority="272" stopIfTrue="1">
      <formula>OR($AD$20&lt;&gt;"",$K$53&lt;&gt;"")</formula>
    </cfRule>
  </conditionalFormatting>
  <conditionalFormatting sqref="S23:T24">
    <cfRule type="expression" dxfId="920" priority="271" stopIfTrue="1">
      <formula>OR($S$23&lt;&gt;"",$W$23&lt;&gt;"",$Z$23&lt;&gt;"")</formula>
    </cfRule>
  </conditionalFormatting>
  <conditionalFormatting sqref="W23:X24">
    <cfRule type="expression" dxfId="919" priority="270" stopIfTrue="1">
      <formula>OR($S$23&lt;&gt;"",$W$23&lt;&gt;"",$Z$23&lt;&gt;"")</formula>
    </cfRule>
  </conditionalFormatting>
  <conditionalFormatting sqref="Z23:AB24">
    <cfRule type="expression" dxfId="918" priority="269" stopIfTrue="1">
      <formula>OR($S$23&lt;&gt;"",$W$23&lt;&gt;"",$Z$23&lt;&gt;"")</formula>
    </cfRule>
  </conditionalFormatting>
  <conditionalFormatting sqref="S26:T26">
    <cfRule type="expression" dxfId="917" priority="268" stopIfTrue="1">
      <formula>OR($S$26&lt;&gt;"",$W$26&lt;&gt;"",$Z$26&lt;&gt;"")</formula>
    </cfRule>
  </conditionalFormatting>
  <conditionalFormatting sqref="W26:X26">
    <cfRule type="expression" dxfId="916" priority="267" stopIfTrue="1">
      <formula>OR($S$26&lt;&gt;"",$W$26&lt;&gt;"",$Z$26&lt;&gt;"")</formula>
    </cfRule>
  </conditionalFormatting>
  <conditionalFormatting sqref="Z26:AB26">
    <cfRule type="expression" dxfId="915" priority="266" stopIfTrue="1">
      <formula>OR($S$26&lt;&gt;"",$W$26&lt;&gt;"",$Z$26&lt;&gt;"")</formula>
    </cfRule>
  </conditionalFormatting>
  <conditionalFormatting sqref="R18:T18">
    <cfRule type="expression" dxfId="914" priority="265" stopIfTrue="1">
      <formula>$R$18&lt;&gt;""</formula>
    </cfRule>
  </conditionalFormatting>
  <conditionalFormatting sqref="R17:T17">
    <cfRule type="expression" dxfId="913" priority="264" stopIfTrue="1">
      <formula>OR($R$17&lt;&gt;"",$K$53&lt;&gt;"")</formula>
    </cfRule>
  </conditionalFormatting>
  <conditionalFormatting sqref="Z17:AE17">
    <cfRule type="expression" dxfId="912" priority="263" stopIfTrue="1">
      <formula>OR($Z$17&lt;&gt;"",$K$53&lt;&gt;"")</formula>
    </cfRule>
  </conditionalFormatting>
  <conditionalFormatting sqref="AB28:AC28">
    <cfRule type="expression" dxfId="911" priority="262" stopIfTrue="1">
      <formula>OR($O$54&lt;&gt;"",$S$54&lt;&gt;"",$W$54&lt;&gt;"",$AC$54&lt;&gt;"",$AB$28&lt;&gt;"")</formula>
    </cfRule>
  </conditionalFormatting>
  <conditionalFormatting sqref="AB29:AC29">
    <cfRule type="expression" dxfId="910" priority="261" stopIfTrue="1">
      <formula>OR($O$54&lt;&gt;"",$S$54&lt;&gt;"",$W$54&lt;&gt;"",$AC$54&lt;&gt;"",$AB$29&lt;&gt;"")</formula>
    </cfRule>
  </conditionalFormatting>
  <conditionalFormatting sqref="K28:L28">
    <cfRule type="expression" dxfId="909" priority="260" stopIfTrue="1">
      <formula>OR($K$28&lt;&gt;"",$P$28&lt;&gt;"",$V$28&lt;&gt;"")</formula>
    </cfRule>
  </conditionalFormatting>
  <conditionalFormatting sqref="P28:Q28">
    <cfRule type="expression" dxfId="908" priority="259" stopIfTrue="1">
      <formula>OR($K$28&lt;&gt;"",$P$28&lt;&gt;"",$V$28&lt;&gt;"")</formula>
    </cfRule>
  </conditionalFormatting>
  <conditionalFormatting sqref="V28:W28">
    <cfRule type="expression" dxfId="907" priority="258" stopIfTrue="1">
      <formula>OR($K$28&lt;&gt;"",$P$28&lt;&gt;"",$V$28&lt;&gt;"")</formula>
    </cfRule>
  </conditionalFormatting>
  <conditionalFormatting sqref="K29:L29">
    <cfRule type="expression" dxfId="906" priority="257" stopIfTrue="1">
      <formula>OR($K$29&lt;&gt;"",$P$29&lt;&gt;"",$V$29&lt;&gt;"")</formula>
    </cfRule>
  </conditionalFormatting>
  <conditionalFormatting sqref="P29:Q29">
    <cfRule type="expression" dxfId="905" priority="256" stopIfTrue="1">
      <formula>OR($K$29&lt;&gt;"",$P$29&lt;&gt;"",$V$29&lt;&gt;"")</formula>
    </cfRule>
  </conditionalFormatting>
  <conditionalFormatting sqref="V29:W29">
    <cfRule type="expression" dxfId="904" priority="255" stopIfTrue="1">
      <formula>OR($K$29&lt;&gt;"",$P$29&lt;&gt;"",$V$29&lt;&gt;"")</formula>
    </cfRule>
  </conditionalFormatting>
  <conditionalFormatting sqref="K30:L30">
    <cfRule type="expression" dxfId="903" priority="254" stopIfTrue="1">
      <formula>OR($K$30&lt;&gt;"",$P$30&lt;&gt;"",$V$30&lt;&gt;"")</formula>
    </cfRule>
  </conditionalFormatting>
  <conditionalFormatting sqref="P30:Q30">
    <cfRule type="expression" dxfId="902" priority="253" stopIfTrue="1">
      <formula>OR($K$30&lt;&gt;"",$P$30&lt;&gt;"",$V$30&lt;&gt;"")</formula>
    </cfRule>
  </conditionalFormatting>
  <conditionalFormatting sqref="V30:W30">
    <cfRule type="expression" dxfId="901" priority="252" stopIfTrue="1">
      <formula>OR($K$30&lt;&gt;"",$P$30&lt;&gt;"",$V$30&lt;&gt;"")</formula>
    </cfRule>
  </conditionalFormatting>
  <conditionalFormatting sqref="G32">
    <cfRule type="expression" dxfId="900" priority="31">
      <formula>OR($G$32&lt;&gt;"",COUNTIF(G32:AE32,"")=14,AND($G$33&lt;&gt;"",$G$33=0))</formula>
    </cfRule>
    <cfRule type="expression" dxfId="899" priority="251" stopIfTrue="1">
      <formula>IF(AND(OR(G$32="D2",G$32="D3"),ISNUMBER(HLOOKUP("D2",$G$32:$AE$33,2,FALSE)),ISNUMBER(HLOOKUP("D3",$G$32:$AE$33,2,FALSE))),IF(G33&lt;&gt;"",HLOOKUP("D3",$G$32:$AE$33,2,FALSE)&gt;HLOOKUP("D2",$G$32:$AE$33,2,FALSE),FALSE),FALSE)</formula>
    </cfRule>
  </conditionalFormatting>
  <conditionalFormatting sqref="J32">
    <cfRule type="expression" dxfId="898" priority="30">
      <formula>OR($J$32&lt;&gt;"",COUNTIF(G32:AE32,"")=14,AND($J$33=0,$J$33&lt;&gt;""))</formula>
    </cfRule>
    <cfRule type="expression" dxfId="897" priority="250" stopIfTrue="1">
      <formula>IF(AND(OR(J$32="D2",J$32="D3"),ISNUMBER(HLOOKUP("D2",$G$32:$AE$33,2,FALSE)),ISNUMBER(HLOOKUP("D3",$G$32:$AE$33,2,FALSE))),IF(J33&lt;&gt;"",HLOOKUP("D3",$G$32:$AE$33,2,FALSE)&gt;HLOOKUP("D2",$G$32:$AE$33,2,FALSE),FALSE),FALSE)</formula>
    </cfRule>
  </conditionalFormatting>
  <conditionalFormatting sqref="M32">
    <cfRule type="expression" dxfId="896" priority="28">
      <formula>OR($M$32&lt;&gt;"",COUNTIF(G32:AE32,"")=14,AND($M$33=0,$M$33&lt;&gt;""))</formula>
    </cfRule>
    <cfRule type="expression" dxfId="895" priority="249" stopIfTrue="1">
      <formula>IF(AND(OR(M$32="D2",M$32="D3"),ISNUMBER(HLOOKUP("D2",$G$32:$AE$33,2,FALSE)),ISNUMBER(HLOOKUP("D3",$G$32:$AE$33,2,FALSE))),IF(M33&lt;&gt;"",HLOOKUP("D3",$G$32:$AE$33,2,FALSE)&gt;HLOOKUP("D2",$G$32:$AE$33,2,FALSE),FALSE),FALSE)</formula>
    </cfRule>
  </conditionalFormatting>
  <conditionalFormatting sqref="P32">
    <cfRule type="expression" dxfId="894" priority="27">
      <formula>OR($P$32&lt;&gt;"",COUNTIF(G32:AE32,"")=14,AND($P$33=0,$P$33&lt;&gt;""))</formula>
    </cfRule>
    <cfRule type="expression" dxfId="893" priority="248" stopIfTrue="1">
      <formula>IF(AND(OR(P$32="D2",P$32="D3"),ISNUMBER(HLOOKUP("D2",$G$32:$AE$33,2,FALSE)),ISNUMBER(HLOOKUP("D3",$G$32:$AE$33,2,FALSE))),IF(P33&lt;&gt;"",HLOOKUP("D3",$G$32:$AE$33,2,FALSE)&gt;HLOOKUP("D2",$G$32:$AE$33,2,FALSE),FALSE),FALSE)</formula>
    </cfRule>
  </conditionalFormatting>
  <conditionalFormatting sqref="S32">
    <cfRule type="expression" dxfId="892" priority="26">
      <formula>OR($S$32&lt;&gt;"",COUNTIF(G32:AE32,"")=14,AND($S$33=0,$S$33&lt;&gt;""))</formula>
    </cfRule>
    <cfRule type="expression" dxfId="891" priority="247" stopIfTrue="1">
      <formula>IF(AND(OR(S$32="D2",S$32="D3"),ISNUMBER(HLOOKUP("D2",$G$32:$AE$33,2,FALSE)),ISNUMBER(HLOOKUP("D3",$G$32:$AE$33,2,FALSE))),IF(S33&lt;&gt;"",HLOOKUP("D3",$G$32:$AE$33,2,FALSE)&gt;HLOOKUP("D2",$G$32:$AE$33,2,FALSE),FALSE),FALSE)</formula>
    </cfRule>
  </conditionalFormatting>
  <conditionalFormatting sqref="V32">
    <cfRule type="expression" dxfId="890" priority="29">
      <formula>OR($V$32&lt;&gt;"",COUNTIF(G32:AE32,"")=14,AND($V$33=0,$V$33&lt;&gt;""))</formula>
    </cfRule>
    <cfRule type="expression" dxfId="889" priority="246" stopIfTrue="1">
      <formula>IF(AND(OR(V$32="D2",V$32="D3"),ISNUMBER(HLOOKUP("D2",$G$32:$AE$33,2,FALSE)),ISNUMBER(HLOOKUP("D3",$G$32:$AE$33,2,FALSE))),IF(V33&lt;&gt;"",HLOOKUP("D3",$G$32:$AE$33,2,FALSE)&gt;HLOOKUP("D2",$G$32:$AE$33,2,FALSE),FALSE),FALSE)</formula>
    </cfRule>
  </conditionalFormatting>
  <conditionalFormatting sqref="Y32">
    <cfRule type="expression" dxfId="888" priority="25">
      <formula>OR($Y$32&lt;&gt;"",COUNTIF(G32:AE32,"")=14,AND($Y$33=0,$Y$33&lt;&gt;""))</formula>
    </cfRule>
    <cfRule type="expression" dxfId="887" priority="245" stopIfTrue="1">
      <formula>IF(AND(OR(Y$32="D2",Y$32="D3"),ISNUMBER(HLOOKUP("D2",$G$32:$AE$33,2,FALSE)),ISNUMBER(HLOOKUP("D3",$G$32:$AE$33,2,FALSE))),IF(Y33&lt;&gt;"",HLOOKUP("D3",$G$32:$AE$33,2,FALSE)&gt;HLOOKUP("D2",$G$32:$AE$33,2,FALSE),FALSE),FALSE)</formula>
    </cfRule>
  </conditionalFormatting>
  <conditionalFormatting sqref="AB32">
    <cfRule type="expression" dxfId="886" priority="24">
      <formula>OR($AB$32&lt;&gt;"",COUNTIF(G32:AE32,"")=14,AND($AB$33=0,$AB$33&lt;&gt;""))</formula>
    </cfRule>
    <cfRule type="expression" dxfId="885" priority="244" stopIfTrue="1">
      <formula>IF(AND(OR(AB$32="D2",AB$32="D3"),ISNUMBER(HLOOKUP("D2",$G$32:$AE$33,2,FALSE)),ISNUMBER(HLOOKUP("D3",$G$32:$AE$33,2,FALSE))),IF(AB33&lt;&gt;"",HLOOKUP("D3",$G$32:$AE$33,2,FALSE)&gt;HLOOKUP("D2",$G$32:$AE$33,2,FALSE),FALSE),FALSE)</formula>
    </cfRule>
  </conditionalFormatting>
  <conditionalFormatting sqref="AE32">
    <cfRule type="expression" dxfId="884" priority="23">
      <formula>OR($AE$32&lt;&gt;"",COUNTIF(G32:AE32,"")=14,AND($AE$33=0,$AE$33&lt;&gt;""))</formula>
    </cfRule>
    <cfRule type="expression" dxfId="883" priority="243" stopIfTrue="1">
      <formula>IF(AND(OR(AE$32="D2",AE$32="D3"),ISNUMBER(HLOOKUP("D2",$G$32:$AE$33,2,FALSE)),ISNUMBER(HLOOKUP("D3",$G$32:$AE$33,2,FALSE))),IF(AE33&lt;&gt;"",HLOOKUP("D3",$G$32:$AE$33,2,FALSE)&gt;HLOOKUP("D2",$G$32:$AE$33,2,FALSE),FALSE),FALSE)</formula>
    </cfRule>
  </conditionalFormatting>
  <conditionalFormatting sqref="G33">
    <cfRule type="expression" dxfId="882" priority="22">
      <formula>$G$33&lt;&gt;""</formula>
    </cfRule>
    <cfRule type="expression" dxfId="881" priority="242" stopIfTrue="1">
      <formula>IF(AND(OR(G$32="D2",G$32="D3"),ISNUMBER(HLOOKUP("D2",$G$32:$AE$33,2,FALSE)),ISNUMBER(HLOOKUP("D3",$G$32:$AE$33,2,FALSE))),IF(G32&lt;&gt;"",HLOOKUP("D3",$G$32:$AE$33,2,FALSE)&gt;HLOOKUP("D2",$G$32:$AE$33,2,FALSE),FALSE),FALSE)</formula>
    </cfRule>
  </conditionalFormatting>
  <conditionalFormatting sqref="J33">
    <cfRule type="expression" dxfId="880" priority="21">
      <formula>$J$33&lt;&gt;""</formula>
    </cfRule>
    <cfRule type="expression" dxfId="879" priority="241" stopIfTrue="1">
      <formula>IF(AND(OR(J$32="D2",J$32="D3"),ISNUMBER(HLOOKUP("D2",$G$32:$AE$33,2,FALSE)),ISNUMBER(HLOOKUP("D3",$G$32:$AE$33,2,FALSE))),IF(J32&lt;&gt;"",HLOOKUP("D3",$G$32:$AE$33,2,FALSE)&gt;HLOOKUP("D2",$G$32:$AE$33,2,FALSE),FALSE),FALSE)</formula>
    </cfRule>
  </conditionalFormatting>
  <conditionalFormatting sqref="M33">
    <cfRule type="expression" dxfId="878" priority="20">
      <formula>$M$33&lt;&gt;""</formula>
    </cfRule>
    <cfRule type="expression" dxfId="877" priority="240" stopIfTrue="1">
      <formula>IF(AND(OR(M$32="D2",M$32="D3"),ISNUMBER(HLOOKUP("D2",$G$32:$AE$33,2,FALSE)),ISNUMBER(HLOOKUP("D3",$G$32:$AE$33,2,FALSE))),IF(M32&lt;&gt;"",HLOOKUP("D3",$G$32:$AE$33,2,FALSE)&gt;HLOOKUP("D2",$G$32:$AE$33,2,FALSE),FALSE),FALSE)</formula>
    </cfRule>
  </conditionalFormatting>
  <conditionalFormatting sqref="P33">
    <cfRule type="expression" dxfId="876" priority="19">
      <formula>$P$33&lt;&gt;""</formula>
    </cfRule>
    <cfRule type="expression" dxfId="875" priority="239" stopIfTrue="1">
      <formula>IF(AND(OR(P$32="D2",P$32="D3"),ISNUMBER(HLOOKUP("D2",$G$32:$AE$33,2,FALSE)),ISNUMBER(HLOOKUP("D3",$G$32:$AE$33,2,FALSE))),IF(P32&lt;&gt;"",HLOOKUP("D3",$G$32:$AE$33,2,FALSE)&gt;HLOOKUP("D2",$G$32:$AE$33,2,FALSE),FALSE),FALSE)</formula>
    </cfRule>
  </conditionalFormatting>
  <conditionalFormatting sqref="S33">
    <cfRule type="expression" dxfId="874" priority="18">
      <formula>$S$33&lt;&gt;""</formula>
    </cfRule>
    <cfRule type="expression" dxfId="873" priority="238" stopIfTrue="1">
      <formula>IF(AND(OR(S$32="D2",S$32="D3"),ISNUMBER(HLOOKUP("D2",$G$32:$AE$33,2,FALSE)),ISNUMBER(HLOOKUP("D3",$G$32:$AE$33,2,FALSE))),IF(S32&lt;&gt;"",HLOOKUP("D3",$G$32:$AE$33,2,FALSE)&gt;HLOOKUP("D2",$G$32:$AE$33,2,FALSE),FALSE),FALSE)</formula>
    </cfRule>
  </conditionalFormatting>
  <conditionalFormatting sqref="V33">
    <cfRule type="expression" dxfId="872" priority="17">
      <formula>$V$33&lt;&gt;""</formula>
    </cfRule>
    <cfRule type="expression" dxfId="871" priority="237" stopIfTrue="1">
      <formula>IF(AND(OR(V$32="D2",V$32="D3"),ISNUMBER(HLOOKUP("D2",$G$32:$AE$33,2,FALSE)),ISNUMBER(HLOOKUP("D3",$G$32:$AE$33,2,FALSE))),IF(V32&lt;&gt;"",HLOOKUP("D3",$G$32:$AE$33,2,FALSE)&gt;HLOOKUP("D2",$G$32:$AE$33,2,FALSE),FALSE),FALSE)</formula>
    </cfRule>
  </conditionalFormatting>
  <conditionalFormatting sqref="Y33">
    <cfRule type="expression" dxfId="870" priority="16">
      <formula>$Y$33&lt;&gt;""</formula>
    </cfRule>
    <cfRule type="expression" dxfId="869" priority="236" stopIfTrue="1">
      <formula>IF(AND(OR(Y$32="D2",Y$32="D3"),ISNUMBER(HLOOKUP("D2",$G$32:$AE$33,2,FALSE)),ISNUMBER(HLOOKUP("D3",$G$32:$AE$33,2,FALSE))),IF(Y32&lt;&gt;"",HLOOKUP("D3",$G$32:$AE$33,2,FALSE)&gt;HLOOKUP("D2",$G$32:$AE$33,2,FALSE),FALSE),FALSE)</formula>
    </cfRule>
  </conditionalFormatting>
  <conditionalFormatting sqref="AB33">
    <cfRule type="expression" dxfId="868" priority="15">
      <formula>$AB$33&lt;&gt;""</formula>
    </cfRule>
    <cfRule type="expression" dxfId="867" priority="235" stopIfTrue="1">
      <formula>IF(AND(OR(AB$32="D2",AB$32="D3"),ISNUMBER(HLOOKUP("D2",$G$32:$AE$33,2,FALSE)),ISNUMBER(HLOOKUP("D3",$G$32:$AE$33,2,FALSE))),IF(AB32&lt;&gt;"",HLOOKUP("D3",$G$32:$AE$33,2,FALSE)&gt;HLOOKUP("D2",$G$32:$AE$33,2,FALSE),FALSE),FALSE)</formula>
    </cfRule>
  </conditionalFormatting>
  <conditionalFormatting sqref="AE33">
    <cfRule type="expression" dxfId="866" priority="14">
      <formula>$AE$33&lt;&gt;""</formula>
    </cfRule>
    <cfRule type="expression" dxfId="865" priority="234" stopIfTrue="1">
      <formula>IF(AND(OR(AE$32="D2",AE$32="D3"),ISNUMBER(HLOOKUP("D2",$G$32:$AE$33,2,FALSE)),ISNUMBER(HLOOKUP("D3",$G$32:$AE$33,2,FALSE))),IF(AE32&lt;&gt;"",HLOOKUP("D3",$G$32:$AE$33,2,FALSE)&gt;HLOOKUP("D2",$G$32:$AE$33,2,FALSE),FALSE),FALSE)</formula>
    </cfRule>
  </conditionalFormatting>
  <conditionalFormatting sqref="J34">
    <cfRule type="expression" dxfId="864" priority="13">
      <formula>OR($J$34&lt;&gt;"",COUNTIF($J34:$Y34,"")=8,AND($J$35=0,$J$35&lt;&gt;""))</formula>
    </cfRule>
    <cfRule type="expression" dxfId="863" priority="233" stopIfTrue="1">
      <formula>IF(AND(OR(J$34="D2",J$34="D3"),ISNUMBER(HLOOKUP("D2",$J$34:$Y$35,2,FALSE)),ISNUMBER(HLOOKUP("D3",$J$34:$Y$35,2,FALSE))),IF(J35&lt;&gt;"",HLOOKUP("D3",$J$34:$Y$35,2,FALSE)&gt;HLOOKUP("D2",$J$34:$Y$35,2,FALSE),FALSE),FALSE)</formula>
    </cfRule>
  </conditionalFormatting>
  <conditionalFormatting sqref="M34">
    <cfRule type="expression" dxfId="862" priority="12">
      <formula>OR(M$34&lt;&gt;"",COUNTIF($J34:$Y34,"")=8,AND(M$35=0,M$35&lt;&gt;""))</formula>
    </cfRule>
    <cfRule type="expression" dxfId="861" priority="232" stopIfTrue="1">
      <formula>IF(AND(OR(M$34="D2",M$34="D3"),ISNUMBER(HLOOKUP("D2",$J$34:$Y$35,2,FALSE)),ISNUMBER(HLOOKUP("D3",$J$34:$Y$35,2,FALSE))),IF(M35&lt;&gt;"",HLOOKUP("D3",$J$34:$Y$35,2,FALSE)&gt;HLOOKUP("D2",$J$34:$Y$35,2,FALSE),FALSE),FALSE)</formula>
    </cfRule>
  </conditionalFormatting>
  <conditionalFormatting sqref="P34">
    <cfRule type="expression" dxfId="860" priority="11">
      <formula>OR(P$34&lt;&gt;"",COUNTIF($J34:$Y34,"")=8,AND(P$35=0,P$35&lt;&gt;""))</formula>
    </cfRule>
    <cfRule type="expression" dxfId="859" priority="231" stopIfTrue="1">
      <formula>IF(AND(OR(P$34="D2",P$34="D3"),ISNUMBER(HLOOKUP("D2",$J$34:$Y$35,2,FALSE)),ISNUMBER(HLOOKUP("D3",$J$34:$Y$35,2,FALSE))),IF(P35&lt;&gt;"",HLOOKUP("D3",$J$34:$Y$35,2,FALSE)&gt;HLOOKUP("D2",$J$34:$Y$35,2,FALSE),FALSE),FALSE)</formula>
    </cfRule>
  </conditionalFormatting>
  <conditionalFormatting sqref="S34">
    <cfRule type="expression" dxfId="858" priority="10">
      <formula>OR(S$34&lt;&gt;"",COUNTIF($J34:$Y34,"")=8,AND(S$35=0,S$35&lt;&gt;""))</formula>
    </cfRule>
    <cfRule type="expression" dxfId="857" priority="230" stopIfTrue="1">
      <formula>IF(AND(OR(S$34="D2",S$34="D3"),ISNUMBER(HLOOKUP("D2",$J$34:$Y$35,2,FALSE)),ISNUMBER(HLOOKUP("D3",$J$34:$Y$35,2,FALSE))),IF(S35&lt;&gt;"",HLOOKUP("D3",$J$34:$Y$35,2,FALSE)&gt;HLOOKUP("D2",$J$34:$Y$35,2,FALSE),FALSE),FALSE)</formula>
    </cfRule>
  </conditionalFormatting>
  <conditionalFormatting sqref="V34">
    <cfRule type="expression" dxfId="856" priority="9">
      <formula>OR(V$34&lt;&gt;"",COUNTIF($J34:$Y34,"")=8,AND(V$35=0,V$35&lt;&gt;""))</formula>
    </cfRule>
    <cfRule type="expression" dxfId="855" priority="229" stopIfTrue="1">
      <formula>IF(AND(OR(V$34="D2",V$34="D3"),ISNUMBER(HLOOKUP("D2",$J$34:$Y$35,2,FALSE)),ISNUMBER(HLOOKUP("D3",$J$34:$Y$35,2,FALSE))),IF(V35&lt;&gt;"",HLOOKUP("D3",$J$34:$Y$35,2,FALSE)&gt;HLOOKUP("D2",$J$34:$Y$35,2,FALSE),FALSE),FALSE)</formula>
    </cfRule>
  </conditionalFormatting>
  <conditionalFormatting sqref="Y34">
    <cfRule type="expression" dxfId="854" priority="8">
      <formula>OR(Y$34&lt;&gt;"",COUNTIF($J34:$Y34,"")=8,AND(Y$35=0,Y$35&lt;&gt;""))</formula>
    </cfRule>
    <cfRule type="expression" dxfId="853" priority="228" stopIfTrue="1">
      <formula>IF(AND(OR(Y$34="D2",Y$34="D3"),ISNUMBER(HLOOKUP("D2",$J$34:$Y$35,2,FALSE)),ISNUMBER(HLOOKUP("D3",$J$34:$Y$35,2,FALSE))),IF(Y35&lt;&gt;"",HLOOKUP("D3",$J$34:$Y$35,2,FALSE)&gt;HLOOKUP("D2",$J$34:$Y$35,2,FALSE),FALSE),FALSE)</formula>
    </cfRule>
  </conditionalFormatting>
  <conditionalFormatting sqref="J35">
    <cfRule type="expression" dxfId="852" priority="7">
      <formula>$J$35&lt;&gt;""</formula>
    </cfRule>
    <cfRule type="expression" dxfId="851" priority="227" stopIfTrue="1">
      <formula>IF(AND(OR(J$34="D2",J$34="D3"),ISNUMBER(HLOOKUP("D2",$J$34:$Y$35,2,FALSE)),ISNUMBER(HLOOKUP("D3",$J$34:$Y$35,2,FALSE))),IF(J34&lt;&gt;"",HLOOKUP("D3",$J$34:$Y$35,2,FALSE)&gt;HLOOKUP("D2",$J$34:$Y$35,2,FALSE),FALSE),FALSE)</formula>
    </cfRule>
  </conditionalFormatting>
  <conditionalFormatting sqref="M35">
    <cfRule type="expression" dxfId="850" priority="6">
      <formula>$M$35&lt;&gt;""</formula>
    </cfRule>
    <cfRule type="expression" dxfId="849" priority="226" stopIfTrue="1">
      <formula>IF(AND(OR(M$34="D2",M$34="D3"),ISNUMBER(HLOOKUP("D2",$J$34:$Y$35,2,FALSE)),ISNUMBER(HLOOKUP("D3",$J$34:$Y$35,2,FALSE))),IF(M34&lt;&gt;"",HLOOKUP("D3",$J$34:$Y$35,2,FALSE)&gt;HLOOKUP("D2",$J$34:$Y$35,2,FALSE),FALSE),FALSE)</formula>
    </cfRule>
  </conditionalFormatting>
  <conditionalFormatting sqref="P35">
    <cfRule type="expression" dxfId="848" priority="5">
      <formula>$P$35&lt;&gt;""</formula>
    </cfRule>
    <cfRule type="expression" dxfId="847" priority="225" stopIfTrue="1">
      <formula>IF(AND(OR(P$34="D2",P$34="D3"),ISNUMBER(HLOOKUP("D2",$J$34:$Y$35,2,FALSE)),ISNUMBER(HLOOKUP("D3",$J$34:$Y$35,2,FALSE))),IF(P34&lt;&gt;"",HLOOKUP("D3",$J$34:$Y$35,2,FALSE)&gt;HLOOKUP("D2",$J$34:$Y$35,2,FALSE),FALSE),FALSE)</formula>
    </cfRule>
  </conditionalFormatting>
  <conditionalFormatting sqref="S35">
    <cfRule type="expression" dxfId="846" priority="4">
      <formula>$S$35&lt;&gt;""</formula>
    </cfRule>
    <cfRule type="expression" dxfId="845" priority="224" stopIfTrue="1">
      <formula>IF(AND(OR(S$34="D2",S$34="D3"),ISNUMBER(HLOOKUP("D2",$J$34:$Y$35,2,FALSE)),ISNUMBER(HLOOKUP("D3",$J$34:$Y$35,2,FALSE))),IF(S34&lt;&gt;"",HLOOKUP("D3",$J$34:$Y$35,2,FALSE)&gt;HLOOKUP("D2",$J$34:$Y$35,2,FALSE),FALSE),FALSE)</formula>
    </cfRule>
  </conditionalFormatting>
  <conditionalFormatting sqref="V35">
    <cfRule type="expression" dxfId="844" priority="3">
      <formula>$V$35&lt;&gt;""</formula>
    </cfRule>
    <cfRule type="expression" dxfId="843" priority="223" stopIfTrue="1">
      <formula>IF(AND(OR(V$34="D2",V$34="D3"),ISNUMBER(HLOOKUP("D2",$J$34:$Y$35,2,FALSE)),ISNUMBER(HLOOKUP("D3",$J$34:$Y$35,2,FALSE))),IF(V34&lt;&gt;"",HLOOKUP("D3",$J$34:$Y$35,2,FALSE)&gt;HLOOKUP("D2",$J$34:$Y$35,2,FALSE),FALSE),FALSE)</formula>
    </cfRule>
  </conditionalFormatting>
  <conditionalFormatting sqref="Y35">
    <cfRule type="expression" dxfId="842" priority="2">
      <formula>$Y$35&lt;&gt;""</formula>
    </cfRule>
    <cfRule type="expression" dxfId="841" priority="222" stopIfTrue="1">
      <formula>IF(AND(OR(Y$34="D2",Y$34="D3"),ISNUMBER(HLOOKUP("D2",$J$34:$Y$35,2,FALSE)),ISNUMBER(HLOOKUP("D3",$J$34:$Y$35,2,FALSE))),IF(Y34&lt;&gt;"",HLOOKUP("D3",$J$34:$Y$35,2,FALSE)&gt;HLOOKUP("D2",$J$34:$Y$35,2,FALSE),FALSE),FALSE)</formula>
    </cfRule>
  </conditionalFormatting>
  <conditionalFormatting sqref="N36:O36">
    <cfRule type="expression" dxfId="840" priority="221" stopIfTrue="1">
      <formula>OR(N36&lt;&gt;"",COUNTIF($N$36:$AE$37,"")+COUNTIF($E$37:$J$38,"")=38,COUNTIF($N$36:$Y$36,"")=9)</formula>
    </cfRule>
  </conditionalFormatting>
  <conditionalFormatting sqref="S36:T36">
    <cfRule type="expression" dxfId="839" priority="220" stopIfTrue="1">
      <formula>OR(S36&lt;&gt;"",COUNTIF($N$36:$AE$37,"")+COUNTIF($E$37:$J$38,"")=38,COUNTIF($N$36:$Y$36,"")=9)</formula>
    </cfRule>
  </conditionalFormatting>
  <conditionalFormatting sqref="X36:Y36">
    <cfRule type="expression" dxfId="838" priority="218" stopIfTrue="1">
      <formula>OR(X36&lt;&gt;"",COUNTIF($N$36:$AE$37,"")+COUNTIF($E$37:$J$38,"")=38,COUNTIF($N$36:$Y$36,"")=9)</formula>
    </cfRule>
  </conditionalFormatting>
  <conditionalFormatting sqref="E37:F37">
    <cfRule type="expression" dxfId="837" priority="217" stopIfTrue="1">
      <formula>OR($E$37&lt;&gt;"",COUNTIF($N$36:$AE$37,"")+COUNTIF($E$37:$J$38,"")=38,$O$54&lt;&gt;"",$S$54&lt;&gt;"",$W$54&lt;&gt;"",$AC$54&lt;&gt;"")</formula>
    </cfRule>
  </conditionalFormatting>
  <conditionalFormatting sqref="I37:J37">
    <cfRule type="expression" dxfId="836" priority="216" stopIfTrue="1">
      <formula>OR($I$37&lt;&gt;"",COUNTIF($N$36:$AE$37,"")+COUNTIF($E$37:$J$38,"")=38,$O$54&lt;&gt;"",$S$54&lt;&gt;"",$W$54&lt;&gt;"",$AC$54&lt;&gt;"")</formula>
    </cfRule>
  </conditionalFormatting>
  <conditionalFormatting sqref="N37:O37">
    <cfRule type="expression" dxfId="835" priority="215" stopIfTrue="1">
      <formula>OR($N$37&lt;&gt;"",COUNTIF($N$36:$AE$37,"")+COUNTIF($E$37:$J$38,"")=38,$O$54&lt;&gt;"",$S$54&lt;&gt;"",$W$54&lt;&gt;"",$AC$54&lt;&gt;"")</formula>
    </cfRule>
  </conditionalFormatting>
  <conditionalFormatting sqref="S37:T37">
    <cfRule type="expression" dxfId="834" priority="214" stopIfTrue="1">
      <formula>OR($S$37&lt;&gt;"",COUNTIF($N$36:$AE$37,"")+COUNTIF($E$37:$J$38,"")=38,$O$54&lt;&gt;"",$S$54&lt;&gt;"",$W$54&lt;&gt;"",$AC$54&lt;&gt;"")</formula>
    </cfRule>
  </conditionalFormatting>
  <conditionalFormatting sqref="X37:Y37">
    <cfRule type="expression" dxfId="833" priority="213" stopIfTrue="1">
      <formula>OR($X$37&lt;&gt;"",COUNTIF($N$36:$AE$37,"")+COUNTIF($E$37:$J$38,"")=38,$O$54&lt;&gt;"",$S$54&lt;&gt;"",$W$54&lt;&gt;"",$AC$54&lt;&gt;"")</formula>
    </cfRule>
  </conditionalFormatting>
  <conditionalFormatting sqref="AD37:AE37">
    <cfRule type="expression" dxfId="832" priority="212" stopIfTrue="1">
      <formula>OR($AD$37&lt;&gt;"",COUNTIF($N$36:$AE$37,"")+COUNTIF($E$37:$J$38,"")=38,$O$54&lt;&gt;"",$S$54&lt;&gt;"",$W$54&lt;&gt;"",$AC$54&lt;&gt;"")</formula>
    </cfRule>
  </conditionalFormatting>
  <conditionalFormatting sqref="E38:F38">
    <cfRule type="expression" dxfId="831" priority="211" stopIfTrue="1">
      <formula>OR($E$38&lt;&gt;"",COUNTIF($N$36:$AE$37,"")+COUNTIF($E$37:$J$38,"")=38,$O$54&lt;&gt;"",$S$54&lt;&gt;"",$W$54&lt;&gt;"",$AC$54&lt;&gt;"")</formula>
    </cfRule>
  </conditionalFormatting>
  <conditionalFormatting sqref="R38:V38">
    <cfRule type="expression" dxfId="830" priority="210" stopIfTrue="1">
      <formula>$R$38&lt;&gt;""</formula>
    </cfRule>
  </conditionalFormatting>
  <conditionalFormatting sqref="AB38:AE38">
    <cfRule type="expression" dxfId="829" priority="209" stopIfTrue="1">
      <formula>$AB$38&lt;&gt;""</formula>
    </cfRule>
  </conditionalFormatting>
  <conditionalFormatting sqref="G39">
    <cfRule type="expression" dxfId="828" priority="208" stopIfTrue="1">
      <formula>$G$39&lt;&gt;""</formula>
    </cfRule>
  </conditionalFormatting>
  <conditionalFormatting sqref="V39">
    <cfRule type="expression" dxfId="827" priority="207" stopIfTrue="1">
      <formula>$V$39&lt;&gt;""</formula>
    </cfRule>
  </conditionalFormatting>
  <conditionalFormatting sqref="K53:M53">
    <cfRule type="expression" dxfId="826" priority="206" stopIfTrue="1">
      <formula>$K$53&lt;&gt;""</formula>
    </cfRule>
  </conditionalFormatting>
  <conditionalFormatting sqref="X53:Z53">
    <cfRule type="expression" dxfId="825" priority="205" stopIfTrue="1">
      <formula>$X$53&lt;&gt;""</formula>
    </cfRule>
  </conditionalFormatting>
  <conditionalFormatting sqref="O54:P54">
    <cfRule type="expression" dxfId="824" priority="204" stopIfTrue="1">
      <formula>OR($O$54&lt;&gt;"",$S$54&lt;&gt;"",$W$54&lt;&gt;"",$AC$54&lt;&gt;"")</formula>
    </cfRule>
  </conditionalFormatting>
  <conditionalFormatting sqref="S54:T54">
    <cfRule type="expression" dxfId="823" priority="203" stopIfTrue="1">
      <formula>OR($O$54&lt;&gt;"",$S$54&lt;&gt;"",$W$54&lt;&gt;"",$AC$54&lt;&gt;"")</formula>
    </cfRule>
  </conditionalFormatting>
  <conditionalFormatting sqref="W54:Y54">
    <cfRule type="expression" dxfId="822" priority="202" stopIfTrue="1">
      <formula>OR($O$54&lt;&gt;"",$S$54&lt;&gt;"",$W$54&lt;&gt;"",$AC$54&lt;&gt;"")</formula>
    </cfRule>
  </conditionalFormatting>
  <conditionalFormatting sqref="AC54:AD54">
    <cfRule type="expression" dxfId="821" priority="201" stopIfTrue="1">
      <formula>OR($O$54&lt;&gt;"",$S$54&lt;&gt;"",$W$54&lt;&gt;"",$AC$54&lt;&gt;"")</formula>
    </cfRule>
  </conditionalFormatting>
  <conditionalFormatting sqref="O55:P55">
    <cfRule type="expression" dxfId="820" priority="200" stopIfTrue="1">
      <formula>OR($O$55&lt;&gt;"",$S$55&lt;&gt;"",$W$55&lt;&gt;"",$AC$55&lt;&gt;"")</formula>
    </cfRule>
  </conditionalFormatting>
  <conditionalFormatting sqref="S55:T55">
    <cfRule type="expression" dxfId="819" priority="199" stopIfTrue="1">
      <formula>OR($O$55&lt;&gt;"",$S$55&lt;&gt;"",$W$55&lt;&gt;"",$AC$55&lt;&gt;"")</formula>
    </cfRule>
  </conditionalFormatting>
  <conditionalFormatting sqref="W55:Y55">
    <cfRule type="expression" dxfId="818" priority="198" stopIfTrue="1">
      <formula>OR($O$55&lt;&gt;"",$S$55&lt;&gt;"",$W$55&lt;&gt;"",$AC$55&lt;&gt;"")</formula>
    </cfRule>
  </conditionalFormatting>
  <conditionalFormatting sqref="AC55:AD55">
    <cfRule type="expression" dxfId="817" priority="197" stopIfTrue="1">
      <formula>OR($O$55&lt;&gt;"",$S$55&lt;&gt;"",$W$55&lt;&gt;"",$AC$55&lt;&gt;"")</formula>
    </cfRule>
  </conditionalFormatting>
  <conditionalFormatting sqref="O56:P56">
    <cfRule type="expression" dxfId="816" priority="196" stopIfTrue="1">
      <formula>OR($O$56&lt;&gt;"",$T$56&lt;&gt;"",$X$56&lt;&gt;"")</formula>
    </cfRule>
  </conditionalFormatting>
  <conditionalFormatting sqref="T56">
    <cfRule type="expression" dxfId="815" priority="195" stopIfTrue="1">
      <formula>OR($O$56&lt;&gt;"",$T$56&lt;&gt;"",$X$56&lt;&gt;"")</formula>
    </cfRule>
  </conditionalFormatting>
  <conditionalFormatting sqref="X56:Y56">
    <cfRule type="expression" dxfId="814" priority="194" stopIfTrue="1">
      <formula>OR($O$56&lt;&gt;"",$T$56&lt;&gt;"",$X$56&lt;&gt;"")</formula>
    </cfRule>
  </conditionalFormatting>
  <conditionalFormatting sqref="S57:T57">
    <cfRule type="expression" dxfId="813" priority="193" stopIfTrue="1">
      <formula>OR($S$57&lt;&gt;"",$X$57&lt;&gt;"")</formula>
    </cfRule>
  </conditionalFormatting>
  <conditionalFormatting sqref="X57:Y57">
    <cfRule type="expression" dxfId="812" priority="192" stopIfTrue="1">
      <formula>OR($S$57&lt;&gt;"",$X$57&lt;&gt;"")</formula>
    </cfRule>
  </conditionalFormatting>
  <conditionalFormatting sqref="S58:T58">
    <cfRule type="expression" dxfId="811" priority="191" stopIfTrue="1">
      <formula>$S$58&lt;&gt;""</formula>
    </cfRule>
  </conditionalFormatting>
  <conditionalFormatting sqref="I60:J60">
    <cfRule type="expression" dxfId="810" priority="190" stopIfTrue="1">
      <formula>OR($I$60&lt;&gt;"",$M$60&lt;&gt;"")</formula>
    </cfRule>
  </conditionalFormatting>
  <conditionalFormatting sqref="M60">
    <cfRule type="expression" dxfId="809" priority="189" stopIfTrue="1">
      <formula>OR($I$60&lt;&gt;"",$M$60&lt;&gt;"")</formula>
    </cfRule>
  </conditionalFormatting>
  <conditionalFormatting sqref="W60:AA60">
    <cfRule type="expression" dxfId="808" priority="188" stopIfTrue="1">
      <formula>OR($W$60&lt;&gt;"",$M$60&lt;&gt;"")</formula>
    </cfRule>
  </conditionalFormatting>
  <conditionalFormatting sqref="J61:K61">
    <cfRule type="expression" dxfId="807" priority="187" stopIfTrue="1">
      <formula>OR($J$61&lt;&gt;"",$O$61&lt;&gt;"",$T$61&lt;&gt;"",$Y$61&lt;&gt;"",$M$60&lt;&gt;"")</formula>
    </cfRule>
  </conditionalFormatting>
  <conditionalFormatting sqref="O61:P61">
    <cfRule type="expression" dxfId="806" priority="186" stopIfTrue="1">
      <formula>OR($J$61&lt;&gt;"",$O$61&lt;&gt;"",$T$61&lt;&gt;"",$Y$61&lt;&gt;"",$M$60&lt;&gt;"")</formula>
    </cfRule>
  </conditionalFormatting>
  <conditionalFormatting sqref="T61:U61">
    <cfRule type="expression" dxfId="805" priority="185" stopIfTrue="1">
      <formula>OR($J$61&lt;&gt;"",$O$61&lt;&gt;"",$T$61&lt;&gt;"",$Y$61&lt;&gt;"",$M$60&lt;&gt;"")</formula>
    </cfRule>
  </conditionalFormatting>
  <conditionalFormatting sqref="Y61:Z61">
    <cfRule type="expression" dxfId="804" priority="184" stopIfTrue="1">
      <formula>OR($J$61&lt;&gt;"",$O$61&lt;&gt;"",$T$61&lt;&gt;"",$Y$61&lt;&gt;"",$M$60&lt;&gt;"")</formula>
    </cfRule>
  </conditionalFormatting>
  <conditionalFormatting sqref="AA62:AE62">
    <cfRule type="expression" dxfId="803" priority="182" stopIfTrue="1">
      <formula>OR($AA$62&lt;&gt;"",COUNTA($E$63:$E$67,$I$63:$I$67,$M$63:$M$67,$P$63:$P$67,$S$63:$S$67,$W$63:$W$67,$AA$63:$AA$67,$AE$63:$AE$67)&gt;0)</formula>
    </cfRule>
  </conditionalFormatting>
  <conditionalFormatting sqref="E63">
    <cfRule type="expression" dxfId="802" priority="181" stopIfTrue="1">
      <formula>OR($E$63&lt;&gt;"",$AA$62&lt;&gt;"")</formula>
    </cfRule>
  </conditionalFormatting>
  <conditionalFormatting sqref="I63">
    <cfRule type="expression" dxfId="801" priority="180" stopIfTrue="1">
      <formula>OR($I$63&lt;&gt;"",$AA$62&lt;&gt;"")</formula>
    </cfRule>
  </conditionalFormatting>
  <conditionalFormatting sqref="M63">
    <cfRule type="expression" dxfId="800" priority="179" stopIfTrue="1">
      <formula>OR($M$63&lt;&gt;"",$AA$62&lt;&gt;"")</formula>
    </cfRule>
  </conditionalFormatting>
  <conditionalFormatting sqref="P63">
    <cfRule type="expression" dxfId="799" priority="178" stopIfTrue="1">
      <formula>OR($P$63&lt;&gt;"",$AA$62&lt;&gt;"")</formula>
    </cfRule>
  </conditionalFormatting>
  <conditionalFormatting sqref="S63">
    <cfRule type="expression" dxfId="798" priority="177" stopIfTrue="1">
      <formula>OR($S$63&lt;&gt;"",$AA$62&lt;&gt;"")</formula>
    </cfRule>
  </conditionalFormatting>
  <conditionalFormatting sqref="W63">
    <cfRule type="expression" dxfId="797" priority="176" stopIfTrue="1">
      <formula>OR($W$63&lt;&gt;"",$AA$62&lt;&gt;"")</formula>
    </cfRule>
  </conditionalFormatting>
  <conditionalFormatting sqref="AA63">
    <cfRule type="expression" dxfId="796" priority="175" stopIfTrue="1">
      <formula>OR($AA$63&lt;&gt;"",$AA$62&lt;&gt;"")</formula>
    </cfRule>
  </conditionalFormatting>
  <conditionalFormatting sqref="AE63">
    <cfRule type="expression" dxfId="795" priority="174" stopIfTrue="1">
      <formula>OR($AE$63&lt;&gt;"",$AA$62&lt;&gt;"")</formula>
    </cfRule>
  </conditionalFormatting>
  <conditionalFormatting sqref="E64">
    <cfRule type="expression" dxfId="794" priority="173" stopIfTrue="1">
      <formula>OR($E$64&lt;&gt;"",$AA$62&lt;&gt;"")</formula>
    </cfRule>
  </conditionalFormatting>
  <conditionalFormatting sqref="I64">
    <cfRule type="expression" dxfId="793" priority="172" stopIfTrue="1">
      <formula>OR($I$64&lt;&gt;"",$AA$62&lt;&gt;"")</formula>
    </cfRule>
  </conditionalFormatting>
  <conditionalFormatting sqref="M64">
    <cfRule type="expression" dxfId="792" priority="171" stopIfTrue="1">
      <formula>OR($M$64&lt;&gt;"",$AA$62&lt;&gt;"")</formula>
    </cfRule>
  </conditionalFormatting>
  <conditionalFormatting sqref="P64">
    <cfRule type="expression" dxfId="791" priority="170" stopIfTrue="1">
      <formula>OR($P$64&lt;&gt;"",$AA$62&lt;&gt;"")</formula>
    </cfRule>
  </conditionalFormatting>
  <conditionalFormatting sqref="S64">
    <cfRule type="expression" dxfId="790" priority="169" stopIfTrue="1">
      <formula>OR($S$64&lt;&gt;"",$AA$62&lt;&gt;"")</formula>
    </cfRule>
  </conditionalFormatting>
  <conditionalFormatting sqref="W64">
    <cfRule type="expression" dxfId="789" priority="168" stopIfTrue="1">
      <formula>OR($W$64&lt;&gt;"",$AA$62&lt;&gt;"")</formula>
    </cfRule>
  </conditionalFormatting>
  <conditionalFormatting sqref="AA64">
    <cfRule type="expression" dxfId="788" priority="167" stopIfTrue="1">
      <formula>OR($AA$64&lt;&gt;"",$AA$62&lt;&gt;"")</formula>
    </cfRule>
  </conditionalFormatting>
  <conditionalFormatting sqref="AE64">
    <cfRule type="expression" dxfId="787" priority="166" stopIfTrue="1">
      <formula>OR($AE$64&lt;&gt;"",$AA$62&lt;&gt;"")</formula>
    </cfRule>
  </conditionalFormatting>
  <conditionalFormatting sqref="E65">
    <cfRule type="expression" dxfId="786" priority="165" stopIfTrue="1">
      <formula>OR($E$65&lt;&gt;"",$AA$62&lt;&gt;"")</formula>
    </cfRule>
  </conditionalFormatting>
  <conditionalFormatting sqref="I65">
    <cfRule type="expression" dxfId="785" priority="164" stopIfTrue="1">
      <formula>OR($I$65&lt;&gt;"",$AA$62&lt;&gt;"")</formula>
    </cfRule>
  </conditionalFormatting>
  <conditionalFormatting sqref="M65">
    <cfRule type="expression" dxfId="784" priority="163" stopIfTrue="1">
      <formula>OR($M$65&lt;&gt;"",$AA$62&lt;&gt;"")</formula>
    </cfRule>
  </conditionalFormatting>
  <conditionalFormatting sqref="P65">
    <cfRule type="expression" dxfId="783" priority="162" stopIfTrue="1">
      <formula>OR($P$65&lt;&gt;"",$AA$62&lt;&gt;"")</formula>
    </cfRule>
  </conditionalFormatting>
  <conditionalFormatting sqref="S65">
    <cfRule type="expression" dxfId="782" priority="161" stopIfTrue="1">
      <formula>OR($S$65&lt;&gt;"",$AA$62&lt;&gt;"")</formula>
    </cfRule>
  </conditionalFormatting>
  <conditionalFormatting sqref="W65">
    <cfRule type="expression" dxfId="781" priority="160" stopIfTrue="1">
      <formula>OR($W$65&lt;&gt;"",$AA$62&lt;&gt;"")</formula>
    </cfRule>
  </conditionalFormatting>
  <conditionalFormatting sqref="AA65">
    <cfRule type="expression" dxfId="780" priority="159" stopIfTrue="1">
      <formula>OR($AA$65&lt;&gt;"",$AA$62&lt;&gt;"")</formula>
    </cfRule>
  </conditionalFormatting>
  <conditionalFormatting sqref="AE65">
    <cfRule type="expression" dxfId="779" priority="158" stopIfTrue="1">
      <formula>OR($AE$65&lt;&gt;"",$AA$62&lt;&gt;"")</formula>
    </cfRule>
  </conditionalFormatting>
  <conditionalFormatting sqref="E66">
    <cfRule type="expression" dxfId="778" priority="157" stopIfTrue="1">
      <formula>OR($E$66&lt;&gt;"",$AA$62&lt;&gt;"")</formula>
    </cfRule>
  </conditionalFormatting>
  <conditionalFormatting sqref="I66">
    <cfRule type="expression" dxfId="777" priority="156" stopIfTrue="1">
      <formula>OR($I$66&lt;&gt;"",$AA$62&lt;&gt;"")</formula>
    </cfRule>
  </conditionalFormatting>
  <conditionalFormatting sqref="M66">
    <cfRule type="expression" dxfId="776" priority="155" stopIfTrue="1">
      <formula>OR($M$66&lt;&gt;"",$AA$62&lt;&gt;"")</formula>
    </cfRule>
  </conditionalFormatting>
  <conditionalFormatting sqref="P66">
    <cfRule type="expression" dxfId="775" priority="154" stopIfTrue="1">
      <formula>OR($P$66&lt;&gt;"",$AA$62&lt;&gt;"")</formula>
    </cfRule>
  </conditionalFormatting>
  <conditionalFormatting sqref="S66">
    <cfRule type="expression" dxfId="774" priority="153" stopIfTrue="1">
      <formula>OR($S$66&lt;&gt;"",$AA$62&lt;&gt;"")</formula>
    </cfRule>
  </conditionalFormatting>
  <conditionalFormatting sqref="W66">
    <cfRule type="expression" dxfId="773" priority="152" stopIfTrue="1">
      <formula>OR($W$66&lt;&gt;"",$AA$62&lt;&gt;"")</formula>
    </cfRule>
  </conditionalFormatting>
  <conditionalFormatting sqref="AA66">
    <cfRule type="expression" dxfId="772" priority="151" stopIfTrue="1">
      <formula>OR($AA$66&lt;&gt;"",$AA$62&lt;&gt;"")</formula>
    </cfRule>
  </conditionalFormatting>
  <conditionalFormatting sqref="AE66">
    <cfRule type="expression" dxfId="771" priority="150" stopIfTrue="1">
      <formula>OR($AE$66&lt;&gt;"",$AA$62&lt;&gt;"")</formula>
    </cfRule>
  </conditionalFormatting>
  <conditionalFormatting sqref="E67">
    <cfRule type="expression" dxfId="770" priority="149" stopIfTrue="1">
      <formula>OR($E$67&lt;&gt;"",$AA$62&lt;&gt;"")</formula>
    </cfRule>
  </conditionalFormatting>
  <conditionalFormatting sqref="I67">
    <cfRule type="expression" dxfId="769" priority="148" stopIfTrue="1">
      <formula>OR($I$67&lt;&gt;"",$AA$62&lt;&gt;"")</formula>
    </cfRule>
  </conditionalFormatting>
  <conditionalFormatting sqref="M67">
    <cfRule type="expression" dxfId="768" priority="147" stopIfTrue="1">
      <formula>OR($M$67&lt;&gt;"",$AA$62&lt;&gt;"")</formula>
    </cfRule>
  </conditionalFormatting>
  <conditionalFormatting sqref="P67">
    <cfRule type="expression" dxfId="767" priority="146" stopIfTrue="1">
      <formula>OR($P$67&lt;&gt;"",$AA$62&lt;&gt;"")</formula>
    </cfRule>
  </conditionalFormatting>
  <conditionalFormatting sqref="S67">
    <cfRule type="expression" dxfId="766" priority="145" stopIfTrue="1">
      <formula>OR($S$67&lt;&gt;"",$AA$62&lt;&gt;"")</formula>
    </cfRule>
  </conditionalFormatting>
  <conditionalFormatting sqref="W67">
    <cfRule type="expression" dxfId="765" priority="144" stopIfTrue="1">
      <formula>OR($W$67&lt;&gt;"",$AA$62&lt;&gt;"")</formula>
    </cfRule>
  </conditionalFormatting>
  <conditionalFormatting sqref="AA67">
    <cfRule type="expression" dxfId="764" priority="143" stopIfTrue="1">
      <formula>OR($AA$67&lt;&gt;"",$AA$62&lt;&gt;"")</formula>
    </cfRule>
  </conditionalFormatting>
  <conditionalFormatting sqref="AE67">
    <cfRule type="expression" dxfId="763" priority="142" stopIfTrue="1">
      <formula>OR($AE$67&lt;&gt;"",$AA$62&lt;&gt;"")</formula>
    </cfRule>
  </conditionalFormatting>
  <conditionalFormatting sqref="Z69:AD69">
    <cfRule type="expression" dxfId="762" priority="140" stopIfTrue="1">
      <formula>AND($Z$69&lt;&gt;"",OR($H$70&lt;&gt;"",$S$70&lt;&gt;"",$AC$70&lt;&gt;"",$H$71&lt;&gt;"",$S$71&lt;&gt;"",$AC$71&lt;&gt;""))</formula>
    </cfRule>
  </conditionalFormatting>
  <conditionalFormatting sqref="H70:J70">
    <cfRule type="expression" dxfId="761" priority="139" stopIfTrue="1">
      <formula>$H$70&lt;&gt;""</formula>
    </cfRule>
  </conditionalFormatting>
  <conditionalFormatting sqref="S70:U70">
    <cfRule type="expression" dxfId="760" priority="138" stopIfTrue="1">
      <formula>$S$70&lt;&gt;""</formula>
    </cfRule>
  </conditionalFormatting>
  <conditionalFormatting sqref="AC70:AE70">
    <cfRule type="expression" dxfId="759" priority="137" stopIfTrue="1">
      <formula>$AC$70&lt;&gt;""</formula>
    </cfRule>
  </conditionalFormatting>
  <conditionalFormatting sqref="H71:J71">
    <cfRule type="expression" dxfId="758" priority="136" stopIfTrue="1">
      <formula>$H$71&lt;&gt;""</formula>
    </cfRule>
  </conditionalFormatting>
  <conditionalFormatting sqref="S71:U71">
    <cfRule type="expression" dxfId="757" priority="135" stopIfTrue="1">
      <formula>$S$71&lt;&gt;""</formula>
    </cfRule>
  </conditionalFormatting>
  <conditionalFormatting sqref="AC71:AE71">
    <cfRule type="expression" dxfId="756" priority="134" stopIfTrue="1">
      <formula>$AC$71&lt;&gt;""</formula>
    </cfRule>
  </conditionalFormatting>
  <conditionalFormatting sqref="F73:AE73">
    <cfRule type="expression" dxfId="755" priority="133" stopIfTrue="1">
      <formula>$F$73&lt;&gt;""</formula>
    </cfRule>
  </conditionalFormatting>
  <conditionalFormatting sqref="B75:AE75">
    <cfRule type="expression" dxfId="754" priority="132" stopIfTrue="1">
      <formula>$B$75&lt;&gt;""</formula>
    </cfRule>
  </conditionalFormatting>
  <conditionalFormatting sqref="B77:AE77">
    <cfRule type="expression" dxfId="753" priority="131" stopIfTrue="1">
      <formula>$B$77&lt;&gt;""</formula>
    </cfRule>
  </conditionalFormatting>
  <conditionalFormatting sqref="AD36:AE36">
    <cfRule type="expression" dxfId="752" priority="130" stopIfTrue="1">
      <formula>OR($AD$36&lt;&gt;"",COUNTIF($N$36:$AE$37,"")+COUNTIF($E$37:$J$38,"")=38,$O$54&lt;&gt;"",$S$54&lt;&gt;"",$W$54&lt;&gt;"",$AC$54&lt;&gt;"")</formula>
    </cfRule>
  </conditionalFormatting>
  <conditionalFormatting sqref="B43:G43">
    <cfRule type="expression" dxfId="751" priority="81" stopIfTrue="1">
      <formula>AND(B43&lt;&gt;"",IF(ISNUMBER(VLOOKUP(B43,Artlista_alla_2,3,FALSE)),VLOOKUP(B43,Artlista_alla_2,3,FALSE)&gt;0,FALSE))</formula>
    </cfRule>
  </conditionalFormatting>
  <conditionalFormatting sqref="H43:J43">
    <cfRule type="expression" dxfId="750" priority="80" stopIfTrue="1">
      <formula>AND(B43&lt;&gt;"",IF(ISNUMBER(VLOOKUP(B43,Artlista_alla_2,3,FALSE)),VLOOKUP(B43,Artlista_alla_2,3,FALSE)&gt;0,FALSE))</formula>
    </cfRule>
  </conditionalFormatting>
  <conditionalFormatting sqref="K43:M43">
    <cfRule type="expression" dxfId="749" priority="79" stopIfTrue="1">
      <formula>AND(B43&lt;&gt;"",IF(ISNUMBER(VLOOKUP(B43,Artlista_alla_2,3,FALSE)),VLOOKUP(B43,Artlista_alla_2,3,FALSE)&gt;0,FALSE))</formula>
    </cfRule>
  </conditionalFormatting>
  <conditionalFormatting sqref="N43:P43">
    <cfRule type="expression" dxfId="748" priority="78" stopIfTrue="1">
      <formula>AND(B43&lt;&gt;"",IF(ISNUMBER(VLOOKUP(B43,Artlista_alla_2,3,FALSE)),VLOOKUP(B43,Artlista_alla_2,3,FALSE)&gt;0,FALSE))</formula>
    </cfRule>
  </conditionalFormatting>
  <conditionalFormatting sqref="B44:G44">
    <cfRule type="expression" dxfId="747" priority="77" stopIfTrue="1">
      <formula>AND(B44&lt;&gt;"",IF(ISNUMBER(VLOOKUP(B44,Artlista_alla_2,3,FALSE)),VLOOKUP(B44,Artlista_alla_2,3,FALSE)&gt;0,FALSE))</formula>
    </cfRule>
  </conditionalFormatting>
  <conditionalFormatting sqref="H44:J44">
    <cfRule type="expression" dxfId="746" priority="76" stopIfTrue="1">
      <formula>AND(B44&lt;&gt;"",IF(ISNUMBER(VLOOKUP(B44,Artlista_alla_2,3,FALSE)),VLOOKUP(B44,Artlista_alla_2,3,FALSE)&gt;0,FALSE))</formula>
    </cfRule>
  </conditionalFormatting>
  <conditionalFormatting sqref="K44:M44">
    <cfRule type="expression" dxfId="745" priority="75" stopIfTrue="1">
      <formula>AND(B44&lt;&gt;"",IF(ISNUMBER(VLOOKUP(B44,Artlista_alla_2,3,FALSE)),VLOOKUP(B44,Artlista_alla_2,3,FALSE)&gt;0,FALSE))</formula>
    </cfRule>
  </conditionalFormatting>
  <conditionalFormatting sqref="N44:P44">
    <cfRule type="expression" dxfId="744" priority="74" stopIfTrue="1">
      <formula>AND(B44&lt;&gt;"",IF(ISNUMBER(VLOOKUP(B44,Artlista_alla_2,3,FALSE)),VLOOKUP(B44,Artlista_alla_2,3,FALSE)&gt;0,FALSE))</formula>
    </cfRule>
  </conditionalFormatting>
  <conditionalFormatting sqref="B45:G45">
    <cfRule type="expression" dxfId="743" priority="73" stopIfTrue="1">
      <formula>AND(B45&lt;&gt;"",IF(ISNUMBER(VLOOKUP(B45,Artlista_alla_2,3,FALSE)),VLOOKUP(B45,Artlista_alla_2,3,FALSE)&gt;0,FALSE))</formula>
    </cfRule>
  </conditionalFormatting>
  <conditionalFormatting sqref="H45:J45">
    <cfRule type="expression" dxfId="742" priority="72" stopIfTrue="1">
      <formula>AND(B45&lt;&gt;"",IF(ISNUMBER(VLOOKUP(B45,Artlista_alla_2,3,FALSE)),VLOOKUP(B45,Artlista_alla_2,3,FALSE)&gt;0,FALSE))</formula>
    </cfRule>
  </conditionalFormatting>
  <conditionalFormatting sqref="K45:M45">
    <cfRule type="expression" dxfId="741" priority="71" stopIfTrue="1">
      <formula>AND(B45&lt;&gt;"",IF(ISNUMBER(VLOOKUP(B45,Artlista_alla_2,3,FALSE)),VLOOKUP(B45,Artlista_alla_2,3,FALSE)&gt;0,FALSE))</formula>
    </cfRule>
  </conditionalFormatting>
  <conditionalFormatting sqref="N45:P45">
    <cfRule type="expression" dxfId="740" priority="70" stopIfTrue="1">
      <formula>AND(B45&lt;&gt;"",IF(ISNUMBER(VLOOKUP(B45,Artlista_alla_2,3,FALSE)),VLOOKUP(B45,Artlista_alla_2,3,FALSE)&gt;0,FALSE))</formula>
    </cfRule>
  </conditionalFormatting>
  <conditionalFormatting sqref="B46:G46">
    <cfRule type="expression" dxfId="739" priority="69" stopIfTrue="1">
      <formula>AND(B46&lt;&gt;"",IF(ISNUMBER(VLOOKUP(B46,Artlista_alla_2,3,FALSE)),VLOOKUP(B46,Artlista_alla_2,3,FALSE)&gt;0,FALSE))</formula>
    </cfRule>
  </conditionalFormatting>
  <conditionalFormatting sqref="H46:J46">
    <cfRule type="expression" dxfId="738" priority="68" stopIfTrue="1">
      <formula>AND(B46&lt;&gt;"",IF(ISNUMBER(VLOOKUP(B46,Artlista_alla_2,3,FALSE)),VLOOKUP(B46,Artlista_alla_2,3,FALSE)&gt;0,FALSE))</formula>
    </cfRule>
  </conditionalFormatting>
  <conditionalFormatting sqref="K46:M46">
    <cfRule type="expression" dxfId="737" priority="67" stopIfTrue="1">
      <formula>AND(B46&lt;&gt;"",IF(ISNUMBER(VLOOKUP(B46,Artlista_alla_2,3,FALSE)),VLOOKUP(B46,Artlista_alla_2,3,FALSE)&gt;0,FALSE))</formula>
    </cfRule>
  </conditionalFormatting>
  <conditionalFormatting sqref="N46:P46">
    <cfRule type="expression" dxfId="736" priority="66" stopIfTrue="1">
      <formula>AND(B46&lt;&gt;"",IF(ISNUMBER(VLOOKUP(B46,Artlista_alla_2,3,FALSE)),VLOOKUP(B46,Artlista_alla_2,3,FALSE)&gt;0,FALSE))</formula>
    </cfRule>
  </conditionalFormatting>
  <conditionalFormatting sqref="B47:G47">
    <cfRule type="expression" dxfId="735" priority="65" stopIfTrue="1">
      <formula>AND(B47&lt;&gt;"",IF(ISNUMBER(VLOOKUP(B47,Artlista_alla_2,3,FALSE)),VLOOKUP(B47,Artlista_alla_2,3,FALSE)&gt;0,FALSE))</formula>
    </cfRule>
  </conditionalFormatting>
  <conditionalFormatting sqref="H47:J47">
    <cfRule type="expression" dxfId="734" priority="64" stopIfTrue="1">
      <formula>AND(B47&lt;&gt;"",IF(ISNUMBER(VLOOKUP(B47,Artlista_alla_2,3,FALSE)),VLOOKUP(B47,Artlista_alla_2,3,FALSE)&gt;0,FALSE))</formula>
    </cfRule>
  </conditionalFormatting>
  <conditionalFormatting sqref="K47:M47">
    <cfRule type="expression" dxfId="733" priority="63" stopIfTrue="1">
      <formula>AND(B47&lt;&gt;"",IF(ISNUMBER(VLOOKUP(B47,Artlista_alla_2,3,FALSE)),VLOOKUP(B47,Artlista_alla_2,3,FALSE)&gt;0,FALSE))</formula>
    </cfRule>
  </conditionalFormatting>
  <conditionalFormatting sqref="N47:P47">
    <cfRule type="expression" dxfId="732" priority="62" stopIfTrue="1">
      <formula>AND(B47&lt;&gt;"",IF(ISNUMBER(VLOOKUP(B47,Artlista_alla_2,3,FALSE)),VLOOKUP(B47,Artlista_alla_2,3,FALSE)&gt;0,FALSE))</formula>
    </cfRule>
  </conditionalFormatting>
  <conditionalFormatting sqref="B48:G48">
    <cfRule type="expression" dxfId="731" priority="61" stopIfTrue="1">
      <formula>AND(B48&lt;&gt;"",IF(ISNUMBER(VLOOKUP(B48,Artlista_alla_2,3,FALSE)),VLOOKUP(B48,Artlista_alla_2,3,FALSE)&gt;0,FALSE))</formula>
    </cfRule>
  </conditionalFormatting>
  <conditionalFormatting sqref="H48:J48">
    <cfRule type="expression" dxfId="730" priority="60" stopIfTrue="1">
      <formula>AND(B48&lt;&gt;"",IF(ISNUMBER(VLOOKUP(B48,Artlista_alla_2,3,FALSE)),VLOOKUP(B48,Artlista_alla_2,3,FALSE)&gt;0,FALSE))</formula>
    </cfRule>
  </conditionalFormatting>
  <conditionalFormatting sqref="K48:M48">
    <cfRule type="expression" dxfId="729" priority="59" stopIfTrue="1">
      <formula>AND(B48&lt;&gt;"",IF(ISNUMBER(VLOOKUP(B48,Artlista_alla_2,3,FALSE)),VLOOKUP(B48,Artlista_alla_2,3,FALSE)&gt;0,FALSE))</formula>
    </cfRule>
  </conditionalFormatting>
  <conditionalFormatting sqref="N48:P48">
    <cfRule type="expression" dxfId="728" priority="58" stopIfTrue="1">
      <formula>AND(B48&lt;&gt;"",IF(ISNUMBER(VLOOKUP(B48,Artlista_alla_2,3,FALSE)),VLOOKUP(B48,Artlista_alla_2,3,FALSE)&gt;0,FALSE))</formula>
    </cfRule>
  </conditionalFormatting>
  <conditionalFormatting sqref="Q43:V43">
    <cfRule type="expression" dxfId="727" priority="57" stopIfTrue="1">
      <formula>AND(Q43&lt;&gt;"",IF(ISNUMBER(VLOOKUP(Q43,Artlista_alla_2,3,FALSE)),VLOOKUP(Q43,Artlista_alla_2,3,FALSE)&gt;0,FALSE))</formula>
    </cfRule>
  </conditionalFormatting>
  <conditionalFormatting sqref="W43:Y43">
    <cfRule type="expression" dxfId="726" priority="56" stopIfTrue="1">
      <formula>AND(Q43&lt;&gt;"",IF(ISNUMBER(VLOOKUP(Q43,Artlista_alla_2,3,FALSE)),VLOOKUP(Q43,Artlista_alla_2,3,FALSE)&gt;0,FALSE))</formula>
    </cfRule>
  </conditionalFormatting>
  <conditionalFormatting sqref="Z43:AB43">
    <cfRule type="expression" dxfId="725" priority="55" stopIfTrue="1">
      <formula>AND(Q43&lt;&gt;"",IF(ISNUMBER(VLOOKUP(Q43,Artlista_alla_2,3,FALSE)),VLOOKUP(Q43,Artlista_alla_2,3,FALSE)&gt;0,FALSE))</formula>
    </cfRule>
  </conditionalFormatting>
  <conditionalFormatting sqref="AC43:AE43">
    <cfRule type="expression" dxfId="724" priority="54" stopIfTrue="1">
      <formula>AND(Q43&lt;&gt;"",IF(ISNUMBER(VLOOKUP(Q43,Artlista_alla_2,3,FALSE)),VLOOKUP(Q43,Artlista_alla_2,3,FALSE)&gt;0,FALSE))</formula>
    </cfRule>
  </conditionalFormatting>
  <conditionalFormatting sqref="Q44:V44">
    <cfRule type="expression" dxfId="723" priority="53" stopIfTrue="1">
      <formula>AND(Q44&lt;&gt;"",IF(ISNUMBER(VLOOKUP(Q44,Artlista_alla_2,3,FALSE)),VLOOKUP(Q44,Artlista_alla_2,3,FALSE)&gt;0,FALSE))</formula>
    </cfRule>
  </conditionalFormatting>
  <conditionalFormatting sqref="W44:Y44">
    <cfRule type="expression" dxfId="722" priority="52" stopIfTrue="1">
      <formula>AND(Q44&lt;&gt;"",IF(ISNUMBER(VLOOKUP(Q44,Artlista_alla_2,3,FALSE)),VLOOKUP(Q44,Artlista_alla_2,3,FALSE)&gt;0,FALSE))</formula>
    </cfRule>
  </conditionalFormatting>
  <conditionalFormatting sqref="Z44:AB44">
    <cfRule type="expression" dxfId="721" priority="51" stopIfTrue="1">
      <formula>AND(Q44&lt;&gt;"",IF(ISNUMBER(VLOOKUP(Q44,Artlista_alla_2,3,FALSE)),VLOOKUP(Q44,Artlista_alla_2,3,FALSE)&gt;0,FALSE))</formula>
    </cfRule>
  </conditionalFormatting>
  <conditionalFormatting sqref="AC44:AE44">
    <cfRule type="expression" dxfId="720" priority="50" stopIfTrue="1">
      <formula>AND(Q44&lt;&gt;"",IF(ISNUMBER(VLOOKUP(Q44,Artlista_alla_2,3,FALSE)),VLOOKUP(Q44,Artlista_alla_2,3,FALSE)&gt;0,FALSE))</formula>
    </cfRule>
  </conditionalFormatting>
  <conditionalFormatting sqref="Q45:V45">
    <cfRule type="expression" dxfId="719" priority="49" stopIfTrue="1">
      <formula>AND(Q45&lt;&gt;"",IF(ISNUMBER(VLOOKUP(Q45,Artlista_alla_2,3,FALSE)),VLOOKUP(Q45,Artlista_alla_2,3,FALSE)&gt;0,FALSE))</formula>
    </cfRule>
  </conditionalFormatting>
  <conditionalFormatting sqref="W45:Y45">
    <cfRule type="expression" dxfId="718" priority="48" stopIfTrue="1">
      <formula>AND(Q45&lt;&gt;"",IF(ISNUMBER(VLOOKUP(Q45,Artlista_alla_2,3,FALSE)),VLOOKUP(Q45,Artlista_alla_2,3,FALSE)&gt;0,FALSE))</formula>
    </cfRule>
  </conditionalFormatting>
  <conditionalFormatting sqref="Z45:AB45">
    <cfRule type="expression" dxfId="717" priority="47" stopIfTrue="1">
      <formula>AND(Q45&lt;&gt;"",IF(ISNUMBER(VLOOKUP(Q45,Artlista_alla_2,3,FALSE)),VLOOKUP(Q45,Artlista_alla_2,3,FALSE)&gt;0,FALSE))</formula>
    </cfRule>
  </conditionalFormatting>
  <conditionalFormatting sqref="AC45:AE45">
    <cfRule type="expression" dxfId="716" priority="46" stopIfTrue="1">
      <formula>AND(Q45&lt;&gt;"",IF(ISNUMBER(VLOOKUP(Q45,Artlista_alla_2,3,FALSE)),VLOOKUP(Q45,Artlista_alla_2,3,FALSE)&gt;0,FALSE))</formula>
    </cfRule>
  </conditionalFormatting>
  <conditionalFormatting sqref="Q46:V46">
    <cfRule type="expression" dxfId="715" priority="45" stopIfTrue="1">
      <formula>AND(Q46&lt;&gt;"",IF(ISNUMBER(VLOOKUP(Q46,Artlista_alla_2,3,FALSE)),VLOOKUP(Q46,Artlista_alla_2,3,FALSE)&gt;0,FALSE))</formula>
    </cfRule>
  </conditionalFormatting>
  <conditionalFormatting sqref="W46:Y46">
    <cfRule type="expression" dxfId="714" priority="44" stopIfTrue="1">
      <formula>AND(Q46&lt;&gt;"",IF(ISNUMBER(VLOOKUP(Q46,Artlista_alla_2,3,FALSE)),VLOOKUP(Q46,Artlista_alla_2,3,FALSE)&gt;0,FALSE))</formula>
    </cfRule>
  </conditionalFormatting>
  <conditionalFormatting sqref="Z46:AB46">
    <cfRule type="expression" dxfId="713" priority="43" stopIfTrue="1">
      <formula>AND(Q46&lt;&gt;"",IF(ISNUMBER(VLOOKUP(Q46,Artlista_alla_2,3,FALSE)),VLOOKUP(Q46,Artlista_alla_2,3,FALSE)&gt;0,FALSE))</formula>
    </cfRule>
  </conditionalFormatting>
  <conditionalFormatting sqref="AC46:AE46">
    <cfRule type="expression" dxfId="712" priority="42" stopIfTrue="1">
      <formula>AND(Q46&lt;&gt;"",IF(ISNUMBER(VLOOKUP(Q46,Artlista_alla_2,3,FALSE)),VLOOKUP(Q46,Artlista_alla_2,3,FALSE)&gt;0,FALSE))</formula>
    </cfRule>
  </conditionalFormatting>
  <conditionalFormatting sqref="Q47:V47">
    <cfRule type="expression" dxfId="711" priority="41" stopIfTrue="1">
      <formula>AND(Q47&lt;&gt;"",IF(ISNUMBER(VLOOKUP(Q47,Artlista_alla_2,3,FALSE)),VLOOKUP(Q47,Artlista_alla_2,3,FALSE)&gt;0,FALSE))</formula>
    </cfRule>
  </conditionalFormatting>
  <conditionalFormatting sqref="W47:Y47">
    <cfRule type="expression" dxfId="710" priority="40" stopIfTrue="1">
      <formula>AND(Q47&lt;&gt;"",IF(ISNUMBER(VLOOKUP(Q47,Artlista_alla_2,3,FALSE)),VLOOKUP(Q47,Artlista_alla_2,3,FALSE)&gt;0,FALSE))</formula>
    </cfRule>
  </conditionalFormatting>
  <conditionalFormatting sqref="Z47:AB47">
    <cfRule type="expression" dxfId="709" priority="39" stopIfTrue="1">
      <formula>AND(Q47&lt;&gt;"",IF(ISNUMBER(VLOOKUP(Q47,Artlista_alla_2,3,FALSE)),VLOOKUP(Q47,Artlista_alla_2,3,FALSE)&gt;0,FALSE))</formula>
    </cfRule>
  </conditionalFormatting>
  <conditionalFormatting sqref="AC47:AE47">
    <cfRule type="expression" dxfId="708" priority="38" stopIfTrue="1">
      <formula>AND(Q47&lt;&gt;"",IF(ISNUMBER(VLOOKUP(Q47,Artlista_alla_2,3,FALSE)),VLOOKUP(Q47,Artlista_alla_2,3,FALSE)&gt;0,FALSE))</formula>
    </cfRule>
  </conditionalFormatting>
  <conditionalFormatting sqref="Q48:V48">
    <cfRule type="expression" dxfId="707" priority="37" stopIfTrue="1">
      <formula>AND(Q48&lt;&gt;"",IF(ISNUMBER(VLOOKUP(Q48,Artlista_alla_2,3,FALSE)),VLOOKUP(Q48,Artlista_alla_2,3,FALSE)&gt;0,FALSE))</formula>
    </cfRule>
  </conditionalFormatting>
  <conditionalFormatting sqref="W48:Y48">
    <cfRule type="expression" dxfId="706" priority="36" stopIfTrue="1">
      <formula>AND(Q48&lt;&gt;"",IF(ISNUMBER(VLOOKUP(Q48,Artlista_alla_2,3,FALSE)),VLOOKUP(Q48,Artlista_alla_2,3,FALSE)&gt;0,FALSE))</formula>
    </cfRule>
  </conditionalFormatting>
  <conditionalFormatting sqref="Z48:AB48">
    <cfRule type="expression" dxfId="705" priority="35" stopIfTrue="1">
      <formula>AND(Q48&lt;&gt;"",IF(ISNUMBER(VLOOKUP(Q48,Artlista_alla_2,3,FALSE)),VLOOKUP(Q48,Artlista_alla_2,3,FALSE)&gt;0,FALSE))</formula>
    </cfRule>
  </conditionalFormatting>
  <conditionalFormatting sqref="AC48:AE48">
    <cfRule type="expression" dxfId="704" priority="34" stopIfTrue="1">
      <formula>AND(Q48&lt;&gt;"",IF(ISNUMBER(VLOOKUP(Q48,Artlista_alla_2,3,FALSE)),VLOOKUP(Q48,Artlista_alla_2,3,FALSE)&gt;0,FALSE))</formula>
    </cfRule>
  </conditionalFormatting>
  <conditionalFormatting sqref="B49">
    <cfRule type="expression" dxfId="703" priority="33" stopIfTrue="1">
      <formula>$AE$49&gt;12</formula>
    </cfRule>
  </conditionalFormatting>
  <conditionalFormatting sqref="S6:T6">
    <cfRule type="expression" dxfId="702" priority="1">
      <formula>S6&lt;&gt;""</formula>
    </cfRule>
  </conditionalFormatting>
  <dataValidations xWindow="233" yWindow="620" count="121">
    <dataValidation type="list" allowBlank="1" showErrorMessage="1" errorTitle="Otillåten inmatning!" error="Detta fält får ej fyllas i om något av de två fälten till höger redan fyllts i. Fälten till höger måste först raderas innan detta fält kan fyllas i." promptTitle="Ange med X" prompt="om inga definitiva vandringshinder finns mellan lokalen och närmsta sjö eller sel, uppströms och nedströms lokalen._x000a__x000a_För förklaring/instruktion, se kommentar (röd triangel) i fält till vänster(B56:L56)" sqref="O56:P56" xr:uid="{00000000-0002-0000-0000-000000000000}">
      <formula1>Lista_inga_hinder</formula1>
    </dataValidation>
    <dataValidation type="list" allowBlank="1" showErrorMessage="1" errorTitle="Otillåten inmatning!" error="Detta fält får ej fyllas i om fältet till vänster (inga vandringshinder) redan fyllts i. Fältet till vänster måste först raderas innan detta fält kan fyllas i." promptTitle="Ange med X eller avstånd i km" prompt="till närmsta definitiva vandringshinder nedströms._x000a__x000a_För förklaring/instruktion, se kommentar (röd triangel) i fält till vänster(B56:L56)" sqref="T56" xr:uid="{00000000-0002-0000-0000-000001000000}">
      <formula1>Lista_vandringhinder</formula1>
    </dataValidation>
    <dataValidation type="list" allowBlank="1" showErrorMessage="1" errorTitle="Otillåten inmatning!" error="Detta fält får ej fyllas i om fältet längst till vänster (inga vandringshinder) redan fyllts i. Fältet längst till vänster måste först raderas innan detta fält kan fyllas i." promptTitle="Ange med X eller avstånd i km" prompt="till närmsta definitiva vandringshinder uppströms._x000a__x000a_För förklaring/instruktion, se kommentar (röd triangel) i fält till vänster(B56:L56)" sqref="X56:Y56" xr:uid="{00000000-0002-0000-0000-000002000000}">
      <formula1>Lista_vandringhinder</formula1>
    </dataValidation>
    <dataValidation type="list" allowBlank="1" showErrorMessage="1" errorTitle="Otillåtet värde!" error="Ange endast ett av alternativen Strömlevande/Vandrande. Om båda varianterna förekommer - ange den som dominerar" promptTitle="Ange med X" prompt="om laxfiskpopulation är Strömlevande eller Vandrande_x000a_Endast ett av alternativen får anges. Om båda varianterna förekommer - ange den som dominerar" sqref="S57:T57 X57:Y57" xr:uid="{00000000-0002-0000-0000-000003000000}">
      <formula1>Lista_Ström_vandrande</formula1>
    </dataValidation>
    <dataValidation type="custom" showInputMessage="1" showErrorMessage="1" errorTitle="Otillåten inmatning!" error="Kontrollera villkor:_x000a_* Endast siffror anges_x000a_* X- &amp; Y-koord. anges med samma teckenantal (6 el. 7)_x000a_* Koordinater anger ej plats i Sverige_x000a_* Angivelse överensstämmer med LOKALBESKRIVN om detta blad fyllts i" promptTitle="Ange vattendragets X-koordinater" prompt="Vattendragets mynning enligt SMHI:s vattendragsregister_x000a__x000a_Anges med 6 eller 7 siffror_x000a__x000a_Anges koordinat med 7 siffror kommer de sista två siffrorna att avrundas till närmaste tiotal" sqref="I5:L5" xr:uid="{00000000-0002-0000-0000-000004000000}">
      <formula1>IF(I5&lt;&gt;"",IF(AND(ISNUMBER(I5),LEN(I5)&gt;=6,LEFT(I5,6)*1&gt;613500,LEFT(I5,6)*1&lt;767200,IF(LokalVkoordX&lt;&gt;"",IF(LokalVkoordX=I5,TRUE,FALSE),TRUE)),IF(N5&lt;&gt;"",LEN(I5)=LEN(N5),TRUE),FALSE),TRUE)</formula1>
    </dataValidation>
    <dataValidation type="custom" showInputMessage="1" showErrorMessage="1" errorTitle="Otillåten inmatning!" error="Kontrollera villkor:_x000a_* Endast siffror anges_x000a_* X- &amp; Y-koord. anges med samma teckenantal (6 el. 7)_x000a_* Koordinater anger ej plats i Sverige_x000a_* Angivelse överensstämmer med LOKALBESKRIVN om detta blad fyllts i" promptTitle="Ange vattendragets Y-koordinater" prompt="Vattendragets mynning enligt SMHI:s vattendragsregister_x000a__x000a_Anges med 6 eller 7 siffror_x000a__x000a_Anges koordinat med 7 siffror kommer de två sista siffrorna att avrundas till närmaste tiotal" sqref="N5:P5" xr:uid="{00000000-0002-0000-0000-000005000000}">
      <formula1>IF(N5&lt;&gt;"",IF(AND(ISNUMBER(N5),LEN(N5)&gt;=6,LEFT(N5,6)*1&gt;122000,LEFT(N5,6)*1&lt;188200,IF(LokalVkoordY&lt;&gt;"",IF(LokalVkoordY=N5,TRUE,FALSE),TRUE)),IF(I5&lt;&gt;"",LEN(N5)=LEN(I5),TRUE),FALSE),TRUE)</formula1>
    </dataValidation>
    <dataValidation type="custom" showErrorMessage="1" errorTitle="Otillåten inmatning!" error="Kontrollera villkor:_x000a_* Endast RT90 koord_x000a_* Endast siffror anges_x000a_* X- &amp; Y-koord. anges med samma teckenantal (6 el. 7)_x000a_* Koordinater anger ej plats i Sverige_x000a_* Angivelse överensstämmer med LOKALBESKRIVN om detta blad fyllts i" promptTitle="Ange lokalens X-koordinater" prompt="Anges med 6 eller 7 siffror_x000a__x000a_Kartskalan bör ha en upplösning av åtminstone 1:50 000_x000a__x000a_Anges koordinat med 7 siffror kommer de sista två siffrorna att avrundas till närmaste tiotal" sqref="I6:L6" xr:uid="{00000000-0002-0000-0000-000006000000}">
      <formula1>AND(IF(LokalLkoordX&lt;&gt;"",IF(LokalLkoordX=I6,TRUE,FALSE),TRUE),10^(LEN(I6)-6)*613500&lt;=I6,10^(LEN(I6)-6)*767200&gt;=I6,IF(N6&lt;&gt;"",AND(OR(N6&lt;188200,N6&gt;1220000),LEN(N6)=LEN(I6)),TRUE))</formula1>
    </dataValidation>
    <dataValidation type="custom" showErrorMessage="1" errorTitle="Otillåten inmatning!" error="Kontrollera villkor:_x000a_* Endast RT90 koord_x000a_* Endast siffror anges_x000a_* X- &amp; Y-koord. anges med samma teckenantal (6 el. 7)_x000a_* Koordinater anger ej plats i Sverige_x000a_* Angivelse överensstämmer med LOKALBESKRIVN om detta blad fyllts i" promptTitle="Ange lokalens Y-koordinater" prompt="Anges med 6 eller 7 siffror_x000a__x000a_Kartskalan bör ha en upplösning av åtminstone 1:50 000_x000a__x000a_Anges koordinat med 7 siffror kommer de sista två siffrorna att avrundas till närmaste tiotal" sqref="N6:P6" xr:uid="{00000000-0002-0000-0000-000007000000}">
      <formula1>AND(IF(LokalLkoordY&lt;&gt;"",IF(LokalLkoordY=N6,TRUE,FALSE),TRUE),AND(LEN(I6)=LEN(N6),10^(LEN(N6)-6)*122000&lt;=N6,10^(LEN(N6)-6)*188200&gt;=N6))</formula1>
    </dataValidation>
    <dataValidation type="list" allowBlank="1" showErrorMessage="1" errorTitle="Otillåten inmatning!" error="Endast ett av fälten 'Kvantitativt'/'Kvalitativt' (AA11/AE11) får fyllas i" promptTitle="Om kvalitativt elfiske, ange X" prompt=" " sqref="T13" xr:uid="{00000000-0002-0000-0000-000008000000}">
      <formula1>Lista_Metod</formula1>
    </dataValidation>
    <dataValidation type="list" allowBlank="1" showErrorMessage="1" errorTitle="Otillåten inmatning!" error="Endast ett av fälten 'BENSIN'/'BATTERI' (Z16/AD16) får fyllas i" promptTitle="Användes bensinaggregat, ange X" prompt=" " sqref="Z16" xr:uid="{00000000-0002-0000-0000-000009000000}">
      <formula1>Lista_typ_aggregat</formula1>
    </dataValidation>
    <dataValidation type="list" allowBlank="1" showErrorMessage="1" errorTitle="Otillåten inmatning!" error="Endast ett av fälten 'BENSIN'/'BATTERI' (Z16/AD16) får fyllas i" promptTitle="Användes batteriaggregat, ange X" prompt=" " sqref="AD16" xr:uid="{00000000-0002-0000-0000-00000A000000}">
      <formula1>Lista_typ_aggregat</formula1>
    </dataValidation>
    <dataValidation type="custom" showErrorMessage="1" errorTitle="Otillåten inmatning!" error="Följande villkor måste uppfyllas:_x000a__x000a_* Endast tal &gt;0 och ≤ Vattendragets våta bredd får anges_x000a__x000a_* Fält Q14, H18 &amp; detta får ej motsäga varandra_x000a__x000a_* Angivet tal måste = med det som angetts i 'LOKALBESKRIVN' om detta blad fyllts i" promptTitle="Ange avfiskad bredd" prompt="Den bredd av vattendraget som elfisket har omfattat. Om endast en del av vattendraget kunnat fiskats, t.ex. p.g.a. högt vattenstånd, anges denna bredd här._x000a__x000a_Anges som i m med en decimal._x000a_" sqref="R18:T18" xr:uid="{00000000-0002-0000-0000-00000B000000}">
      <formula1>AND(ISNUMBER(R18),R18&gt;0,IF(lokalAvfiskadbredd&lt;&gt;"",lokalAvfiskadbredd=R18,TRUE),IF(H18&lt;&gt;"",R18&lt;=H18,TRUE),IF(H18&lt;&gt;"",IF(OR(AND(Q14="Ja",R18=H18),AND(R18&lt;=H18,Q14="Nej")),TRUE,FALSE),TRUE))</formula1>
    </dataValidation>
    <dataValidation type="custom" showErrorMessage="1" errorTitle="Ogiltig inmatning!" error="Följande villkor måste uppfyllas:_x000a__x000a_* Endast siffror &gt;0 får anges_x000a__x000a_* Angivet tal måste överensstämma med det som angetts i blad 'LOKALBESKRIVN' om detta blad fyllts i_x000a__x000a_* Vattendragets våta bredd &gt;= Avfiskad bredd" promptTitle="Ange vattendragets våta bredd" prompt="Fältet beräknas automatiskt om bladet 'LOKALBESKRIVN' fylls i först_x000a__x000a_Anges som medelbredd i m med en decimal._x000a__x000a_Har hela vattendragsbredden avfiskats så är denna bredd = Avfiskad bredd. Har del av vattendraget fiskats så är denna bredd &gt; Avfiskad bredd" sqref="H18:I18" xr:uid="{00000000-0002-0000-0000-00000C000000}">
      <formula1>IF(H18&lt;&gt;"",AND(ISNUMBER(H18),H18&gt;0,IF(AND(Prot.Avfisk.h.bredd="",Prot.Avfisk.h.bredd="Ja",lokalVåtbredd&lt;&gt;""),H18=ROUND(lokalVåtbredd,1),TRUE),IF(R18&lt;&gt;"",H18&gt;=R18,TRUE)),TRUE)</formula1>
    </dataValidation>
    <dataValidation type="list" showErrorMessage="1" errorTitle="Otillåten inmatning!" error="Endast ett av alternativen _x000a__x000a_Klart,     Grumligt,     Mycket grumligt_x000a__x000a_får anges. Om du vill göra en ändring måste det andra fältet som fyllts i,  raderas innan detta fält kan fyllas i." promptTitle="Ange med X" prompt="om vattnet är _x000a__x000a_Klart (&lt;1 FNU/FTU), _x000a__x000a_Grumligt (1-2.5 FNU/FTU) eller _x000a__x000a_Mycket grumligt (&gt;2.5 FNU/FTU)_x000a__x000a_Saknas mätinstrument görs bedömningen genom okulärbesiktning i glasburk eller liknande." sqref="S23:T24 Z23:AB24" xr:uid="{00000000-0002-0000-0000-00000D000000}">
      <formula1>Lista_grumlig</formula1>
    </dataValidation>
    <dataValidation type="list" allowBlank="1" showErrorMessage="1" errorTitle="Otillåten inmatning!" error="Endast ett av alternativen _x000a__x000a_Klart,     Grumligt,     Mycket grumligt_x000a__x000a_får anges. Om du vill göra en ändring måste det andra fältet som fyllts i,  raderas innan detta fält kan fyllas i." promptTitle="Ange med X" prompt="om vattnet är _x000a__x000a_Klart (&lt;1 FNU/FTU), _x000a__x000a_Grumligt (1-2.5 FNU/FTU) eller _x000a__x000a_Mycket grumligt (&gt;2.5 FNU/FTU)_x000a__x000a_Saknas mätinstrument görs bedömningen genom okulärbesiktning i glasburk eller liknande." sqref="W23:X24" xr:uid="{00000000-0002-0000-0000-00000E000000}">
      <formula1>Lista_grumlig</formula1>
    </dataValidation>
    <dataValidation type="list" showErrorMessage="1" errorTitle="Otillåten inmatning!" error="Endast ett av alternativen _x000a__x000a_Klart,     Färgat,     Mycket färgat_x000a__x000a_får anges. Om du vill göra en ändring måste det andra fältet som fyllts i,  raderas innan detta fält kan fyllas i." promptTitle="Ange med X" prompt="om vattnet är _x000a__x000a_Klart (&lt;25 mg Pt/l)_x000a__x000a_Färgat (25-100 mg Pt/l) eller_x000a__x000a_Kraftigt färgat (&gt;100 mg Pt/l)" sqref="S26:T26 W26:X26 Z26:AB26" xr:uid="{00000000-0002-0000-0000-00000F000000}">
      <formula1>Lista_vattenfärg</formula1>
    </dataValidation>
    <dataValidation type="list" showErrorMessage="1" errorTitle="Otillåten inmatning!" error="Endast ett av alternativen_x000a__x000a_Lugnt, Strömt eller Stråk/fors_x000a__x000a_kan väljas" promptTitle="Ange med X" prompt="Den dominerande vattenhastigheten i ytan:_x000a__x000a_Lugnt &lt;0,2 m/s_x000a__x000a_Strömt 0,2-0,7 m/s_x000a__x000a_Stråk-fors medelvattenhastighet över 0,7 m/s." sqref="K28:L28 V28:W28 P28:Q28" xr:uid="{00000000-0002-0000-0000-000010000000}">
      <formula1>Lista_vattenhastighet</formula1>
    </dataValidation>
    <dataValidation type="list" showErrorMessage="1" errorTitle="Otillåten inmatning!" error="Endast ett av alternativen_x000a__x000a_Jämn, Intermediär eller Ojämn_x000a_kan väljas" promptTitle="Ange med X" prompt="Ange om botten är_x000a__x000a_Jämn_x000a__x000a_Intermediär eller _x000a__x000a_Ojämn_x000a__x000a_Subjektiv bedömning som kan lämnas därhän av den som är osäker." sqref="P30:Q30 K30:L30 V30:W30" xr:uid="{00000000-0002-0000-0000-000011000000}">
      <formula1>Lista_bottentopografi</formula1>
    </dataValidation>
    <dataValidation type="list" showErrorMessage="1" errorTitle="Otillåten inmatning!" error="Endast ett av alternativen_x000a__x000a_Låg, Medel eller Hög_x000a__x000a_kan väljas_x000a__x000a_Angivet tal måste även överensstämma med det som angetts i blad 'LOKALBESKRIVN', om detta blad fyllts i" promptTitle="Ange med X" prompt="vattennivån/-flödet vid elfisketillfället_x000a__x000a_Fältet fylls i automatiskt om bladet 'LOKALBESKRIVN' fylls i först" sqref="K29:L29 V29:W29" xr:uid="{00000000-0002-0000-0000-000012000000}">
      <formula1>Lista_vattennivå</formula1>
    </dataValidation>
    <dataValidation type="list" allowBlank="1" showErrorMessage="1" errorTitle="Otillåten inmatning!" error="Endast ett av alternativen_x000a__x000a_Låg, Medel eller Hög_x000a__x000a_kan väljas_x000a__x000a_Angivet tal måste även överensstämma med det som angetts i blad 'LOKALBESKRIVN', om detta blad fyllts i" promptTitle="Ange med X" prompt="vattennivån/-flödet vid elfisketillfället_x000a__x000a_Fältet fylls i automatiskt om bladet 'LOKALBESKRIVN' fylls i först" sqref="P29:Q29" xr:uid="{00000000-0002-0000-0000-000013000000}">
      <formula1>Lista_vattennivå</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G32" xr:uid="{00000000-0002-0000-0000-000014000000}">
      <formula1>Lista_D_finsed</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J32" xr:uid="{00000000-0002-0000-0000-000015000000}">
      <formula1>Lista_D_sand</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M32" xr:uid="{00000000-0002-0000-0000-000016000000}">
      <formula1>Lista_D_grus</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P32" xr:uid="{00000000-0002-0000-0000-000017000000}">
      <formula1>Lista_D_sten1</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S32" xr:uid="{00000000-0002-0000-0000-000018000000}">
      <formula1>Lista_D_sten2</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V32" xr:uid="{00000000-0002-0000-0000-000019000000}">
      <formula1>Lista_D_block1</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Y32" xr:uid="{00000000-0002-0000-0000-00001A000000}">
      <formula1>Lista_D_block2</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AB32" xr:uid="{00000000-0002-0000-0000-00001B000000}">
      <formula1>Lista_D_block3</formula1>
    </dataValidation>
    <dataValidation type="list" showErrorMessage="1" errorTitle="Otillåten inmatning!" error="Villkor som måste uppfyllas:_x000a__x000a_* Endast D1, D2 eller D3 får anges_x000a__x000a_* D1, D2 &amp; D3 får endast anges en gång vardera för bottensubstrat_x000a__x000a_* Angivelse måste exakt överensstämma med blad 'LOKALBESKRIVN', om detta blad fyllts i" promptTitle="Ange dominerande bottensubstrat" prompt="Fältet fylls i automatiskt om bladet 'LOKALBESKRIVN' fylls i först_x000a__x000a_Ange dominerande bottensubstrat enligt följande:_x000a__x000a_D1 = Mest dominerande_x000a_D2 = Näst dominerande_x000a_D3 = Tredje dominerande" sqref="AE32" xr:uid="{00000000-0002-0000-0000-00001C000000}">
      <formula1>Lista_D_häll</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AE33" xr:uid="{00000000-0002-0000-0000-00001D000000}">
      <formula1>Lista_F_häll</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G33" xr:uid="{00000000-0002-0000-0000-00001E000000}">
      <formula1>Lista_F_finsed</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J33" xr:uid="{00000000-0002-0000-0000-00001F000000}">
      <formula1>Lista_F_sand</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M33" xr:uid="{00000000-0002-0000-0000-000020000000}">
      <formula1>Lista_F_grus</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P33" xr:uid="{00000000-0002-0000-0000-000021000000}">
      <formula1>Lista_F_sten1</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S33" xr:uid="{00000000-0002-0000-0000-000022000000}">
      <formula1>Lista_F_sten2</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V33" xr:uid="{00000000-0002-0000-0000-000023000000}">
      <formula1>Lista_F_block1</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Y33" xr:uid="{00000000-0002-0000-0000-000024000000}">
      <formula1>Lista_F_block2</formula1>
    </dataValidation>
    <dataValidation type="list" showErrorMessage="1" errorTitle="Otillåten inmatning!" error="Villkor som måste uppfyllas:_x000a__x000a_* Endast talen 0, 1, 2 och 3 får anges_x000a__x000a_* värdet 3 (&gt;50%) får bara anges för max ett bottensubstrat (D1)_x000a__x000a_* Angivelse måste exakt överensstämma med blad 'LOKALBESKRIVN', om detta blad fyllts i" promptTitle="Ange förekomst av bottensubstrat" prompt="Fältet fylls i automatiskt om bladet 'LOKALBESKRIVN' fylls i först_x000a__x000a_Samtliga  bottensubstrat klassas 0 - 3, där:_x000a__x000a_0 = saknas_x000a__x000a_1 = &lt;5% yttäckning_x000a__x000a_2 = 5-50% yttäckning_x000a__x000a_3 = &gt;50% yttäckning" sqref="AB33" xr:uid="{00000000-0002-0000-0000-000025000000}">
      <formula1>Lista_F_block3</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Y34" xr:uid="{00000000-0002-0000-0000-000026000000}">
      <formula1>Lista_D_påv.alg</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Y35" xr:uid="{00000000-0002-0000-0000-000027000000}">
      <formula1>Lista_F_påv.alg</formula1>
    </dataValidation>
    <dataValidation type="custom" allowBlank="1" showErrorMessage="1" errorTitle="Otillåten inmatning!" error="Endast ett av alternativen för avrinningsområdets storlek får anges. Radera tidigare angivet alternativ innan ändring kan göras." promptTitle="Ange avrinningsområdets storlek" prompt="Ange med ett X för det alternativ som passar bäst. Bedöms från topografisk karta." sqref="AC54:AD54 W54:Y54" xr:uid="{00000000-0002-0000-0000-000028000000}">
      <formula1>Lista_aro</formula1>
    </dataValidation>
    <dataValidation type="list" allowBlank="1" showErrorMessage="1" errorTitle="Otillåten inmatning!" error="Endast ett av alternativen för andel sjö i avrinningsområdet får anges. Radera tidigare angivet alternativ innan ändring kan göras." promptTitle="Ange sjöandel i avrinningsområde" prompt="Ange med ett X för det alternativ som passar bäst" sqref="AC55:AD55 W55:Y55 S55:T55" xr:uid="{00000000-0002-0000-0000-000029000000}">
      <formula1>Lista_sjöprocent</formula1>
    </dataValidation>
    <dataValidation type="list" showErrorMessage="1" errorTitle="Otillåten inmatning!" error="Endast ett av alternativen JA/NEJ får väljas" promptTitle="Ange med X" prompt="om vattendraget är påverkat av kalkningsverksamhet  i syfte att motverka försurning som påverkar fisk på lokalen vid elfisketillfället. Har kalkning skett inom två år på ett sådant sätt att lokalen påverkats svaras JA, annars NEJ." sqref="I60:J60" xr:uid="{00000000-0002-0000-0000-00002A000000}">
      <formula1>Lista_kalkpåverkan</formula1>
    </dataValidation>
    <dataValidation type="list" allowBlank="1" showErrorMessage="1" errorTitle="Otillåten inmatning!" error="Endast ett av alternativen JA/NEJ får väljas" promptTitle="Ange med X" prompt="om vattendraget är påverkat av kalkningsverksamhet  i syfte att motverka försurning som påverkar fisk på lokalen vid elfisketillfället. Har kalkning skett inom två år på ett sådant sätt att lokalen påverkats svaras JA, annars NEJ." sqref="M60" xr:uid="{00000000-0002-0000-0000-00002B000000}">
      <formula1>Lista_kalkpåverkan</formula1>
    </dataValidation>
    <dataValidation type="custom" showErrorMessage="1" errorTitle="Otillåten inmatning!" error="Villkor som måste uppfyllas:_x000a_* Datum måste skrivas på rätt format_x000a_* Fiskedatum måste fyllas i först (X9)_x000a_* Kalkpåverkan måste kryssas JA först_x000a_* Kalkdatum får högst vara 5 år innan fiskedatum &amp; ej senare än Fiskedatum" promptTitle="Ange senaste kalkningsdatum" prompt="Datum anges antingen på formen _x000a__x000a_ÅÅÅÅ-MM-DD (tex 2005-08-24)_x000a__x000a_eller_x000a__x000a_ÅÅÅÅMMDD (tex 20050824)_x000a__x000a_Om man inte har kännedom om exakt datum kan uppgiften anges på formen ÅÅÅÅMM00, ÅÅÅÅ0000, eller ÅÅÅÅ_x000a_Exempel: 20010900, 20010000 eller 2001" sqref="W60:AA60" xr:uid="{00000000-0002-0000-0000-00002C000000}">
      <formula1>AB60=TRUE</formula1>
    </dataValidation>
    <dataValidation type="list" allowBlank="1" showErrorMessage="1" errorTitle="Otillåten inmatning!" error="Endast ett av alternativen för andel sjö i avrinningsområdet får anges. Radera tidigare angivet alternativ innan ändring kan göras." promptTitle="Ange sjöandel i avrinningsområde" prompt="Ange med ett X för det alternativ som passar bäst." sqref="O55:P55" xr:uid="{00000000-0002-0000-0000-00002D000000}">
      <formula1>Lista_sjöprocent</formula1>
    </dataValidation>
    <dataValidation type="custom" showErrorMessage="1" errorTitle="Ogiltig inmatning!" error="Villkor som måste uppfyllas:_x000a__x000a_* Fältet får högst innehålla 20 tecken, inklusive mellanslag._x000a__x000a_* Om lokalNr (fält S7) och lokalnamn &amp; -Nr ifyllts i blad 'LOKALBESKRIVN' måste angivna uppgifter överensstämma med varandra." promptTitle="Ange lokalnamn" prompt="Använd max 20 tecken inklusive mellanslag_x000a__x000a_Se kommentar i fältet till vänster (B7) för instruktion (för muspekaren över fältet för att se kommentar)" sqref="F7:Q7" xr:uid="{00000000-0002-0000-0000-00002E000000}">
      <formula1>IF(LEN(F7)&lt;=20,IF(lokLokNaNr&lt;&gt;"",IF(ISNUMBER(FIND("/",lokLokNaNr,1)),IF(S7&lt;&gt;"",IF(lokLokNaNr=F7&amp;"/"&amp;S7,TRUE,FALSE),IF(OR(LEFT(lokLokNaNr,FIND("/",lokLokNaNr,1)-1)=F7,lokLokNaNr=F7),TRUE,FALSE)),IF(lokLokNaNr=F7,TRUE,FALSE)),TRUE),FALSE)</formula1>
    </dataValidation>
    <dataValidation type="custom" showInputMessage="1" showErrorMessage="1" errorTitle="Ogiltig inmatning!" error="Villkor som måste uppfyllas:_x000a__x000a_* Fältet får högst innehålla 5 tecken, inklusive ev. mellanslag._x000a__x000a_* Om lokalnamn (fält F7) och lokalnamn &amp; -Nr ifyllts i blad 'LOKALBESKRIVN' måste angivna uppgifter överensstämma med varandra." promptTitle="Ange ev. lokalnummer" prompt="* Fältet får högst innehålla 5 tecken inklusive ev. mellanslag" sqref="S7:T7" xr:uid="{00000000-0002-0000-0000-00002F000000}">
      <formula1>AND(LEN(S7)&lt;=5,IF(lokLokNaNr&lt;&gt;"",IF(F7&lt;&gt;"",lokLokNaNr=F7&amp;"/"&amp;S7,TRUE),TRUE))</formula1>
    </dataValidation>
    <dataValidation type="custom" showErrorMessage="1" errorTitle="Otillåten inmatning!" error="Följande villkor måste uppfyllas:_x000a__x000a_* Endast siffror &gt;0 &amp; ≤2 får anges_x000a__x000a_* Maxdjup &gt; medeldjup om medeldjup angivits_x000a__x000a_* Angivet tal måste överensstämma med det som angetts i blad 'LOKALBESKRIVN' om detta blad fyllts i" promptTitle="Ange maxdjup i meter" prompt="Fältet fylls i automatiskt om bladet 'LOKALBESKRIVN' fylls i först" sqref="H20:I21" xr:uid="{00000000-0002-0000-0000-000030000000}">
      <formula1>IF(H20&lt;&gt;"",AND(ISNUMBER(H20),H20&gt;0,H20&lt;=2,IF(H22&lt;&gt;"",H20&gt;H22,TRUE),IF(lokalMaxdjup&lt;&gt;"",H20=lokalMaxdjup,TRUE)),TRUE)</formula1>
    </dataValidation>
    <dataValidation type="custom" showErrorMessage="1" errorTitle="Otillåten inmatning!" error="Följande villkor måste uppfyllas:_x000a__x000a_* Endast siffror &gt;0 &amp; ≤2 får anges_x000a__x000a_* Medeldjup&lt; maxdjup om maxdjup angivits_x000a__x000a_* Angivet tal måste överensstämma med det som angetts i blad 'LOKALBESKRIVN' om detta blad fyllts i" promptTitle="Ange medeldjup i meter" prompt="Fältet fylls i automatiskt om bladet 'LOKALBESKRIVN' fylls i först" sqref="H22:I23" xr:uid="{00000000-0002-0000-0000-000031000000}">
      <formula1>IF(H22&lt;&gt;"",AND(ISNUMBER(H22),H22&gt;0,H22&lt;=2,IF(H20&lt;&gt;"",H20&gt;H22,TRUE),IF(lokalMedeldjup&lt;&gt;"",H22=lokalMedeldjup,TRUE)),TRUE)</formula1>
    </dataValidation>
    <dataValidation type="list" showErrorMessage="1" errorTitle="Otillåten inmatning!" error="KALKPÅVERKAN (fält I60) måste fyllas i innan man kan ange typ av kalkning." promptTitle="Ange kalkningsmetod med X" prompt="om lokalen är påverkad av kalkning mot försurning_x000a__x000a_Flera alternativ är möjliga" sqref="Y61:Z61 J61:K61 O61:P61 T61:U61" xr:uid="{00000000-0002-0000-0000-000032000000}">
      <formula1>Lista_Kalkningstyp</formula1>
    </dataValidation>
    <dataValidation type="list" allowBlank="1" showErrorMessage="1" errorTitle="Otillåten inmatning!" error="Endast Ja eller Nej får anges_x000a__x000a_Använd rullista_x000a__x000a_Se instruktion i fältet t.v. (V14) _x000a_(för muspekaren över fältet för att se instr.)" promptTitle="Ange Ja/Nej" prompt="Använd rullista_x000a__x000a_Frågan avser om fisket bedrevs avstängt, dvs om avstängningsnät använts eller om naturlig avstängning finns (tex. damm)." sqref="AB14:AD14" xr:uid="{00000000-0002-0000-0000-000033000000}">
      <formula1>Lista3</formula1>
    </dataValidation>
    <dataValidation type="list" showErrorMessage="1" errorTitle="Otillåtet värde!" error="Fältet är felaktigt ifyllt._x000a_Använd &quot;rullistan&quot; eller ange någon av de förkortningar som finns angivna som kommentar i fältet till höger._x000a_(för muspekaren över fältet för att se kommentar)" promptTitle="Ange syftet med elfisket" prompt="Använd rullista_x000a_Se kommentar i fältet till vänster (S4) för förklaring av förkortningar (för muspekaren över fältet för att se kommentar)" sqref="Y4:AE4" xr:uid="{00000000-0002-0000-0000-000034000000}">
      <formula1>Lista4</formula1>
    </dataValidation>
    <dataValidation type="custom" showErrorMessage="1" errorTitle="Otillåten inmatning" error="Följande villkor måste uppfyllas:_x000a__x000a_* Endast heltal ≥0 får anges_x000a__x000a_* Angivet tal måste överensstämma med det som angetts i blad 'LOKALBESKRIVN' om detta blad fyllts i_x000a_" promptTitle="Ange lokalens andel torra ytor" prompt="Fältet beräknas automatiskt om bladet 'LOKALBESKRIVN' fylls i först_x000a__x000a_Anges endast om andelen torra partier (stenar, block, öar, etc) är lika med eller överstiger 5 %. Denna yta kommer då att frånräknas lokalens yta._x000a__x000a_Ange procentandel som heltal (0-100)" sqref="T19" xr:uid="{00000000-0002-0000-0000-000035000000}">
      <formula1>IF(T19&lt;&gt;"",AND(ISNUMBER(T19),T19&gt;=0,T19&lt;100,T19=INT(T19),IF(lokalTorryta&lt;&gt;"",IF(T19=lokalTorryta,TRUE,FALSE),TRUE)),TRUE)</formula1>
    </dataValidation>
    <dataValidation type="custom" allowBlank="1" showInputMessage="1" showErrorMessage="1" errorTitle="Ogiltig inmatning!" error="* Fältet får högst innehålla 20 tecken, inklusive mellanslag." promptTitle="Ange vattendragsnamn" prompt="Använd max 20 tecken inklusive mellanslag_x000a__x000a_Se kommentar i fältet till vänster (B3) för instruktion (för muspekaren över fältet för att se kommentar)" sqref="H3:T3" xr:uid="{00000000-0002-0000-0000-000036000000}">
      <formula1>OR(AND(LEN(H3)&lt;=20,lokalVdrnamn=H3),AND(LEN(H3)&lt;=20,lokalVdrnamn=""))</formula1>
    </dataValidation>
    <dataValidation type="list" allowBlank="1" showErrorMessage="1" errorTitle="Otillåten inmatning!" error="Endast värdena 0, 1 eller 2 får anges i detta fält" promptTitle="Ange 0, 1 eller 2 för" prompt="Lokalens värde som uppväxtbiotop för laxfisk_x000a__x000a_För förklaring/instruktion, se kommentar (röd triangel) i fält till vänster(B58:R58)" sqref="S58:T58" xr:uid="{00000000-0002-0000-0000-000037000000}">
      <formula1>Lista_uppväxtbiotop</formula1>
    </dataValidation>
    <dataValidation type="custom" allowBlank="1" showErrorMessage="1" errorTitle="Otillåten inmatning!" error="Ange avstånd i km i med en decimals noggrannhet, alternativt med ett X om sjö &gt;1 ha saknas uppströms. Ange endast siffror." promptTitle="Ange avstånd" prompt="från lokalen till uppströms sjö eller sel. Ange i km med en decimal. Mät på kartan utmed vattendraget. Som sjö eller sel räknas alla lugnvattenytor om minst 1 ha." sqref="K53:M53" xr:uid="{00000000-0002-0000-0000-000038000000}">
      <formula1>OR(K53="X",AND(ISNUMBER(K53*1),K53&gt;=0))</formula1>
    </dataValidation>
    <dataValidation type="decimal" operator="greaterThanOrEqual" allowBlank="1" showErrorMessage="1" errorTitle="Otillåten inmatning!" error="Ange avstånd i km i med en decimals noggrannhet. Ange endast siffror." promptTitle="Ange avstånd" prompt="från lokalen till nedströms sjö eller sel. Ange i km med en decimal. Mät på kartan utmed vattendraget. Som sjö eller sel räknas alla lugnvattenytor om minst 1 ha." sqref="X53:Z53" xr:uid="{00000000-0002-0000-0000-000039000000}">
      <formula1>0</formula1>
    </dataValidation>
    <dataValidation type="list" showInputMessage="1" showErrorMessage="1" errorTitle="Ogiltig inmatning!" error="Använd rullista för att ange vilken kommun elfisket utförts i_x000a__x000a_Tips! Det underlättar att ange län först (fält I1)" promptTitle="Ange kommun som" prompt="elfisket utförts i_x000a__x000a_Använd rullista_x000a__x000a_Tips! Det underlättar att ange län först (fält I1:S1)" sqref="E4:K4" xr:uid="{00000000-0002-0000-0000-00003A000000}">
      <formula1>Lista7</formula1>
    </dataValidation>
    <dataValidation type="list" showInputMessage="1" showErrorMessage="1" errorTitle="Ogiltig inmatning" error="Använd rullista för att ange län som elfisket utförts i" promptTitle="Ange det län elfisket utförts i" prompt=" " sqref="I1:S1" xr:uid="{00000000-0002-0000-0000-00003B000000}">
      <formula1>Lista6</formula1>
    </dataValidation>
    <dataValidation type="custom" allowBlank="1" showErrorMessage="1" errorTitle="Otillåtet värde!" error="Ange lokalens höjd över havet i heltal mellan 0 och 2000" promptTitle="Ange lokalens höjd över havet" prompt="Ange höjd i meter, endast siffror" sqref="Y7:AA7" xr:uid="{00000000-0002-0000-0000-00003C000000}">
      <formula1>AND(ISNUMBER(Y7),Y7&gt;=0,Y7&lt;2000,Y7=INT(Y7))</formula1>
    </dataValidation>
    <dataValidation type="custom" allowBlank="1" showErrorMessage="1" errorTitle="Otillåten inmatning!" error="Observera! 'Ny lokal' (S6) måste vara ifylld innan datum kan anges!_x000a__x000a_Godkända datumformat:_x000a__x000a_ÅÅÅÅ-MM-DD_x000a__x000a_eller_x000a__x000a_ÅÅÅÅMMDD_x000a__x000a_Angivet datum måste överensstämma med motsvarande uppgift i blad 'LOKANBESKRIVN' om detta blad fyllts i" promptTitle="Ange fiskedatum" prompt="Datum anges antingen på formen _x000a__x000a_ÅÅÅÅ-MM-DD_x000a__x000a_tex 1989-08-24_x000a__x000a_eller_x000a__x000a_ÅÅÅÅMMDD_x000a__x000a_tex 19890824" sqref="X9:AB9" xr:uid="{00000000-0002-0000-0000-00003D000000}">
      <formula1>AND(S6&lt;&gt;"",IF(LEN(X9)=10,AND(IF(LokalDatum&lt;&gt;"",1*LokalDatum=1*X9,FALSE),LEN(X9*1)&lt;10),IF(LEN(X9)=8,AND(IF(LokalDatum&lt;&gt;"",1*LokalDatum=1*X9,FALSE),LEFT(RIGHT(X9,4),2)*1&lt;=12,RIGHT(X9,2)*1&lt;=31),FALSE)))</formula1>
    </dataValidation>
    <dataValidation type="whole" allowBlank="1" showErrorMessage="1" errorTitle="Otillåten inmatning!" error="* Endast siffror (1 - 3) får anges_x000a_* Protokollet klarar endast att max tre utfiskningsomgångar genomförts" promptTitle="Ange antal utfiskningsomgångar" prompt="som genomförts_x000a_(1, 2 elller 3)" sqref="H13:I13" xr:uid="{00000000-0002-0000-0000-00003E000000}">
      <formula1>1</formula1>
      <formula2>3</formula2>
    </dataValidation>
    <dataValidation type="list" allowBlank="1" showErrorMessage="1" errorTitle="Otillåten inmatning!" error="Endast Ja eller Nej får anges_x000a__x000a_Använd rullista" promptTitle="Ange Ja/Nej" prompt="Använd rullista" sqref="Q14:R14" xr:uid="{00000000-0002-0000-0000-00003F000000}">
      <formula1>Lista3</formula1>
    </dataValidation>
    <dataValidation type="whole" allowBlank="1" showInputMessage="1" showErrorMessage="1" errorTitle="Otillåten inmatning!" error="Ange endast siffror (heltal utan decimaler)_x000a_Tal &gt;0 och ≤1500 kan anges" sqref="H17:I17" xr:uid="{00000000-0002-0000-0000-000040000000}">
      <formula1>1</formula1>
      <formula2>1500</formula2>
    </dataValidation>
    <dataValidation type="custom" allowBlank="1" showInputMessage="1" showErrorMessage="1" errorTitle="Otillåten inmatning!" error="Endast siffror &gt;0 får anges" sqref="R17:T17" xr:uid="{00000000-0002-0000-0000-000041000000}">
      <formula1>AND(ISNUMBER(R17),R17&gt;=0,R17&lt;=10)</formula1>
    </dataValidation>
    <dataValidation type="custom" errorStyle="information" operator="greaterThan" allowBlank="1" showInputMessage="1" showErrorMessage="1" errorTitle="Information!" error="Du vet väl att denna medelbredd  kan endast beräknas efter att lokalen fiskats flera år._x000a__x000a_Medelbredden anges som elfiskelokalens medelbredd vid normal lågvattenföring." promptTitle="Ange lokalens medelbredd" prompt="Elfiskelokalens medelbredd vid normal lågvattenföring avses.  _x000a__x000a_Denna medelbredd  kan endast beräknas efter att lokalen fiskats flera år." sqref="R20:S21" xr:uid="{00000000-0002-0000-0000-000042000000}">
      <formula1>AND(ISNUMBER(R20),R20&gt;0,IF(lokalMedelbredd&lt;&gt;"",IF(lokalMedelbredd=R20,TRUE,FALSE)))</formula1>
    </dataValidation>
    <dataValidation type="custom" errorStyle="information" operator="greaterThan" allowBlank="1" showInputMessage="1" showErrorMessage="1" errorTitle="Information! Information!" error="Du vet väl att denna medelyta  kan endast beräknas efter att lokalen fiskats flera år._x000a__x000a_Uppgiften måste även överensstämma med motsvarande uppgift i blad 'LOKALBESKRIVN' om detta blad fyllts i" promptTitle="Ange lokalens medelyta" prompt="Elfiskelokalens genomsnittliga yta angiven i hela m2 avses._x000a__x000a_Denna yta kan endast beräknas efter att lokalen fiskats flera år." sqref="AD20:AE21" xr:uid="{00000000-0002-0000-0000-000043000000}">
      <formula1>AND(ISNUMBER(AD20),AD20&gt;0,AD20=INT(AD20),IF(lokalMedelyta&lt;&gt;"",IF(lokalMedelyta=AD20,TRUE,FALSE)))</formula1>
    </dataValidation>
    <dataValidation type="custom" operator="greaterThan" showErrorMessage="1" errorTitle="Otillåtet värde! 2 möjliga fel:" error="* Bokstäver eller värde som ej är heltal eller &lt;0 har angivits._x000a__x000a_eller_x000a__x000a_*  Avfiskad yta är annorlunda angivet i blad 'LOKALBESKRIVN'. Yta måste vara exakt lika om även fältet  i blad 'LOKALBESKRIVN' fylls i" promptTitle="Fältet räknas ut automatiskt" prompt="när lokalens längd och -bredd (&amp; andel torra partier) matats in._x000a__x000a_Om uppgifter för lokalbredd och/eller -längd saknas eller om lokalens yta inte överensstämmer med en multiplicering av längd &amp; bredd, kan 'Avfiskad yta' anges i detta fält._x000a__x000a_Ange hela m2" sqref="AC19:AE19" xr:uid="{00000000-0002-0000-0000-000044000000}">
      <formula1>IF(AC19&lt;&gt;"",AND(ProtokollLängd&lt;&gt;"",Prot.Avfisk.bredd&lt;&gt;"",ISNUMBER(AC19),AC19=INT(AC19),AC19&gt;0,IF(lokalAvfiskyta&lt;&gt;"",IF(AC19=lokalAvfiskyta,TRUE,FALSE),TRUE)),TRUE)</formula1>
    </dataValidation>
    <dataValidation type="custom" showErrorMessage="1" errorTitle="Otillåten inmatning!" error="Följande villkor måste uppfyllas:_x000a__x000a_* Endast siffror &gt;0 får anges_x000a__x000a_* Angivet tal måste överensstämma med det som angetts i blad 'LOKALBESKRIVN' om detta blad fyllts i" promptTitle="Ange lokalens längd i meter" prompt="_x000a_Fältet fylls i automatiskt om bladet 'LOKALBESKRIVN' fylls i först" sqref="H19:I19" xr:uid="{00000000-0002-0000-0000-000045000000}">
      <formula1>IF(H19&lt;&gt;"",AND(ISNUMBER(H19),H19&gt;0,IF(lokalLängd&lt;&gt;"",IF(H19=lokalLängd,TRUE,FALSE),TRUE)),TRUE)</formula1>
    </dataValidation>
    <dataValidation type="custom" showErrorMessage="1" errorTitle="Otillåten inmatning!" error="Ange endast siffror (inkl. decimaltal) får anges_x000a_Angiuvet värde måste ligga mellan -10 och +35 grader Celsius" promptTitle="Ange Lufttemperatur" prompt="vid elfisketillfället_x000a__x000a_Ange endast siffror i grader Celsius (decimaltal får anges)" sqref="H24:I25" xr:uid="{00000000-0002-0000-0000-000046000000}">
      <formula1>AND(ISNUMBER(H24),H24&gt;=-5,H24&lt;=40)</formula1>
    </dataValidation>
    <dataValidation type="custom" allowBlank="1" showErrorMessage="1" errorTitle="Otillåten inmatning!" error="Endast siffror/tal får anges_x000a_Endast värden mellan 0 och 30 grader är tillåtna" promptTitle="Ange vattentemperatur" prompt="i ytvattnet (02 - 0,3 m) vid elfisketillfället_x000a__x000a_Ange endast siffror/tal med en decimals noggrannhet_x000a_Vattentemperatur anges i grader Celsius" sqref="H26:I26" xr:uid="{00000000-0002-0000-0000-000047000000}">
      <formula1>AND(ISNUMBER(H26),H26&gt;=0,H26&lt;=30)</formula1>
    </dataValidation>
    <dataValidation type="decimal" allowBlank="1" showInputMessage="1" showErrorMessage="1" errorTitle="Otillåten inmatning!" error="Endast värden mellan 0 och 2 kan anges_x000a__x000a_Ange endast siffror (inkl. decimaltal)" promptTitle="Ange medelvattenghastighet" prompt="som ett värde mellan 0 och 2 m/s_x000a__x000a_Ange endast värde" sqref="AB28:AC28" xr:uid="{00000000-0002-0000-0000-000048000000}">
      <formula1>0</formula1>
      <formula2>2</formula2>
    </dataValidation>
    <dataValidation type="decimal" operator="greaterThanOrEqual" allowBlank="1" showInputMessage="1" showErrorMessage="1" errorTitle="Otillåten inmatning!" error="Endast värden större än 0 kan anges" promptTitle="Ange vattenföring" prompt="Ange endast värde" sqref="AB29:AC29" xr:uid="{00000000-0002-0000-0000-000049000000}">
      <formula1>0</formula1>
    </dataValidation>
    <dataValidation type="custom" allowBlank="1" showInputMessage="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I38:L38" xr:uid="{00000000-0002-0000-0000-00004A000000}">
      <formula1>IF(I38&lt;&gt;"",AND(COUNTIF($E$36:$AE$38,I38)&lt;=1,COUNTA($N$36,$S$36,$X$36)&lt;=1,OR(I38="D1",I38="D2",I38="D3")),TRUE)</formula1>
    </dataValidation>
    <dataValidation type="whole" operator="greaterThanOrEqual" allowBlank="1" showInputMessage="1" showErrorMessage="1" errorTitle="Ogiltig inmatning!" error="Endast heltal &gt;0 får anges" promptTitle="Ange mängd (antal) död ved" prompt="Ange förekomsten av död ved (minst 10 cm i diameter samt minst 50 cm långa) i vattnet på elfiskelokalen." sqref="V39" xr:uid="{00000000-0002-0000-0000-00004B000000}">
      <formula1>0</formula1>
    </dataValidation>
    <dataValidation type="decimal" allowBlank="1" showInputMessage="1" showErrorMessage="1" errorTitle="Otillåten inmatning!" error="Endast värden mellan 3 - 10 kan anges" promptTitle="Ange pH-värde" sqref="H70:J70" xr:uid="{00000000-0002-0000-0000-00004C000000}">
      <formula1>3</formula1>
      <formula2>10</formula2>
    </dataValidation>
    <dataValidation type="decimal" allowBlank="1" showInputMessage="1" showErrorMessage="1" errorTitle="Otillåten inmatning!" error="Endast värden mellan -0,2 och 2 kan anges" promptTitle="Ange alkalinitetsvärde" prompt="OBS! ange i mekv/l_x000a__x000a_För att omvandla från mg/l till mekv/l multiplicera/dividera med 61,016" sqref="S70:U70" xr:uid="{00000000-0002-0000-0000-00004D000000}">
      <formula1>-0.2</formula1>
      <formula2>2</formula2>
    </dataValidation>
    <dataValidation allowBlank="1" showInputMessage="1" showErrorMessage="1" promptTitle="Fältet beräknas automatiskt" prompt="när lokalens X- resp. Y-koordinater angivits_x000a_(Fält I6 resp. N6)" sqref="AC1:AE1" xr:uid="{00000000-0002-0000-0000-00004E000000}"/>
    <dataValidation allowBlank="1" showInputMessage="1" showErrorMessage="1" promptTitle="Fältet fylls i automatiskt" prompt="när län angivits (fält I1)" sqref="Y3:AA3" xr:uid="{00000000-0002-0000-0000-00004F000000}"/>
    <dataValidation allowBlank="1" showInputMessage="1" showErrorMessage="1" promptTitle="Fältet fylls i automatiskt" prompt="när kommun angivits (fält E4)" sqref="P4:R4" xr:uid="{00000000-0002-0000-0000-000050000000}"/>
    <dataValidation type="custom" allowBlank="1" showErrorMessage="1" errorTitle="Otillåten inmatning!" error="Ange datum på formen:_x000a__x000a_ÅÅÅÅ-MM-DD_x000a__x000a_eller_x000a__x000a_ÅÅÅÅMMDD_x000a__x000a_Datum som inte ännu inträffat (framtida datum) får ej anges" promptTitle="Ange provtagningsdatum" prompt="Datum anges antingen på formen _x000a__x000a_ÅÅÅÅ-MM-DD _x000a__x000a_eller_x000a__x000a_ÅÅÅÅMMDD" sqref="Z69:AD69" xr:uid="{00000000-0002-0000-0000-000051000000}">
      <formula1>IF(Z69&lt;&gt;"",IF(LEN(Z69)=10,AND(Z69*1&lt;=TODAY(),LEN(Z69*1)&lt;10),IF(LEN(Z69)=8,AND(LEFT(Z69,4)*1&lt;=YEAR(TODAY()),LEFT(RIGHT(Z69,4),2)*1&lt;=12,RIGHT(Z69,2)*1&lt;=31),FALSE)),TRUE)</formula1>
    </dataValidation>
    <dataValidation type="decimal" allowBlank="1" showInputMessage="1" showErrorMessage="1" errorTitle="Otillåten inmatning!" error="Endast värden mellan 0,5 och 50 kan anges" promptTitle="Ange konduktivitetsvärde (mS/m)" prompt=" " sqref="AC70:AE70" xr:uid="{00000000-0002-0000-0000-000052000000}">
      <formula1>0.5</formula1>
      <formula2>50</formula2>
    </dataValidation>
    <dataValidation type="whole" allowBlank="1" showInputMessage="1" showErrorMessage="1" errorTitle="Otillåten inmatning!" error="Endast värden mellan 0 och 800 (heltal) kan anges" promptTitle="Ange färgvärde (mgPt/l)" prompt=" " sqref="H71:J71" xr:uid="{00000000-0002-0000-0000-000053000000}">
      <formula1>0</formula1>
      <formula2>800</formula2>
    </dataValidation>
    <dataValidation type="whole" allowBlank="1" showInputMessage="1" showErrorMessage="1" errorTitle="Otillåten inmatning!" error="Endast värden (heltal) mellan 0 och 2000 kan anges" promptTitle="Ange Aluminium konc. (μg/l)" prompt=" " sqref="S71:U71" xr:uid="{00000000-0002-0000-0000-000054000000}">
      <formula1>0</formula1>
      <formula2>2000</formula2>
    </dataValidation>
    <dataValidation type="decimal" allowBlank="1" showInputMessage="1" showErrorMessage="1" errorTitle="Otillåten inmatning!" error="Endast värden mellan 0 och 15 kan anges" promptTitle="Ange grumlighetsvärde (FNU/FTU)" prompt=" " sqref="AC71:AE71" xr:uid="{00000000-0002-0000-0000-000055000000}">
      <formula1>0</formula1>
      <formula2>15</formula2>
    </dataValidation>
    <dataValidation type="list" showErrorMessage="1" errorTitle="Otillåten inmatning!" error="Använd rullista, alternativt ange tre- eller sexsiffrig kod enl instruktion._x000a__x000a_Angivelse måste överensstämma med motsvarande uppgift i blad LOKALBESKRIVN om detta blad fyllts i_x000a__x000a_Fältet måste raderas innan det kan ändras" promptTitle="Ange huvudflodsområde enl. SMHI" prompt="dvs det huvudvattensystem som lokalen ligger i_x000a__x000a_Anges med rullista_x000a__x000a_eller_x000a__x000a_med en tre- eller sexsiffrig kod, tex 001 för Torneälven &amp; 001002 för 1/2 kustområde (vattensystemen  mellan Torneälv &amp; Keräsjokki)." sqref="X5:AE5" xr:uid="{00000000-0002-0000-0000-000056000000}">
      <formula1>Lista9</formula1>
    </dataValidation>
    <dataValidation type="list" showInputMessage="1" showErrorMessage="1" errorTitle="Otillåten inmatning!" error="Namnet på trädart är felstavat_x000a__x000a_Är du osäker på stavning, använd rullistan" promptTitle="Ange dominernade träslag" prompt="i lokalens närmiljö" sqref="R38:V38" xr:uid="{00000000-0002-0000-0000-000057000000}">
      <formula1>Lista10</formula1>
    </dataValidation>
    <dataValidation type="list" showInputMessage="1" showErrorMessage="1" errorTitle="Otillåten inmatning!" error="Namnet på trädart är felstavat_x000a__x000a_Är du osäker på stavning, använd rullistan" promptTitle="Ange näst dominernade träslag" prompt="i lokalens närmiljö" sqref="AB38:AE38" xr:uid="{00000000-0002-0000-0000-000058000000}">
      <formula1>Lista11</formula1>
    </dataValidation>
    <dataValidation allowBlank="1" showInputMessage="1" showErrorMessage="1" promptTitle="Tabellen fylls i automatiskt" prompt="när blad 'Antal &amp; Längder (vikter)' fylts i" sqref="H43:J43 B43:G47" xr:uid="{00000000-0002-0000-0000-000059000000}"/>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E38:F38" xr:uid="{00000000-0002-0000-0000-00005A000000}">
      <formula1>Lista_artificiell</formula1>
    </dataValidation>
    <dataValidation type="list" showErrorMessage="1" errorTitle="Otillåten inmatning!" error="Två möjliga fel:_x000a__x000a_* Fältet 'Kvalitativt' (AE11) har också fyllts i, endast ett av fälten får fyllas i_x000a__x000a_* 'ANTAL UTFISKNINGAR' (H13:I13) som genomförts är endast 1. Minst 2 krävs för att fisket kan räknas som kvantitativt" promptTitle="Om kvantitativt elfiske, ange X" prompt="För att ett elfiske skall vara kvantitativt krävs att minst två utfiskningsomgångar genomförts" sqref="P13" xr:uid="{00000000-0002-0000-0000-00005B000000}">
      <formula1>Lista_Metod</formula1>
    </dataValidation>
    <dataValidation type="list" errorStyle="information" showInputMessage="1" showErrorMessage="1" errorTitle="Information, ev felaktig uppgift" error="Angiven uppgift finns ej i listan alternativt är det felstavat. Är uppgiften korrekt, låt stå, annars välj rätt uppgift i listan." sqref="H9:T9 X10:AE10" xr:uid="{00000000-0002-0000-0000-00005C000000}">
      <formula1>Utförare</formula1>
    </dataValidation>
    <dataValidation type="custom" allowBlank="1" showInputMessage="1" showErrorMessage="1" errorTitle="Otillåten inmatning!" error="Endast heltalsvärden mellan 0 - 700 får anges_x000a_Typ av aggregat (ovan) måste anges innan detta fält kan fyllas i" sqref="Z17:AE17" xr:uid="{00000000-0002-0000-0000-00005D000000}">
      <formula1>AND(COUNTA(Z16,AD16)=1,ISNUMBER(Z17),Z17&gt;=0,Z17&lt;=700)</formula1>
    </dataValidation>
    <dataValidation allowBlank="1" errorTitle="Otillåten inmatning!" error="Endast heltal mellan 0 och 100 är tillåtna värden" promptTitle="Ange beskuggning" prompt="Ange elfiskelokalens (vattenytans) beskuggning i avrundade %-klasser:_x000a__x000a_0 = beskuggning saknas/ytterst ringa (0-4%)_x000a_10 = 10% (5-14%) av lokalen beskuggad_x000a_20 = 20% (15-24%) osv._x000a__x000a_Bedömning avser skuggning vid solsken mitt på dagen (kl 12 - 14)" sqref="I39" xr:uid="{00000000-0002-0000-0000-00005E000000}"/>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N36:O36" xr:uid="{00000000-0002-0000-0000-00005F000000}">
      <formula1>Lista_lövskog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S36:T36" xr:uid="{00000000-0002-0000-0000-000060000000}">
      <formula1>Lista_barrskog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X36:Y36" xr:uid="{00000000-0002-0000-0000-000061000000}">
      <formula1>Lista_blandskog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AD36:AE36" xr:uid="{00000000-0002-0000-0000-000062000000}">
      <formula1>Lista_hygge</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E37:F37" xr:uid="{00000000-0002-0000-0000-000063000000}">
      <formula1>Lista_åker</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I37:J37" xr:uid="{00000000-0002-0000-0000-000064000000}">
      <formula1>Lista_äng</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N37:O37" xr:uid="{00000000-0002-0000-0000-000065000000}">
      <formula1>Lista_hed</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S37:T37" xr:uid="{00000000-0002-0000-0000-000066000000}">
      <formula1>Lista_myr</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X37:Y37" xr:uid="{00000000-0002-0000-0000-000067000000}">
      <formula1>Lista_kalfjäll</formula1>
    </dataValidation>
    <dataValidation type="list" allowBlank="1" showErrorMessage="1" errorTitle="Otillåten inmatning!" error="Villkor som måste uppfyllas:_x000a__x000a_* Endast D1, D2 eller D3 får anges_x000a__x000a_* D1, D2 &amp; D3 får endast anges en gång vardera för NÄRMILJÖ_x000a__x000a_* Endast en av närmiljöerna LÖVSKOG, BARRSKOG eller BLANDSKOG får tilldelas ett värde" promptTitle="Ange dominerande närmiljö" prompt="Ange dominerande närmiljö enligt följande:_x000a__x000a_D1 = Mest dominerande_x000a_D2 = Näst dominerande_x000a_D3 = Tredje dominerande_x000a__x000a_Ange D1, D2 eller D3 för max en av skogstyperna LÖVSKOG, BARRSKOG &amp; BLANDSKOG" sqref="AD37:AE37" xr:uid="{00000000-0002-0000-0000-000068000000}">
      <formula1>Lista_berg_block</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J34" xr:uid="{00000000-0002-0000-0000-000069000000}">
      <formula1>Lista_D_öv.växt</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M34" xr:uid="{00000000-0002-0000-0000-00006A000000}">
      <formula1>Lista_D_flytbl</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P34" xr:uid="{00000000-0002-0000-0000-00006B000000}">
      <formula1>Lista_D_slinge</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S34" xr:uid="{00000000-0002-0000-0000-00006C000000}">
      <formula1>Lista_D_rosett</formula1>
    </dataValidation>
    <dataValidation type="list" showErrorMessage="1" errorTitle="Otillåten inmatning!" error="Villkor som måste uppfyllas:_x000a__x000a_* Endast D1, D2 eller D3 får anges_x000a__x000a_* D1, D2 &amp; D3 får endast anges en gång vardera för vegetation" promptTitle="Ange dominerande vegetation" prompt="Ange dominerande vattenvegetation enligt följande:_x000a__x000a_D1 = Mest dominerande_x000a_D2 = Näst dominerande_x000a_D3 = Tredje dominerande" sqref="V34" xr:uid="{00000000-0002-0000-0000-00006D000000}">
      <formula1>Lista_D_mossa</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J35" xr:uid="{00000000-0002-0000-0000-00006E000000}">
      <formula1>Lista_F_öv.växt</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M35" xr:uid="{00000000-0002-0000-0000-00006F000000}">
      <formula1>Lista_F_flytbl</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P35" xr:uid="{00000000-0002-0000-0000-000070000000}">
      <formula1>Lista_F_slinge</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S35" xr:uid="{00000000-0002-0000-0000-000071000000}">
      <formula1>Lista_F_rosett</formula1>
    </dataValidation>
    <dataValidation type="list" allowBlank="1" showErrorMessage="1" errorTitle="Otillåten inmatning!" error="Villkor som måste uppfyllas:_x000a__x000a_* Endast talen 0, 1, 2 och 3 får anges_x000a__x000a_* värdet 3 (&gt;50%) får bara anges för max ett bottensubstrat (D1)_x000a__x000a_* Har ingen bedömning av förekomst gjorts kan förekomst markeras med X" promptTitle="Ange förekomst av vegetation" prompt="Ange förekomsten (yttäckning ovanifrån) av vattenveg. på elfiskelokalen i klasserna:_x000a__x000a_0 = saknas_x000a_1 = &lt;5% yttäckning (ringa)_x000a_2 = 5-50% yttäckning (måttlig)_x000a_3 = &gt;50% yttäckning (riklig)_x000a__x000a_Om ingen bedömning gjorts kan förekomst markeras med X " sqref="V35" xr:uid="{00000000-0002-0000-0000-000072000000}">
      <formula1>Lista_F_mossa</formula1>
    </dataValidation>
    <dataValidation type="list" allowBlank="1" showInputMessage="1" showErrorMessage="1" sqref="S6:T6" xr:uid="{00000000-0002-0000-0000-000073000000}">
      <formula1>Lista_Ny_lokal</formula1>
    </dataValidation>
    <dataValidation type="list" errorStyle="information" allowBlank="1" showInputMessage="1" showErrorMessage="1" sqref="G16:K16" xr:uid="{00000000-0002-0000-0000-000074000000}">
      <formula1>Lista_Aggregat</formula1>
    </dataValidation>
    <dataValidation type="list" allowBlank="1" showInputMessage="1" showErrorMessage="1" errorTitle="Otillåten inmatning!" error="Endast heltal mellan 0 och 100 är tillåtna värden" promptTitle="Ange beskuggning" prompt="Ange elfiskelokalens (vattenytans) beskuggning i avrundade %-klasser:_x000a__x000a_0 = beskuggning saknas/ytterst ringa (0-4%)_x000a_10 = 10% (5-14%) av lokalen beskuggad_x000a_20 = 20% (15-24%) osv._x000a__x000a_Bedömning avser skuggning vid solsken mitt på dagen (kl 12 - 14)" sqref="G39:H39" xr:uid="{00000000-0002-0000-0000-000075000000}">
      <formula1>Lista_beskuggning</formula1>
    </dataValidation>
    <dataValidation type="list" allowBlank="1" showErrorMessage="1" errorTitle="Otillåten inmatning!" error="Endast ett av alternativen för avrinningsområdets storlek får anges. Radera tidigare angivet alternativ innan ändring kan göras." promptTitle="Ange avrinningsområdets storlek" prompt="Ange med ett X för det alternativ som passar bäst. Bedöms från topografisk karta." sqref="O54:P54 S54:T54" xr:uid="{00000000-0002-0000-0000-000076000000}">
      <formula1>Lista_aro</formula1>
    </dataValidation>
    <dataValidation type="list" allowBlank="1" showInputMessage="1" showErrorMessage="1" sqref="AA62:AE62" xr:uid="{00000000-0002-0000-0000-000077000000}">
      <formula1>Lista_ingen_påverkan</formula1>
    </dataValidation>
    <dataValidation type="list" allowBlank="1" showInputMessage="1" showErrorMessage="1" sqref="E63:E67 I63:I67 M63:M67 P63:P67 S63:S67 W63:W67 AA63:AA67 AE63:AE67" xr:uid="{00000000-0002-0000-0000-000078000000}">
      <formula1>Lista_påverkan</formula1>
    </dataValidation>
  </dataValidations>
  <pageMargins left="0.49" right="0.2" top="0.51" bottom="0.44" header="0.31" footer="0.37"/>
  <pageSetup paperSize="9" scale="86" orientation="portrait" r:id="rId1"/>
  <headerFooter alignWithMargins="0"/>
  <rowBreaks count="1" manualBreakCount="1">
    <brk id="51"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0"/>
  <sheetViews>
    <sheetView zoomScale="92" zoomScaleNormal="92" workbookViewId="0">
      <selection activeCell="C7" sqref="C7"/>
    </sheetView>
  </sheetViews>
  <sheetFormatPr defaultColWidth="9.109375" defaultRowHeight="13.2" x14ac:dyDescent="0.25"/>
  <cols>
    <col min="1" max="1" width="8.88671875" style="17" customWidth="1"/>
    <col min="2" max="2" width="17.44140625" style="17" customWidth="1"/>
    <col min="3" max="3" width="15.44140625" style="17" customWidth="1"/>
    <col min="4" max="6" width="12.6640625" style="17" customWidth="1"/>
    <col min="7" max="7" width="10.6640625" style="17" customWidth="1"/>
    <col min="8" max="8" width="2.6640625" style="17" customWidth="1"/>
    <col min="9" max="10" width="12.5546875" style="17" customWidth="1"/>
    <col min="11" max="11" width="2.6640625" style="17" customWidth="1"/>
    <col min="12" max="12" width="4.5546875" style="15" customWidth="1"/>
    <col min="13" max="13" width="9.5546875" style="15" customWidth="1"/>
    <col min="14" max="14" width="15.5546875" style="15" customWidth="1"/>
    <col min="15" max="15" width="10.88671875" style="15" bestFit="1" customWidth="1"/>
    <col min="16" max="16384" width="9.109375" style="17"/>
  </cols>
  <sheetData>
    <row r="1" spans="1:15" ht="17.399999999999999" x14ac:dyDescent="0.3">
      <c r="A1" s="156" t="s">
        <v>38</v>
      </c>
      <c r="H1" s="323"/>
      <c r="I1" s="323"/>
      <c r="J1" s="323"/>
      <c r="K1" s="323"/>
      <c r="L1" s="323"/>
      <c r="M1" s="323"/>
      <c r="N1" s="323"/>
    </row>
    <row r="2" spans="1:15" ht="9" customHeight="1" thickBot="1" x14ac:dyDescent="0.3">
      <c r="H2" s="324"/>
      <c r="I2" s="324"/>
      <c r="J2" s="324"/>
      <c r="K2" s="324"/>
      <c r="L2" s="324"/>
      <c r="M2" s="324"/>
      <c r="N2" s="324"/>
    </row>
    <row r="3" spans="1:15" ht="16.5" customHeight="1" x14ac:dyDescent="0.3">
      <c r="A3" s="1083" t="s">
        <v>893</v>
      </c>
      <c r="B3" s="739"/>
      <c r="C3" s="1085" t="str">
        <f>IF(Protokoll!$H$3&lt;&gt;"",Protokoll!$H$3,"")</f>
        <v>Törlan</v>
      </c>
      <c r="D3" s="1086"/>
      <c r="E3" s="1084" t="s">
        <v>385</v>
      </c>
      <c r="F3" s="739"/>
      <c r="G3" s="633">
        <f>IF(Protokoll!$I5&lt;&gt;"",Protokoll!$I5,"")</f>
        <v>6325020</v>
      </c>
      <c r="H3" s="187" t="s">
        <v>739</v>
      </c>
      <c r="I3" s="634">
        <f>IF(Protokoll!$N5&lt;&gt;"",Protokoll!$N5,"")</f>
        <v>1290200</v>
      </c>
      <c r="J3" s="1013" t="s">
        <v>894</v>
      </c>
      <c r="K3" s="1014"/>
      <c r="L3" s="1014"/>
      <c r="M3" s="1009" t="str">
        <f>IF(Protokoll!$X$9&lt;&gt;"",Protokoll!$X$9,"")</f>
        <v>2020-08-19</v>
      </c>
      <c r="N3" s="1010"/>
    </row>
    <row r="4" spans="1:15" ht="16.5" customHeight="1" x14ac:dyDescent="0.3">
      <c r="A4" s="1053" t="s">
        <v>995</v>
      </c>
      <c r="B4" s="672"/>
      <c r="C4" s="1087" t="str">
        <f>IF(Protokoll!F7&lt;&gt;"",IF(Protokoll!S7&lt;&gt;"",CONCATENATE(Protokoll!F7,"/",Protokoll!S7),Protokoll!F7),IF(Protokoll!S7&lt;&gt;"",Protokoll!S7,""))</f>
        <v>Ovan bro mot Borrås</v>
      </c>
      <c r="D4" s="1088"/>
      <c r="E4" s="1041" t="s">
        <v>386</v>
      </c>
      <c r="F4" s="672"/>
      <c r="G4" s="375">
        <f>IF(Protokoll!$I6&lt;&gt;"",Protokoll!$I6,"")</f>
        <v>6325882</v>
      </c>
      <c r="H4" s="32" t="s">
        <v>739</v>
      </c>
      <c r="I4" s="376">
        <f>IF(Protokoll!$N6&lt;&gt;"",Protokoll!$N6,"")</f>
        <v>1294786</v>
      </c>
      <c r="J4" s="1024" t="s">
        <v>40</v>
      </c>
      <c r="K4" s="672"/>
      <c r="L4" s="672"/>
      <c r="M4" s="1011" t="str">
        <f>IF(Protokoll!X5&lt;&gt;"",Protokoll!X5,"")</f>
        <v>103/104 Kustområde</v>
      </c>
      <c r="N4" s="1012"/>
    </row>
    <row r="5" spans="1:15" ht="9" customHeight="1" x14ac:dyDescent="0.25">
      <c r="A5" s="166"/>
      <c r="B5" s="9"/>
      <c r="C5" s="9"/>
      <c r="D5" s="9"/>
      <c r="E5" s="9"/>
      <c r="F5" s="9"/>
      <c r="G5" s="9"/>
      <c r="H5" s="9"/>
      <c r="I5" s="9"/>
      <c r="J5" s="9"/>
      <c r="K5" s="9"/>
      <c r="L5" s="8"/>
      <c r="M5" s="8"/>
      <c r="N5" s="167"/>
    </row>
    <row r="6" spans="1:15" ht="16.5" customHeight="1" x14ac:dyDescent="0.3">
      <c r="A6" s="1053" t="s">
        <v>892</v>
      </c>
      <c r="B6" s="1054"/>
      <c r="C6" s="335"/>
      <c r="D6" s="381" t="b">
        <f>IF(Prot.Avfisk.bredd&lt;&gt;"",IF(Prot.Avfisk.bredd=G6,TRUE,FALSE),IF(G6&lt;&gt;"",AND(ISNUMBER(G6),G6&gt;0,IF(C34&lt;&gt;"",G6&lt;=C34,TRUE),IF(OR(AND(Prot.Avfisk.h.bredd="Ja",G6=C34),AND(G6&lt;C34,Prot.Avfisk.h.bredd&lt;&gt;"Ja")),TRUE,FALSE),TRUE),TRUE))</f>
        <v>0</v>
      </c>
      <c r="E6" s="1041" t="s">
        <v>1000</v>
      </c>
      <c r="F6" s="672"/>
      <c r="G6" s="377" t="str">
        <f>IF(Protokoll!Q14&lt;&gt;"",IF(LEFT(Protokoll!Q14,1)="J",C34,""),"")</f>
        <v/>
      </c>
      <c r="H6" s="186"/>
      <c r="I6" s="1022" t="s">
        <v>61</v>
      </c>
      <c r="J6" s="1037" t="str">
        <f>IF(AND(G6&lt;&gt;"",C6&lt;&gt;""),IF(AND(J8&lt;&gt;"",J8&gt;=5),IF(G6=ROUND(C34,1),C34*C6*(1-J8/100),C6*G6*(1-J8/100)),IF(G6=ROUND(C34,1),C34*C6,C6*G6)),"")</f>
        <v/>
      </c>
      <c r="K6" s="1025" t="s">
        <v>1002</v>
      </c>
      <c r="L6" s="1026"/>
      <c r="M6" s="1026"/>
      <c r="N6" s="1027"/>
    </row>
    <row r="7" spans="1:15" ht="16.5" customHeight="1" x14ac:dyDescent="0.25">
      <c r="A7" s="1055" t="s">
        <v>997</v>
      </c>
      <c r="B7" s="1056"/>
      <c r="C7" s="342"/>
      <c r="D7" s="382" t="b">
        <f>AND(OR(C7="L",C7="M",C7="H"),COUNTIF(Protokoll!K29:W29,"")&gt;9,IF(AND(C7&lt;&gt;"",OR(Protokollnivålåg&lt;&gt;"",Protokollnivåmedel&lt;&gt;"",Protokollnivåhög&lt;&gt;"")),IF(OR(AND(Protokollnivålåg&lt;&gt;"",C7="L"),AND(Protokollnivåmedel&lt;&gt;"",C7="M"),AND(Protokollnivåhög&lt;&gt;"",C7="H")),TRUE,FALSE),TRUE))</f>
        <v>0</v>
      </c>
      <c r="E7" s="1042" t="s">
        <v>996</v>
      </c>
      <c r="F7" s="672"/>
      <c r="G7" s="635" t="str">
        <f>IF(Protokoll!$R$20&lt;&gt;"",Protokoll!$R$20,"")</f>
        <v/>
      </c>
      <c r="H7" s="188"/>
      <c r="I7" s="1023"/>
      <c r="J7" s="1038"/>
      <c r="K7" s="1028" t="str">
        <f>IF(OR(Protokoll!K10&lt;&gt;"",Protokoll!H11&lt;&gt;""),Protokoll!K10&amp;". "&amp;Protokoll!H11,"")</f>
        <v>Lats-Göran Pärlklint. 0708-984783</v>
      </c>
      <c r="L7" s="1029"/>
      <c r="M7" s="1029"/>
      <c r="N7" s="1030"/>
    </row>
    <row r="8" spans="1:15" ht="16.5" customHeight="1" x14ac:dyDescent="0.25">
      <c r="A8" s="1052" t="s">
        <v>999</v>
      </c>
      <c r="B8" s="672"/>
      <c r="C8" s="632"/>
      <c r="D8" s="367"/>
      <c r="E8" s="1042" t="s">
        <v>55</v>
      </c>
      <c r="F8" s="672"/>
      <c r="G8" s="632" t="str">
        <f>IF(Protokoll!$AD$20&lt;&gt;"",Protokoll!$AD$20,"")</f>
        <v/>
      </c>
      <c r="H8" s="1024" t="s">
        <v>1001</v>
      </c>
      <c r="I8" s="672"/>
      <c r="J8" s="636"/>
      <c r="K8" s="1031"/>
      <c r="L8" s="1032"/>
      <c r="M8" s="1032"/>
      <c r="N8" s="1033"/>
    </row>
    <row r="9" spans="1:15" s="9" customFormat="1" ht="16.5" customHeight="1" thickBot="1" x14ac:dyDescent="0.3">
      <c r="A9" s="191"/>
      <c r="B9" s="192"/>
      <c r="C9" s="363"/>
      <c r="D9" s="193"/>
      <c r="E9" s="194"/>
      <c r="F9" s="192"/>
      <c r="G9" s="363"/>
      <c r="H9" s="192"/>
      <c r="I9" s="192"/>
      <c r="J9" s="364"/>
      <c r="K9" s="1034"/>
      <c r="L9" s="1035"/>
      <c r="M9" s="1035"/>
      <c r="N9" s="1036"/>
      <c r="O9" s="8"/>
    </row>
    <row r="10" spans="1:15" ht="9" customHeight="1" thickBot="1" x14ac:dyDescent="0.3">
      <c r="A10" s="168"/>
      <c r="B10" s="168"/>
      <c r="C10" s="169"/>
      <c r="D10" s="170"/>
      <c r="E10" s="170"/>
      <c r="F10" s="170"/>
      <c r="G10" s="170"/>
      <c r="H10" s="170"/>
      <c r="I10" s="170"/>
      <c r="J10" s="170"/>
    </row>
    <row r="11" spans="1:15" ht="13.5" customHeight="1" x14ac:dyDescent="0.25">
      <c r="A11" s="1048" t="s">
        <v>467</v>
      </c>
      <c r="B11" s="1050" t="s">
        <v>35</v>
      </c>
      <c r="C11" s="1048" t="str">
        <f>IF(Protokoll!Q14="Nej","Lokalens ","Vattenfårans ")&amp;"våta bredd (m)"</f>
        <v>Vattenfårans våta bredd (m)</v>
      </c>
      <c r="D11" s="1043" t="str">
        <f>"Mätning av "&amp;IF(Protokoll!Q14="Nej","Lokalens ","Vattenfårans ")&amp;"djup (cm)"</f>
        <v>Mätning av Vattenfårans djup (cm)</v>
      </c>
      <c r="E11" s="1044"/>
      <c r="F11" s="1045"/>
      <c r="G11" s="1017" t="s">
        <v>1005</v>
      </c>
      <c r="H11" s="1018"/>
      <c r="I11" s="1018"/>
      <c r="J11" s="1019"/>
      <c r="L11" s="41" t="s">
        <v>36</v>
      </c>
    </row>
    <row r="12" spans="1:15" ht="13.8" thickBot="1" x14ac:dyDescent="0.3">
      <c r="A12" s="1049"/>
      <c r="B12" s="1051"/>
      <c r="C12" s="1049"/>
      <c r="D12" s="171" t="s">
        <v>468</v>
      </c>
      <c r="E12" s="172" t="s">
        <v>469</v>
      </c>
      <c r="F12" s="173" t="s">
        <v>470</v>
      </c>
      <c r="G12" s="1020" t="s">
        <v>468</v>
      </c>
      <c r="H12" s="1021"/>
      <c r="I12" s="172" t="s">
        <v>469</v>
      </c>
      <c r="J12" s="173" t="s">
        <v>470</v>
      </c>
      <c r="K12" s="379" t="s">
        <v>546</v>
      </c>
      <c r="L12" s="1008" t="s">
        <v>544</v>
      </c>
      <c r="M12" s="997"/>
      <c r="N12" s="140" t="s">
        <v>545</v>
      </c>
    </row>
    <row r="13" spans="1:15" ht="16.5" customHeight="1" x14ac:dyDescent="0.25">
      <c r="A13" s="174">
        <v>1</v>
      </c>
      <c r="B13" s="175">
        <v>0</v>
      </c>
      <c r="C13" s="343"/>
      <c r="D13" s="344"/>
      <c r="E13" s="345"/>
      <c r="F13" s="346"/>
      <c r="G13" s="1015"/>
      <c r="H13" s="1016"/>
      <c r="I13" s="465"/>
      <c r="J13" s="465"/>
      <c r="K13" s="380" t="str">
        <f>IF(COUNT(N13)&gt;0,IF(N13&gt;0,IF(COUNTIF($K$12:$K12,RANK(N13,$N$13:$N$21,0))=0,RANK(N13,$N$13:$N$21,0),COUNTIF($N12:$N$13,N13)+RANK(N13,$N$13:$N$21,0)),""),"")</f>
        <v/>
      </c>
      <c r="L13" s="185">
        <v>1</v>
      </c>
      <c r="M13" s="184" t="s">
        <v>762</v>
      </c>
      <c r="N13" s="140" t="str">
        <f t="array" ref="N13:N21">IF(COUNT(G13:J33)&gt;0,FREQUENCY(G13:J33,L13:L21),"")</f>
        <v/>
      </c>
    </row>
    <row r="14" spans="1:15" ht="16.5" customHeight="1" x14ac:dyDescent="0.25">
      <c r="A14" s="176">
        <v>2</v>
      </c>
      <c r="B14" s="177">
        <v>5</v>
      </c>
      <c r="C14" s="343"/>
      <c r="D14" s="344"/>
      <c r="E14" s="345"/>
      <c r="F14" s="346"/>
      <c r="G14" s="1000"/>
      <c r="H14" s="1001"/>
      <c r="I14" s="466"/>
      <c r="J14" s="466"/>
      <c r="K14" s="380" t="str">
        <f>IF(COUNT(N14)&gt;0,IF(N14&gt;0,IF(COUNTIF($K$12:$K13,RANK(N14,$N$13:$N$21,0))=0,RANK(N14,$N$13:$N$21,0),COUNTIF($N$13:$N13,N14)+RANK(N14,$N$13:$N$21,0)),""),"")</f>
        <v/>
      </c>
      <c r="L14" s="185">
        <v>2</v>
      </c>
      <c r="M14" s="184" t="s">
        <v>534</v>
      </c>
      <c r="N14" s="140" t="str">
        <v/>
      </c>
    </row>
    <row r="15" spans="1:15" ht="16.5" customHeight="1" x14ac:dyDescent="0.25">
      <c r="A15" s="176">
        <v>3</v>
      </c>
      <c r="B15" s="177">
        <v>10</v>
      </c>
      <c r="C15" s="343"/>
      <c r="D15" s="344"/>
      <c r="E15" s="345"/>
      <c r="F15" s="346"/>
      <c r="G15" s="1000"/>
      <c r="H15" s="1001"/>
      <c r="I15" s="466"/>
      <c r="J15" s="466"/>
      <c r="K15" s="380" t="str">
        <f>IF(COUNT(N15)&gt;0,IF(N15&gt;0,IF(COUNTIF($K$12:$K14,RANK(N15,$N$13:$N$21,0))=0,RANK(N15,$N$13:$N$21,0),COUNTIF($N$13:$N14,N15)+RANK(N15,$N$13:$N$21,0)),""),"")</f>
        <v/>
      </c>
      <c r="L15" s="185">
        <v>3</v>
      </c>
      <c r="M15" s="184" t="s">
        <v>535</v>
      </c>
      <c r="N15" s="140" t="str">
        <v/>
      </c>
    </row>
    <row r="16" spans="1:15" ht="16.5" customHeight="1" x14ac:dyDescent="0.25">
      <c r="A16" s="176">
        <v>4</v>
      </c>
      <c r="B16" s="177">
        <v>15</v>
      </c>
      <c r="C16" s="343"/>
      <c r="D16" s="344"/>
      <c r="E16" s="345"/>
      <c r="F16" s="346"/>
      <c r="G16" s="1000"/>
      <c r="H16" s="1001"/>
      <c r="I16" s="466"/>
      <c r="J16" s="466"/>
      <c r="K16" s="380" t="str">
        <f>IF(COUNT(N16)&gt;0,IF(N16&gt;0,IF(COUNTIF($K$12:$K15,RANK(N16,$N$13:$N$21,0))=0,RANK(N16,$N$13:$N$21,0),COUNTIF($N$13:$N15,N16)+RANK(N16,$N$13:$N$21,0)),""),"")</f>
        <v/>
      </c>
      <c r="L16" s="185">
        <v>4</v>
      </c>
      <c r="M16" s="184" t="s">
        <v>536</v>
      </c>
      <c r="N16" s="140" t="str">
        <v/>
      </c>
    </row>
    <row r="17" spans="1:14" ht="16.5" customHeight="1" x14ac:dyDescent="0.25">
      <c r="A17" s="176">
        <v>5</v>
      </c>
      <c r="B17" s="177">
        <v>20</v>
      </c>
      <c r="C17" s="343"/>
      <c r="D17" s="344"/>
      <c r="E17" s="345"/>
      <c r="F17" s="346"/>
      <c r="G17" s="1000"/>
      <c r="H17" s="1001"/>
      <c r="I17" s="466"/>
      <c r="J17" s="466"/>
      <c r="K17" s="380" t="str">
        <f>IF(COUNT(N17)&gt;0,IF(N17&gt;0,IF(COUNTIF($K$12:$K16,RANK(N17,$N$13:$N$21,0))=0,RANK(N17,$N$13:$N$21,0),COUNTIF($N$13:$N16,N17)+RANK(N17,$N$13:$N$21,0)),""),"")</f>
        <v/>
      </c>
      <c r="L17" s="185">
        <v>5</v>
      </c>
      <c r="M17" s="184" t="s">
        <v>537</v>
      </c>
      <c r="N17" s="140" t="str">
        <v/>
      </c>
    </row>
    <row r="18" spans="1:14" ht="16.5" customHeight="1" x14ac:dyDescent="0.25">
      <c r="A18" s="176">
        <v>6</v>
      </c>
      <c r="B18" s="177">
        <v>25</v>
      </c>
      <c r="C18" s="343"/>
      <c r="D18" s="344"/>
      <c r="E18" s="345"/>
      <c r="F18" s="346"/>
      <c r="G18" s="1000"/>
      <c r="H18" s="1001"/>
      <c r="I18" s="466"/>
      <c r="J18" s="466"/>
      <c r="K18" s="380" t="str">
        <f>IF(COUNT(N18)&gt;0,IF(N18&gt;0,IF(COUNTIF($K$12:$K17,RANK(N18,$N$13:$N$21,0))=0,RANK(N18,$N$13:$N$21,0),COUNTIF($N$13:$N17,N18)+RANK(N18,$N$13:$N$21,0)),""),"")</f>
        <v/>
      </c>
      <c r="L18" s="185">
        <v>6</v>
      </c>
      <c r="M18" s="184" t="s">
        <v>538</v>
      </c>
      <c r="N18" s="140" t="str">
        <v/>
      </c>
    </row>
    <row r="19" spans="1:14" ht="16.5" customHeight="1" x14ac:dyDescent="0.25">
      <c r="A19" s="176">
        <v>7</v>
      </c>
      <c r="B19" s="177">
        <v>30</v>
      </c>
      <c r="C19" s="343"/>
      <c r="D19" s="344"/>
      <c r="E19" s="345"/>
      <c r="F19" s="346"/>
      <c r="G19" s="1000"/>
      <c r="H19" s="1001"/>
      <c r="I19" s="466"/>
      <c r="J19" s="466"/>
      <c r="K19" s="380" t="str">
        <f>IF(COUNT(N19)&gt;0,IF(N19&gt;0,IF(COUNTIF($K$12:$K18,RANK(N19,$N$13:$N$21,0))=0,RANK(N19,$N$13:$N$21,0),COUNTIF($N$13:$N18,N19)+RANK(N19,$N$13:$N$21,0)),""),"")</f>
        <v/>
      </c>
      <c r="L19" s="185">
        <v>7</v>
      </c>
      <c r="M19" s="184" t="s">
        <v>539</v>
      </c>
      <c r="N19" s="140" t="str">
        <v/>
      </c>
    </row>
    <row r="20" spans="1:14" ht="16.5" customHeight="1" x14ac:dyDescent="0.25">
      <c r="A20" s="176">
        <v>8</v>
      </c>
      <c r="B20" s="177">
        <v>35</v>
      </c>
      <c r="C20" s="343"/>
      <c r="D20" s="344"/>
      <c r="E20" s="345"/>
      <c r="F20" s="346"/>
      <c r="G20" s="1000"/>
      <c r="H20" s="1001"/>
      <c r="I20" s="466"/>
      <c r="J20" s="466"/>
      <c r="K20" s="380" t="str">
        <f>IF(COUNT(N20)&gt;0,IF(N20&gt;0,IF(COUNTIF($K$12:$K19,RANK(N20,$N$13:$N$21,0))=0,RANK(N20,$N$13:$N$21,0),COUNTIF($N$13:$N19,N20)+RANK(N20,$N$13:$N$21,0)),""),"")</f>
        <v/>
      </c>
      <c r="L20" s="185">
        <v>8</v>
      </c>
      <c r="M20" s="184" t="s">
        <v>540</v>
      </c>
      <c r="N20" s="140" t="str">
        <v/>
      </c>
    </row>
    <row r="21" spans="1:14" ht="16.5" customHeight="1" x14ac:dyDescent="0.25">
      <c r="A21" s="176">
        <v>9</v>
      </c>
      <c r="B21" s="177">
        <v>40</v>
      </c>
      <c r="C21" s="343"/>
      <c r="D21" s="344"/>
      <c r="E21" s="345"/>
      <c r="F21" s="346"/>
      <c r="G21" s="1000"/>
      <c r="H21" s="1001"/>
      <c r="I21" s="466"/>
      <c r="J21" s="466"/>
      <c r="K21" s="380" t="str">
        <f>IF(COUNT(N21)&gt;0,IF(N21&gt;0,IF(COUNTIF($K$12:$K20,RANK(N21,$N$13:$N$21,0))=0,RANK(N21,$N$13:$N$21,0),COUNTIF($N$13:$N20,N21)+RANK(N21,$N$13:$N$21,0)),""),"")</f>
        <v/>
      </c>
      <c r="L21" s="185">
        <v>9</v>
      </c>
      <c r="M21" s="184" t="s">
        <v>541</v>
      </c>
      <c r="N21" s="140" t="str">
        <v/>
      </c>
    </row>
    <row r="22" spans="1:14" ht="16.5" customHeight="1" x14ac:dyDescent="0.25">
      <c r="A22" s="176">
        <v>10</v>
      </c>
      <c r="B22" s="177">
        <v>45</v>
      </c>
      <c r="C22" s="343"/>
      <c r="D22" s="344"/>
      <c r="E22" s="345"/>
      <c r="F22" s="346"/>
      <c r="G22" s="1000"/>
      <c r="H22" s="1001"/>
      <c r="I22" s="466"/>
      <c r="J22" s="466"/>
    </row>
    <row r="23" spans="1:14" ht="16.5" customHeight="1" x14ac:dyDescent="0.25">
      <c r="A23" s="176">
        <v>11</v>
      </c>
      <c r="B23" s="177">
        <v>50</v>
      </c>
      <c r="C23" s="343"/>
      <c r="D23" s="344"/>
      <c r="E23" s="345"/>
      <c r="F23" s="346"/>
      <c r="G23" s="1000"/>
      <c r="H23" s="1001"/>
      <c r="I23" s="466"/>
      <c r="J23" s="466"/>
      <c r="L23" s="994" t="s">
        <v>57</v>
      </c>
      <c r="M23" s="995"/>
      <c r="N23" s="995"/>
    </row>
    <row r="24" spans="1:14" ht="16.5" customHeight="1" x14ac:dyDescent="0.25">
      <c r="A24" s="176">
        <v>12</v>
      </c>
      <c r="B24" s="177">
        <v>55</v>
      </c>
      <c r="C24" s="343"/>
      <c r="D24" s="344"/>
      <c r="E24" s="345"/>
      <c r="F24" s="346"/>
      <c r="G24" s="1000"/>
      <c r="H24" s="1001"/>
      <c r="I24" s="466"/>
      <c r="J24" s="466"/>
      <c r="L24" s="1002" t="s">
        <v>58</v>
      </c>
      <c r="M24" s="1003"/>
      <c r="N24" s="1003"/>
    </row>
    <row r="25" spans="1:14" ht="16.5" customHeight="1" x14ac:dyDescent="0.25">
      <c r="A25" s="176">
        <v>13</v>
      </c>
      <c r="B25" s="177">
        <v>60</v>
      </c>
      <c r="C25" s="343"/>
      <c r="D25" s="344"/>
      <c r="E25" s="345"/>
      <c r="F25" s="346"/>
      <c r="G25" s="1000"/>
      <c r="H25" s="1001"/>
      <c r="I25" s="466"/>
      <c r="J25" s="466"/>
      <c r="L25" s="1002" t="s">
        <v>59</v>
      </c>
      <c r="M25" s="1003"/>
      <c r="N25" s="1003"/>
    </row>
    <row r="26" spans="1:14" ht="16.5" customHeight="1" x14ac:dyDescent="0.25">
      <c r="A26" s="176">
        <v>14</v>
      </c>
      <c r="B26" s="177">
        <v>65</v>
      </c>
      <c r="C26" s="343"/>
      <c r="D26" s="344"/>
      <c r="E26" s="345"/>
      <c r="F26" s="346"/>
      <c r="G26" s="1000"/>
      <c r="H26" s="1001"/>
      <c r="I26" s="466"/>
      <c r="J26" s="466"/>
      <c r="L26" s="1002" t="s">
        <v>60</v>
      </c>
      <c r="M26" s="1003"/>
      <c r="N26" s="1003"/>
    </row>
    <row r="27" spans="1:14" ht="16.5" customHeight="1" thickBot="1" x14ac:dyDescent="0.3">
      <c r="A27" s="176">
        <v>15</v>
      </c>
      <c r="B27" s="177">
        <v>70</v>
      </c>
      <c r="C27" s="343"/>
      <c r="D27" s="344"/>
      <c r="E27" s="345"/>
      <c r="F27" s="346"/>
      <c r="G27" s="1000"/>
      <c r="H27" s="1001"/>
      <c r="I27" s="466"/>
      <c r="J27" s="466"/>
      <c r="K27" s="15"/>
      <c r="L27" s="1073" t="s">
        <v>56</v>
      </c>
      <c r="M27" s="1074"/>
      <c r="N27" s="1074"/>
    </row>
    <row r="28" spans="1:14" ht="16.5" customHeight="1" x14ac:dyDescent="0.25">
      <c r="A28" s="393">
        <v>16</v>
      </c>
      <c r="B28" s="394">
        <v>75</v>
      </c>
      <c r="C28" s="343"/>
      <c r="D28" s="344"/>
      <c r="E28" s="345"/>
      <c r="F28" s="346"/>
      <c r="G28" s="1000"/>
      <c r="H28" s="1001"/>
      <c r="I28" s="466"/>
      <c r="J28" s="466"/>
      <c r="K28" s="15"/>
      <c r="L28" s="1004" t="s">
        <v>62</v>
      </c>
      <c r="M28" s="1005"/>
      <c r="N28" s="1005"/>
    </row>
    <row r="29" spans="1:14" ht="16.5" customHeight="1" x14ac:dyDescent="0.25">
      <c r="A29" s="393">
        <v>17</v>
      </c>
      <c r="B29" s="394">
        <v>80</v>
      </c>
      <c r="C29" s="343"/>
      <c r="D29" s="344"/>
      <c r="E29" s="345"/>
      <c r="F29" s="346"/>
      <c r="G29" s="1000"/>
      <c r="H29" s="1001"/>
      <c r="I29" s="466"/>
      <c r="J29" s="466"/>
      <c r="K29" s="15"/>
    </row>
    <row r="30" spans="1:14" ht="16.5" customHeight="1" x14ac:dyDescent="0.25">
      <c r="A30" s="393">
        <v>18</v>
      </c>
      <c r="B30" s="394">
        <v>85</v>
      </c>
      <c r="C30" s="343"/>
      <c r="D30" s="344"/>
      <c r="E30" s="345"/>
      <c r="F30" s="346"/>
      <c r="G30" s="1000"/>
      <c r="H30" s="1001"/>
      <c r="I30" s="466"/>
      <c r="J30" s="466"/>
      <c r="K30" s="15"/>
    </row>
    <row r="31" spans="1:14" ht="16.5" customHeight="1" x14ac:dyDescent="0.25">
      <c r="A31" s="393">
        <v>19</v>
      </c>
      <c r="B31" s="394">
        <v>90</v>
      </c>
      <c r="C31" s="343"/>
      <c r="D31" s="344"/>
      <c r="E31" s="345"/>
      <c r="F31" s="346"/>
      <c r="G31" s="1000"/>
      <c r="H31" s="1001"/>
      <c r="I31" s="466"/>
      <c r="J31" s="466"/>
      <c r="K31" s="15"/>
    </row>
    <row r="32" spans="1:14" ht="16.5" customHeight="1" x14ac:dyDescent="0.25">
      <c r="A32" s="393">
        <v>20</v>
      </c>
      <c r="B32" s="394">
        <v>95</v>
      </c>
      <c r="C32" s="343"/>
      <c r="D32" s="344"/>
      <c r="E32" s="345"/>
      <c r="F32" s="346"/>
      <c r="G32" s="1000"/>
      <c r="H32" s="1001"/>
      <c r="I32" s="466"/>
      <c r="J32" s="466"/>
      <c r="K32" s="15"/>
    </row>
    <row r="33" spans="1:15" ht="16.5" customHeight="1" thickBot="1" x14ac:dyDescent="0.3">
      <c r="A33" s="171">
        <v>21</v>
      </c>
      <c r="B33" s="178">
        <v>100</v>
      </c>
      <c r="C33" s="343"/>
      <c r="D33" s="344"/>
      <c r="E33" s="345"/>
      <c r="F33" s="346"/>
      <c r="G33" s="1006"/>
      <c r="H33" s="1007"/>
      <c r="I33" s="467"/>
      <c r="J33" s="467"/>
      <c r="K33" s="15"/>
      <c r="O33" s="8"/>
    </row>
    <row r="34" spans="1:15" ht="9" customHeight="1" x14ac:dyDescent="0.25">
      <c r="A34" s="1057" t="str">
        <f>IF(Protokoll!Q14="Nej","Lokalens ","Vattenfårans ")&amp;"våta         medelbredd (m)"</f>
        <v>Vattenfårans våta         medelbredd (m)</v>
      </c>
      <c r="B34" s="1058"/>
      <c r="C34" s="1061" t="str">
        <f>IF(COUNT(C13:C33)&gt;0,AVERAGE(C13:C33),"")</f>
        <v/>
      </c>
      <c r="D34" s="1039" t="s">
        <v>41</v>
      </c>
      <c r="E34" s="1063" t="str">
        <f>IF(COUNT(D13:F33)&gt;0,ROUND(AVERAGE(D13:F33)/100,2),"")</f>
        <v/>
      </c>
      <c r="F34" s="1064"/>
      <c r="G34" s="322"/>
      <c r="H34" s="322"/>
      <c r="I34" s="322"/>
      <c r="J34" s="322"/>
      <c r="K34" s="15"/>
      <c r="O34" s="8"/>
    </row>
    <row r="35" spans="1:15" ht="16.5" customHeight="1" x14ac:dyDescent="0.25">
      <c r="A35" s="1059"/>
      <c r="B35" s="1060"/>
      <c r="C35" s="1062"/>
      <c r="D35" s="1040"/>
      <c r="E35" s="1065"/>
      <c r="F35" s="1066"/>
      <c r="G35" s="323"/>
      <c r="H35" s="323"/>
      <c r="I35" s="323"/>
      <c r="J35" s="323"/>
      <c r="K35" s="15"/>
      <c r="O35" s="8"/>
    </row>
    <row r="36" spans="1:15" ht="16.5" customHeight="1" x14ac:dyDescent="0.3">
      <c r="B36" s="14" t="s">
        <v>1003</v>
      </c>
      <c r="C36" s="189" t="str">
        <f>IF(COUNT(C13:C33)&gt;0,MIN(C13:C33),"")</f>
        <v/>
      </c>
      <c r="D36" s="190" t="s">
        <v>560</v>
      </c>
      <c r="E36" s="841"/>
      <c r="F36" s="1070"/>
      <c r="G36" s="318"/>
      <c r="H36" s="318"/>
      <c r="I36" s="318"/>
      <c r="J36" s="318"/>
      <c r="K36" s="378" t="s">
        <v>37</v>
      </c>
      <c r="L36" s="378" t="s">
        <v>37</v>
      </c>
      <c r="M36" s="378" t="s">
        <v>37</v>
      </c>
      <c r="O36" s="8"/>
    </row>
    <row r="37" spans="1:15" ht="16.5" customHeight="1" x14ac:dyDescent="0.25">
      <c r="B37" s="14" t="s">
        <v>1004</v>
      </c>
      <c r="C37" s="189" t="str">
        <f>IF(COUNT(C13:C33)&gt;0,MAX(C13:C33),"")</f>
        <v/>
      </c>
      <c r="D37" s="20"/>
      <c r="E37" s="205"/>
      <c r="F37" s="205"/>
      <c r="G37" s="318"/>
      <c r="H37" s="318"/>
      <c r="I37" s="318"/>
      <c r="J37" s="318"/>
      <c r="K37" s="378">
        <v>1</v>
      </c>
      <c r="L37" s="378">
        <v>2</v>
      </c>
      <c r="M37" s="378">
        <v>3</v>
      </c>
      <c r="O37" s="8"/>
    </row>
    <row r="38" spans="1:15" ht="9.75" customHeight="1" x14ac:dyDescent="0.25">
      <c r="D38" s="325"/>
      <c r="E38" s="325"/>
      <c r="F38" s="325"/>
      <c r="G38" s="34"/>
      <c r="H38" s="34"/>
      <c r="I38" s="34"/>
      <c r="J38" s="34"/>
      <c r="K38" s="15"/>
      <c r="O38" s="8"/>
    </row>
    <row r="39" spans="1:15" ht="12.75" customHeight="1" x14ac:dyDescent="0.25">
      <c r="A39" s="14" t="s">
        <v>31</v>
      </c>
      <c r="B39" s="165"/>
      <c r="C39" s="179" t="s">
        <v>1006</v>
      </c>
      <c r="D39" s="179" t="s">
        <v>1007</v>
      </c>
      <c r="E39" s="179" t="s">
        <v>1008</v>
      </c>
      <c r="F39" s="179" t="s">
        <v>1010</v>
      </c>
      <c r="G39" s="996" t="s">
        <v>1011</v>
      </c>
      <c r="H39" s="997"/>
      <c r="I39" s="179" t="s">
        <v>1012</v>
      </c>
      <c r="J39" s="996" t="s">
        <v>1013</v>
      </c>
      <c r="K39" s="1076"/>
      <c r="L39" s="1078" t="s">
        <v>1014</v>
      </c>
      <c r="M39" s="1079"/>
      <c r="N39" s="179" t="s">
        <v>1009</v>
      </c>
      <c r="O39" s="8"/>
    </row>
    <row r="40" spans="1:15" ht="12.75" customHeight="1" x14ac:dyDescent="0.25">
      <c r="A40" s="14" t="s">
        <v>32</v>
      </c>
      <c r="B40" s="165"/>
      <c r="C40" s="180" t="s">
        <v>1015</v>
      </c>
      <c r="D40" s="180" t="s">
        <v>1016</v>
      </c>
      <c r="E40" s="180" t="s">
        <v>1017</v>
      </c>
      <c r="F40" s="181" t="s">
        <v>30</v>
      </c>
      <c r="G40" s="998" t="s">
        <v>29</v>
      </c>
      <c r="H40" s="999"/>
      <c r="I40" s="180" t="s">
        <v>1018</v>
      </c>
      <c r="J40" s="1075" t="s">
        <v>26</v>
      </c>
      <c r="K40" s="1076"/>
      <c r="L40" s="1080" t="s">
        <v>27</v>
      </c>
      <c r="M40" s="1079"/>
      <c r="N40" s="180" t="s">
        <v>28</v>
      </c>
      <c r="O40" s="8"/>
    </row>
    <row r="41" spans="1:15" ht="12.75" customHeight="1" thickBot="1" x14ac:dyDescent="0.3">
      <c r="A41" s="1046" t="s">
        <v>33</v>
      </c>
      <c r="B41" s="1047"/>
      <c r="C41" s="182" t="s">
        <v>762</v>
      </c>
      <c r="D41" s="182" t="s">
        <v>534</v>
      </c>
      <c r="E41" s="182" t="s">
        <v>535</v>
      </c>
      <c r="F41" s="182" t="s">
        <v>536</v>
      </c>
      <c r="G41" s="1071" t="s">
        <v>537</v>
      </c>
      <c r="H41" s="1072"/>
      <c r="I41" s="182" t="s">
        <v>538</v>
      </c>
      <c r="J41" s="1071" t="s">
        <v>539</v>
      </c>
      <c r="K41" s="1077"/>
      <c r="L41" s="1081" t="s">
        <v>540</v>
      </c>
      <c r="M41" s="1082"/>
      <c r="N41" s="182" t="s">
        <v>541</v>
      </c>
      <c r="O41" s="8"/>
    </row>
    <row r="42" spans="1:15" ht="16.5" customHeight="1" x14ac:dyDescent="0.25">
      <c r="A42" s="164" t="s">
        <v>34</v>
      </c>
      <c r="B42" s="183"/>
      <c r="C42" s="374" t="str">
        <f>IF(DCOUNTA($K$12:$M$21,3,$K36:$K37)&gt;0,IF(DGET($K$12:$M$21,3,$K36:$K37)=C41,"D1",IF(DCOUNTA($K$12:$M$21,3,$L36:$L37)&gt;0,IF(DGET($K$12:$M$21,3,$L36:$L37)=C41,"D2",IF(DCOUNTA($K$12:$M$21,3,$M36:$M37)&gt;0,IF(DGET($K$12:$M$21,3,$M36:$M37)=C41,"D3",""),"")),IF(DCOUNTA($K$12:$M$21,3,$M36:$M37)&gt;0,IF(DGET($K$12:$M$21,3,$M36:$M37)=C41,"D3",""),""))),IF(DCOUNTA($K$12:$M$21,3,$L36:$L37)&gt;0,IF(DGET($K$12:$M$21,3,$L36:$L37)=C41,"D2",IF(DCOUNTA($K$12:$M$21,3,$M36:$M37)&gt;0,IF(DGET($K$12:$M$21,3,$M36:$M37)=C41,"D3",""),"")),IF(DCOUNTA($K$12:$M$21,3,$M36:$M37)&gt;0,IF(DGET($K$12:$M$21,3,$M36:$M37)=C41,"D3",""),"")))</f>
        <v/>
      </c>
      <c r="D42" s="374" t="str">
        <f>IF(DCOUNTA($K$12:$M$21,3,$K36:$K37)&gt;0,IF(DGET($K$12:$M$21,3,$K36:$K37)=D41,"D1",IF(DCOUNTA($K$12:$M$21,3,$L36:$L37)&gt;0,IF(DGET($K$12:$M$21,3,$L36:$L37)=D41,"D2",IF(DCOUNTA($K$12:$M$21,3,$M36:$M37)&gt;0,IF(DGET($K$12:$M$21,3,$M36:$M37)=D41,"D3",""),"")),IF(DCOUNTA($K$12:$M$21,3,$M36:$M37)&gt;0,IF(DGET($K$12:$M$21,3,$M36:$M37)=D41,"D3",""),""))),IF(DCOUNTA($K$12:$M$21,3,$L36:$L37)&gt;0,IF(DGET($K$12:$M$21,3,$L36:$L37)=D41,"D2",IF(DCOUNTA($K$12:$M$21,3,$M36:$M37)&gt;0,IF(DGET($K$12:$M$21,3,$M36:$M37)=D41,"D3",""),"")),IF(DCOUNTA($K$12:$M$21,3,$M36:$M37)&gt;0,IF(DGET($K$12:$M$21,3,$M36:$M37)=D41,"D3",""),"")))</f>
        <v/>
      </c>
      <c r="E42" s="374" t="str">
        <f>IF(DCOUNTA($K$12:$M$21,3,$K36:$K37)&gt;0,IF(DGET($K$12:$M$21,3,$K36:$K37)=E41,"D1",IF(DCOUNTA($K$12:$M$21,3,$L36:$L37)&gt;0,IF(DGET($K$12:$M$21,3,$L36:$L37)=E41,"D2",IF(DCOUNTA($K$12:$M$21,3,$M36:$M37)&gt;0,IF(DGET($K$12:$M$21,3,$M36:$M37)=E41,"D3",""),"")),IF(DCOUNTA($K$12:$M$21,3,$M36:$M37)&gt;0,IF(DGET($K$12:$M$21,3,$M36:$M37)=E41,"D3",""),""))),IF(DCOUNTA($K$12:$M$21,3,$L36:$L37)&gt;0,IF(DGET($K$12:$M$21,3,$L36:$L37)=E41,"D2",IF(DCOUNTA($K$12:$M$21,3,$M36:$M37)&gt;0,IF(DGET($K$12:$M$21,3,$M36:$M37)=E41,"D3",""),"")),IF(DCOUNTA($K$12:$M$21,3,$M36:$M37)&gt;0,IF(DGET($K$12:$M$21,3,$M36:$M37)=E41,"D3",""),"")))</f>
        <v/>
      </c>
      <c r="F42" s="374" t="str">
        <f>IF(DCOUNTA($K$12:$M$21,3,$K36:$K37)&gt;0,IF(DGET($K$12:$M$21,3,$K36:$K37)=F41,"D1",IF(DCOUNTA($K$12:$M$21,3,$L36:$L37)&gt;0,IF(DGET($K$12:$M$21,3,$L36:$L37)=F41,"D2",IF(DCOUNTA($K$12:$M$21,3,$M36:$M37)&gt;0,IF(DGET($K$12:$M$21,3,$M36:$M37)=F41,"D3",""),"")),IF(DCOUNTA($K$12:$M$21,3,$M36:$M37)&gt;0,IF(DGET($K$12:$M$21,3,$M36:$M37)=F41,"D3",""),""))),IF(DCOUNTA($K$12:$M$21,3,$L36:$L37)&gt;0,IF(DGET($K$12:$M$21,3,$L36:$L37)=F41,"D2",IF(DCOUNTA($K$12:$M$21,3,$M36:$M37)&gt;0,IF(DGET($K$12:$M$21,3,$M36:$M37)=F41,"D3",""),"")),IF(DCOUNTA($K$12:$M$21,3,$M36:$M37)&gt;0,IF(DGET($K$12:$M$21,3,$M36:$M37)=F41,"D3",""),"")))</f>
        <v/>
      </c>
      <c r="G42" s="1068" t="str">
        <f>IF(DCOUNTA($K$12:$M$21,3,$K36:$K37)&gt;0,IF(DGET($K$12:$M$21,3,$K36:$K37)=G41,"D1",IF(DCOUNTA($K$12:$M$21,3,$L36:$L37)&gt;0,IF(DGET($K$12:$M$21,3,$L36:$L37)=G41,"D2",IF(DCOUNTA($K$12:$M$21,3,$M36:$M37)&gt;0,IF(DGET($K$12:$M$21,3,$M36:$M37)=G41,"D3",""),"")),IF(DCOUNTA($K$12:$M$21,3,$M36:$M37)&gt;0,IF(DGET($K$12:$M$21,3,$M36:$M37)=G41,"D3",""),""))),IF(DCOUNTA($K$12:$M$21,3,$L36:$L37)&gt;0,IF(DGET($K$12:$M$21,3,$L36:$L37)=G41,"D2",IF(DCOUNTA($K$12:$M$21,3,$M36:$M37)&gt;0,IF(DGET($K$12:$M$21,3,$M36:$M37)=G41,"D3",""),"")),IF(DCOUNTA($K$12:$M$21,3,$M36:$M37)&gt;0,IF(DGET($K$12:$M$21,3,$M36:$M37)=G41,"D3",""),"")))</f>
        <v/>
      </c>
      <c r="H42" s="1069"/>
      <c r="I42" s="374" t="str">
        <f>IF(DCOUNTA($K$12:$M$21,3,$K36:$K37)&gt;0,IF(DGET($K$12:$M$21,3,$K36:$K37)=I41,"D1",IF(DCOUNTA($K$12:$M$21,3,$L36:$L37)&gt;0,IF(DGET($K$12:$M$21,3,$L36:$L37)=I41,"D2",IF(DCOUNTA($K$12:$M$21,3,$M36:$M37)&gt;0,IF(DGET($K$12:$M$21,3,$M36:$M37)=I41,"D3",""),"")),IF(DCOUNTA($K$12:$M$21,3,$M36:$M37)&gt;0,IF(DGET($K$12:$M$21,3,$M36:$M37)=I41,"D3",""),""))),IF(DCOUNTA($K$12:$M$21,3,$L36:$L37)&gt;0,IF(DGET($K$12:$M$21,3,$L36:$L37)=I41,"D2",IF(DCOUNTA($K$12:$M$21,3,$M36:$M37)&gt;0,IF(DGET($K$12:$M$21,3,$M36:$M37)=I41,"D3",""),"")),IF(DCOUNTA($K$12:$M$21,3,$M36:$M37)&gt;0,IF(DGET($K$12:$M$21,3,$M36:$M37)=I41,"D3",""),"")))</f>
        <v/>
      </c>
      <c r="J42" s="1068" t="str">
        <f>IF(DCOUNTA($K$12:$M$21,3,$K36:$K37)&gt;0,IF(DGET($K$12:$M$21,3,$K36:$K37)=J41,"D1",IF(DCOUNTA($K$12:$M$21,3,$L36:$L37)&gt;0,IF(DGET($K$12:$M$21,3,$L36:$L37)=J41,"D2",IF(DCOUNTA($K$12:$M$21,3,$M36:$M37)&gt;0,IF(DGET($K$12:$M$21,3,$M36:$M37)=J41,"D3",""),"")),IF(DCOUNTA($K$12:$M$21,3,$M36:$M37)&gt;0,IF(DGET($K$12:$M$21,3,$M36:$M37)=J41,"D3",""),""))),IF(DCOUNTA($K$12:$M$21,3,$L36:$L37)&gt;0,IF(DGET($K$12:$M$21,3,$L36:$L37)=J41,"D2",IF(DCOUNTA($K$12:$M$21,3,$M36:$M37)&gt;0,IF(DGET($K$12:$M$21,3,$M36:$M37)=J41,"D3",""),"")),IF(DCOUNTA($K$12:$M$21,3,$M36:$M37)&gt;0,IF(DGET($K$12:$M$21,3,$M36:$M37)=J41,"D3",""),"")))</f>
        <v/>
      </c>
      <c r="K42" s="1069"/>
      <c r="L42" s="1068" t="str">
        <f>IF(DCOUNTA($K$12:$M$21,3,$K36:$K37)&gt;0,IF(DGET($K$12:$M$21,3,$K36:$K37)=L41,"D1",IF(DCOUNTA($K$12:$M$21,3,$L36:$L37)&gt;0,IF(DGET($K$12:$M$21,3,$L36:$L37)=L41,"D2",IF(DCOUNTA($K$12:$M$21,3,$M36:$M37)&gt;0,IF(DGET($K$12:$M$21,3,$M36:$M37)=L41,"D3",""),"")),IF(DCOUNTA($K$12:$M$21,3,$M36:$M37)&gt;0,IF(DGET($K$12:$M$21,3,$M36:$M37)=L41,"D3",""),""))),IF(DCOUNTA($K$12:$M$21,3,$L36:$L37)&gt;0,IF(DGET($K$12:$M$21,3,$L36:$L37)=L41,"D2",IF(DCOUNTA($K$12:$M$21,3,$M36:$M37)&gt;0,IF(DGET($K$12:$M$21,3,$M36:$M37)=L41,"D3",""),"")),IF(DCOUNTA($K$12:$M$21,3,$M36:$M37)&gt;0,IF(DGET($K$12:$M$21,3,$M36:$M37)=L41,"D3",""),"")))</f>
        <v/>
      </c>
      <c r="M42" s="1069"/>
      <c r="N42" s="374" t="str">
        <f>IF(DCOUNTA($K$12:$M$21,3,$K36:$K37)&gt;0,IF(DGET($K$12:$M$21,3,$K36:$K37)=N41,"D1",IF(DCOUNTA($K$12:$M$21,3,$L36:$L37)&gt;0,IF(DGET($K$12:$M$21,3,$L36:$L37)=N41,"D2",IF(DCOUNTA($K$12:$M$21,3,$M36:$M37)&gt;0,IF(DGET($K$12:$M$21,3,$M36:$M37)=N41,"D3",""),"")),IF(DCOUNTA($K$12:$M$21,3,$M36:$M37)&gt;0,IF(DGET($K$12:$M$21,3,$M36:$M37)=N41,"D3",""),""))),IF(DCOUNTA($K$12:$M$21,3,$L36:$L37)&gt;0,IF(DGET($K$12:$M$21,3,$L36:$L37)=N41,"D2",IF(DCOUNTA($K$12:$M$21,3,$M36:$M37)&gt;0,IF(DGET($K$12:$M$21,3,$M36:$M37)=N41,"D3",""),"")),IF(DCOUNTA($K$12:$M$21,3,$M36:$M37)&gt;0,IF(DGET($K$12:$M$21,3,$M36:$M37)=N41,"D3",""),"")))</f>
        <v/>
      </c>
    </row>
    <row r="43" spans="1:15" ht="16.5" customHeight="1" x14ac:dyDescent="0.25">
      <c r="A43" s="163" t="s">
        <v>39</v>
      </c>
      <c r="B43" s="165"/>
      <c r="C43" s="347"/>
      <c r="D43" s="347"/>
      <c r="E43" s="347"/>
      <c r="F43" s="347"/>
      <c r="G43" s="1067"/>
      <c r="H43" s="792"/>
      <c r="I43" s="347"/>
      <c r="J43" s="1067"/>
      <c r="K43" s="792"/>
      <c r="L43" s="1067"/>
      <c r="M43" s="792"/>
      <c r="N43" s="347"/>
    </row>
    <row r="44" spans="1:15" s="15" customFormat="1" ht="16.5" customHeight="1" x14ac:dyDescent="0.25">
      <c r="A44" s="16"/>
      <c r="B44" s="8"/>
      <c r="C44" s="557"/>
      <c r="D44" s="557"/>
      <c r="E44" s="557"/>
      <c r="F44" s="557"/>
      <c r="G44" s="557"/>
      <c r="H44" s="558"/>
      <c r="I44" s="557"/>
      <c r="J44" s="557"/>
      <c r="K44" s="558"/>
      <c r="L44" s="557"/>
      <c r="M44" s="558"/>
      <c r="N44" s="557"/>
    </row>
    <row r="45" spans="1:15" ht="16.5" customHeight="1" x14ac:dyDescent="0.25">
      <c r="C45" s="318"/>
      <c r="D45" s="318"/>
      <c r="E45" s="318"/>
      <c r="F45" s="318"/>
      <c r="G45" s="318"/>
      <c r="H45" s="34"/>
      <c r="I45" s="34"/>
      <c r="J45" s="34"/>
      <c r="K45" s="34"/>
      <c r="L45" s="34"/>
      <c r="M45" s="34"/>
      <c r="N45" s="318"/>
    </row>
    <row r="46" spans="1:15" ht="15" customHeight="1" x14ac:dyDescent="0.25">
      <c r="A46" s="1089" t="str">
        <f>IF(Protokoll!$X$9&lt;&gt;"",Protokoll!$X$9,"")</f>
        <v>2020-08-19</v>
      </c>
      <c r="B46" s="1091" t="str">
        <f>".                                      .                                                                         .                                               "&amp;IF(Protokoll!F7&lt;&gt;"",IF(Protokoll!S7&lt;&gt;"",CONCATENATE(Protokoll!F7,"/",Protokoll!S7),Protokoll!F7),IF(Protokoll!S7&lt;&gt;"",Protokoll!S7,"")&amp;"                             .                 ")&amp;"                            .       "&amp;IF(Protokoll!H19&lt;&gt;"",Protokoll!H19,"")</f>
        <v>.                                      .                                                                         .                                               Ovan bro mot Borrås                            .       25</v>
      </c>
      <c r="C46" s="1093" t="s">
        <v>2060</v>
      </c>
      <c r="D46" s="1094"/>
      <c r="E46" s="1097"/>
      <c r="F46" s="1098"/>
      <c r="G46" s="1098"/>
      <c r="H46" s="1098"/>
      <c r="I46" s="1098"/>
      <c r="J46" s="1098"/>
      <c r="K46" s="1098"/>
      <c r="L46" s="1098"/>
      <c r="M46" s="1098"/>
      <c r="N46" s="1099"/>
    </row>
    <row r="47" spans="1:15" ht="15" customHeight="1" x14ac:dyDescent="0.25">
      <c r="A47" s="1090"/>
      <c r="B47" s="1092"/>
      <c r="C47" s="1095"/>
      <c r="D47" s="1096"/>
      <c r="E47" s="1100"/>
      <c r="F47" s="1100"/>
      <c r="G47" s="1100"/>
      <c r="H47" s="1100"/>
      <c r="I47" s="1100"/>
      <c r="J47" s="1100"/>
      <c r="K47" s="1100"/>
      <c r="L47" s="1100"/>
      <c r="M47" s="1100"/>
      <c r="N47" s="1101"/>
    </row>
    <row r="48" spans="1:15" ht="15" customHeight="1" x14ac:dyDescent="0.25">
      <c r="A48" s="1090"/>
      <c r="B48" s="1092"/>
      <c r="C48" s="1095"/>
      <c r="D48" s="1096"/>
      <c r="E48" s="1100"/>
      <c r="F48" s="1100"/>
      <c r="G48" s="1100"/>
      <c r="H48" s="1100"/>
      <c r="I48" s="1100"/>
      <c r="J48" s="1100"/>
      <c r="K48" s="1100"/>
      <c r="L48" s="1100"/>
      <c r="M48" s="1100"/>
      <c r="N48" s="1101"/>
    </row>
    <row r="49" spans="1:15" ht="15" customHeight="1" x14ac:dyDescent="0.25">
      <c r="A49" s="1090"/>
      <c r="B49" s="1092"/>
      <c r="C49" s="1095"/>
      <c r="D49" s="1096"/>
      <c r="E49" s="1100"/>
      <c r="F49" s="1100"/>
      <c r="G49" s="1100"/>
      <c r="H49" s="1100"/>
      <c r="I49" s="1100"/>
      <c r="J49" s="1100"/>
      <c r="K49" s="1100"/>
      <c r="L49" s="1100"/>
      <c r="M49" s="1100"/>
      <c r="N49" s="1101"/>
    </row>
    <row r="50" spans="1:15" ht="14.25" customHeight="1" x14ac:dyDescent="0.25">
      <c r="A50" s="1090"/>
      <c r="B50" s="1092"/>
      <c r="C50" s="1095"/>
      <c r="D50" s="1096"/>
      <c r="E50" s="1100"/>
      <c r="F50" s="1100"/>
      <c r="G50" s="1100"/>
      <c r="H50" s="1100"/>
      <c r="I50" s="1100"/>
      <c r="J50" s="1100"/>
      <c r="K50" s="1100"/>
      <c r="L50" s="1100"/>
      <c r="M50" s="1100"/>
      <c r="N50" s="1101"/>
      <c r="O50" s="8"/>
    </row>
    <row r="51" spans="1:15" ht="15" customHeight="1" x14ac:dyDescent="0.25">
      <c r="A51" s="1090"/>
      <c r="B51" s="1092"/>
      <c r="C51" s="1095"/>
      <c r="D51" s="1096"/>
      <c r="E51" s="1100"/>
      <c r="F51" s="1100"/>
      <c r="G51" s="1100"/>
      <c r="H51" s="1100"/>
      <c r="I51" s="1100"/>
      <c r="J51" s="1100"/>
      <c r="K51" s="1100"/>
      <c r="L51" s="1100"/>
      <c r="M51" s="1100"/>
      <c r="N51" s="1101"/>
      <c r="O51" s="8"/>
    </row>
    <row r="52" spans="1:15" ht="33" customHeight="1" x14ac:dyDescent="0.25">
      <c r="A52" s="1090"/>
      <c r="B52" s="1092"/>
      <c r="C52" s="1095"/>
      <c r="D52" s="1096"/>
      <c r="E52" s="1100"/>
      <c r="F52" s="1100"/>
      <c r="G52" s="1100"/>
      <c r="H52" s="1100"/>
      <c r="I52" s="1100"/>
      <c r="J52" s="1100"/>
      <c r="K52" s="1100"/>
      <c r="L52" s="1100"/>
      <c r="M52" s="1100"/>
      <c r="N52" s="1101"/>
      <c r="O52" s="8"/>
    </row>
    <row r="53" spans="1:15" ht="15" customHeight="1" x14ac:dyDescent="0.25">
      <c r="A53" s="1090"/>
      <c r="B53" s="1092"/>
      <c r="C53" s="1095"/>
      <c r="D53" s="1096"/>
      <c r="E53" s="1100"/>
      <c r="F53" s="1100"/>
      <c r="G53" s="1100"/>
      <c r="H53" s="1100"/>
      <c r="I53" s="1100"/>
      <c r="J53" s="1100"/>
      <c r="K53" s="1100"/>
      <c r="L53" s="1100"/>
      <c r="M53" s="1100"/>
      <c r="N53" s="1101"/>
    </row>
    <row r="54" spans="1:15" ht="15" customHeight="1" x14ac:dyDescent="0.25">
      <c r="A54" s="1090"/>
      <c r="B54" s="1092"/>
      <c r="C54" s="1095"/>
      <c r="D54" s="1096"/>
      <c r="E54" s="1100"/>
      <c r="F54" s="1100"/>
      <c r="G54" s="1100"/>
      <c r="H54" s="1100"/>
      <c r="I54" s="1100"/>
      <c r="J54" s="1100"/>
      <c r="K54" s="1100"/>
      <c r="L54" s="1100"/>
      <c r="M54" s="1100"/>
      <c r="N54" s="1101"/>
    </row>
    <row r="55" spans="1:15" ht="16.5" customHeight="1" x14ac:dyDescent="0.25">
      <c r="A55" s="1090"/>
      <c r="B55" s="1092"/>
      <c r="C55" s="1095"/>
      <c r="D55" s="1096"/>
      <c r="E55" s="1100"/>
      <c r="F55" s="1100"/>
      <c r="G55" s="1100"/>
      <c r="H55" s="1100"/>
      <c r="I55" s="1100"/>
      <c r="J55" s="1100"/>
      <c r="K55" s="1100"/>
      <c r="L55" s="1100"/>
      <c r="M55" s="1100"/>
      <c r="N55" s="1101"/>
    </row>
    <row r="56" spans="1:15" ht="124.5" customHeight="1" x14ac:dyDescent="0.25">
      <c r="A56" s="575" t="s">
        <v>2276</v>
      </c>
      <c r="B56" s="553" t="s">
        <v>2275</v>
      </c>
      <c r="C56" s="1095"/>
      <c r="D56" s="1096"/>
      <c r="E56" s="1100"/>
      <c r="F56" s="1100"/>
      <c r="G56" s="1100"/>
      <c r="H56" s="1100"/>
      <c r="I56" s="1100"/>
      <c r="J56" s="1100"/>
      <c r="K56" s="1100"/>
      <c r="L56" s="1100"/>
      <c r="M56" s="1100"/>
      <c r="N56" s="1101"/>
    </row>
    <row r="57" spans="1:15" ht="18" customHeight="1" x14ac:dyDescent="0.25">
      <c r="A57" s="554"/>
      <c r="B57" s="9"/>
      <c r="C57" s="9"/>
      <c r="D57" s="9"/>
      <c r="E57" s="1100"/>
      <c r="F57" s="1100"/>
      <c r="G57" s="1100"/>
      <c r="H57" s="1100"/>
      <c r="I57" s="1100"/>
      <c r="J57" s="1100"/>
      <c r="K57" s="1100"/>
      <c r="L57" s="1100"/>
      <c r="M57" s="1100"/>
      <c r="N57" s="1101"/>
    </row>
    <row r="58" spans="1:15" ht="12.75" customHeight="1" x14ac:dyDescent="0.25">
      <c r="A58" s="554"/>
      <c r="B58" s="1104" t="str">
        <f>IF(Protokoll!$H$3&lt;&gt;"",Protokoll!$H$3,"")&amp;"                                 .                                         "&amp;IF(Protokoll!$I6&lt;&gt;"",Protokoll!$I6,"")&amp;"-"&amp;IF(Protokoll!$N6&lt;&gt;"",Protokoll!$N6,"")</f>
        <v>Törlan                                 .                                         6325882-1294786</v>
      </c>
      <c r="C58" s="1106" t="s">
        <v>2061</v>
      </c>
      <c r="D58" s="687"/>
      <c r="E58" s="1100"/>
      <c r="F58" s="1100"/>
      <c r="G58" s="1100"/>
      <c r="H58" s="1100"/>
      <c r="I58" s="1100"/>
      <c r="J58" s="1100"/>
      <c r="K58" s="1100"/>
      <c r="L58" s="1100"/>
      <c r="M58" s="1100"/>
      <c r="N58" s="1101"/>
    </row>
    <row r="59" spans="1:15" x14ac:dyDescent="0.25">
      <c r="A59" s="554"/>
      <c r="B59" s="1105"/>
      <c r="C59" s="1107"/>
      <c r="D59" s="687"/>
      <c r="E59" s="1100"/>
      <c r="F59" s="1100"/>
      <c r="G59" s="1100"/>
      <c r="H59" s="1100"/>
      <c r="I59" s="1100"/>
      <c r="J59" s="1100"/>
      <c r="K59" s="1100"/>
      <c r="L59" s="1100"/>
      <c r="M59" s="1100"/>
      <c r="N59" s="1101"/>
    </row>
    <row r="60" spans="1:15" ht="12.75" customHeight="1" x14ac:dyDescent="0.25">
      <c r="A60" s="554"/>
      <c r="B60" s="1105"/>
      <c r="C60" s="1107"/>
      <c r="D60" s="687"/>
      <c r="E60" s="1100"/>
      <c r="F60" s="1100"/>
      <c r="G60" s="1100"/>
      <c r="H60" s="1100"/>
      <c r="I60" s="1100"/>
      <c r="J60" s="1100"/>
      <c r="K60" s="1100"/>
      <c r="L60" s="1100"/>
      <c r="M60" s="1100"/>
      <c r="N60" s="1101"/>
    </row>
    <row r="61" spans="1:15" x14ac:dyDescent="0.25">
      <c r="A61" s="554"/>
      <c r="B61" s="1105"/>
      <c r="C61" s="1107"/>
      <c r="D61" s="687"/>
      <c r="E61" s="1100"/>
      <c r="F61" s="1100"/>
      <c r="G61" s="1100"/>
      <c r="H61" s="1100"/>
      <c r="I61" s="1100"/>
      <c r="J61" s="1100"/>
      <c r="K61" s="1100"/>
      <c r="L61" s="1100"/>
      <c r="M61" s="1100"/>
      <c r="N61" s="1101"/>
    </row>
    <row r="62" spans="1:15" x14ac:dyDescent="0.25">
      <c r="A62" s="554"/>
      <c r="B62" s="1105"/>
      <c r="C62" s="1107"/>
      <c r="D62" s="687"/>
      <c r="E62" s="1100"/>
      <c r="F62" s="1100"/>
      <c r="G62" s="1100"/>
      <c r="H62" s="1100"/>
      <c r="I62" s="1100"/>
      <c r="J62" s="1100"/>
      <c r="K62" s="1100"/>
      <c r="L62" s="1100"/>
      <c r="M62" s="1100"/>
      <c r="N62" s="1101"/>
    </row>
    <row r="63" spans="1:15" ht="12.75" customHeight="1" x14ac:dyDescent="0.25">
      <c r="A63" s="554"/>
      <c r="B63" s="1105"/>
      <c r="C63" s="1107"/>
      <c r="D63" s="687"/>
      <c r="E63" s="1100"/>
      <c r="F63" s="1100"/>
      <c r="G63" s="1100"/>
      <c r="H63" s="1100"/>
      <c r="I63" s="1100"/>
      <c r="J63" s="1100"/>
      <c r="K63" s="1100"/>
      <c r="L63" s="1100"/>
      <c r="M63" s="1100"/>
      <c r="N63" s="1101"/>
    </row>
    <row r="64" spans="1:15" x14ac:dyDescent="0.25">
      <c r="A64" s="554"/>
      <c r="B64" s="1105"/>
      <c r="C64" s="1107"/>
      <c r="D64" s="687"/>
      <c r="E64" s="1100"/>
      <c r="F64" s="1100"/>
      <c r="G64" s="1100"/>
      <c r="H64" s="1100"/>
      <c r="I64" s="1100"/>
      <c r="J64" s="1100"/>
      <c r="K64" s="1100"/>
      <c r="L64" s="1100"/>
      <c r="M64" s="1100"/>
      <c r="N64" s="1101"/>
    </row>
    <row r="65" spans="1:14" x14ac:dyDescent="0.25">
      <c r="A65" s="554"/>
      <c r="B65" s="1105"/>
      <c r="C65" s="1107"/>
      <c r="D65" s="687"/>
      <c r="E65" s="1100"/>
      <c r="F65" s="1100"/>
      <c r="G65" s="1100"/>
      <c r="H65" s="1100"/>
      <c r="I65" s="1100"/>
      <c r="J65" s="1100"/>
      <c r="K65" s="1100"/>
      <c r="L65" s="1100"/>
      <c r="M65" s="1100"/>
      <c r="N65" s="1101"/>
    </row>
    <row r="66" spans="1:14" x14ac:dyDescent="0.25">
      <c r="A66" s="554"/>
      <c r="B66" s="1105"/>
      <c r="C66" s="1107"/>
      <c r="D66" s="687"/>
      <c r="E66" s="1100"/>
      <c r="F66" s="1100"/>
      <c r="G66" s="1100"/>
      <c r="H66" s="1100"/>
      <c r="I66" s="1100"/>
      <c r="J66" s="1100"/>
      <c r="K66" s="1100"/>
      <c r="L66" s="1100"/>
      <c r="M66" s="1100"/>
      <c r="N66" s="1101"/>
    </row>
    <row r="67" spans="1:14" x14ac:dyDescent="0.25">
      <c r="A67" s="554"/>
      <c r="B67" s="1105"/>
      <c r="C67" s="1107"/>
      <c r="D67" s="687"/>
      <c r="E67" s="1100"/>
      <c r="F67" s="1100"/>
      <c r="G67" s="1100"/>
      <c r="H67" s="1100"/>
      <c r="I67" s="1100"/>
      <c r="J67" s="1100"/>
      <c r="K67" s="1100"/>
      <c r="L67" s="1100"/>
      <c r="M67" s="1100"/>
      <c r="N67" s="1101"/>
    </row>
    <row r="68" spans="1:14" x14ac:dyDescent="0.25">
      <c r="A68" s="554"/>
      <c r="B68" s="1105"/>
      <c r="C68" s="1107"/>
      <c r="D68" s="687"/>
      <c r="E68" s="1100"/>
      <c r="F68" s="1100"/>
      <c r="G68" s="1100"/>
      <c r="H68" s="1100"/>
      <c r="I68" s="1100"/>
      <c r="J68" s="1100"/>
      <c r="K68" s="1100"/>
      <c r="L68" s="1100"/>
      <c r="M68" s="1100"/>
      <c r="N68" s="1101"/>
    </row>
    <row r="69" spans="1:14" x14ac:dyDescent="0.25">
      <c r="A69" s="554"/>
      <c r="B69" s="1105"/>
      <c r="C69" s="1107"/>
      <c r="D69" s="687"/>
      <c r="E69" s="1100"/>
      <c r="F69" s="1100"/>
      <c r="G69" s="1100"/>
      <c r="H69" s="1100"/>
      <c r="I69" s="1100"/>
      <c r="J69" s="1100"/>
      <c r="K69" s="1100"/>
      <c r="L69" s="1100"/>
      <c r="M69" s="1100"/>
      <c r="N69" s="1101"/>
    </row>
    <row r="70" spans="1:14" ht="148.5" customHeight="1" x14ac:dyDescent="0.25">
      <c r="A70" s="555" t="s">
        <v>2062</v>
      </c>
      <c r="B70" s="556" t="s">
        <v>2274</v>
      </c>
      <c r="C70" s="1108"/>
      <c r="D70" s="655"/>
      <c r="E70" s="1102"/>
      <c r="F70" s="1102"/>
      <c r="G70" s="1102"/>
      <c r="H70" s="1102"/>
      <c r="I70" s="1102"/>
      <c r="J70" s="1102"/>
      <c r="K70" s="1102"/>
      <c r="L70" s="1102"/>
      <c r="M70" s="1102"/>
      <c r="N70" s="1103"/>
    </row>
  </sheetData>
  <sheetProtection sheet="1"/>
  <mergeCells count="82">
    <mergeCell ref="A46:A55"/>
    <mergeCell ref="B46:B55"/>
    <mergeCell ref="C46:D56"/>
    <mergeCell ref="E46:N70"/>
    <mergeCell ref="B58:B69"/>
    <mergeCell ref="C58:D70"/>
    <mergeCell ref="A3:B3"/>
    <mergeCell ref="A4:B4"/>
    <mergeCell ref="E3:F3"/>
    <mergeCell ref="E4:F4"/>
    <mergeCell ref="C3:D3"/>
    <mergeCell ref="C4:D4"/>
    <mergeCell ref="L27:N27"/>
    <mergeCell ref="J40:K40"/>
    <mergeCell ref="J41:K41"/>
    <mergeCell ref="J39:K39"/>
    <mergeCell ref="L39:M39"/>
    <mergeCell ref="L40:M40"/>
    <mergeCell ref="L41:M41"/>
    <mergeCell ref="L43:M43"/>
    <mergeCell ref="L42:M42"/>
    <mergeCell ref="J43:K43"/>
    <mergeCell ref="J42:K42"/>
    <mergeCell ref="E36:F36"/>
    <mergeCell ref="G42:H42"/>
    <mergeCell ref="G43:H43"/>
    <mergeCell ref="G41:H41"/>
    <mergeCell ref="A6:B6"/>
    <mergeCell ref="A7:B7"/>
    <mergeCell ref="A34:B35"/>
    <mergeCell ref="C34:C35"/>
    <mergeCell ref="E34:F35"/>
    <mergeCell ref="A41:B41"/>
    <mergeCell ref="A11:A12"/>
    <mergeCell ref="B11:B12"/>
    <mergeCell ref="C11:C12"/>
    <mergeCell ref="A8:B8"/>
    <mergeCell ref="J6:J7"/>
    <mergeCell ref="D34:D35"/>
    <mergeCell ref="E6:F6"/>
    <mergeCell ref="E7:F7"/>
    <mergeCell ref="E8:F8"/>
    <mergeCell ref="D11:F11"/>
    <mergeCell ref="G32:H32"/>
    <mergeCell ref="G20:H20"/>
    <mergeCell ref="G21:H21"/>
    <mergeCell ref="G22:H22"/>
    <mergeCell ref="G16:H16"/>
    <mergeCell ref="G17:H17"/>
    <mergeCell ref="G31:H31"/>
    <mergeCell ref="L12:M12"/>
    <mergeCell ref="M3:N3"/>
    <mergeCell ref="M4:N4"/>
    <mergeCell ref="G19:H19"/>
    <mergeCell ref="J3:L3"/>
    <mergeCell ref="G18:H18"/>
    <mergeCell ref="G13:H13"/>
    <mergeCell ref="G14:H14"/>
    <mergeCell ref="G15:H15"/>
    <mergeCell ref="G11:J11"/>
    <mergeCell ref="G12:H12"/>
    <mergeCell ref="I6:I7"/>
    <mergeCell ref="J4:L4"/>
    <mergeCell ref="H8:I8"/>
    <mergeCell ref="K6:N6"/>
    <mergeCell ref="K7:N9"/>
    <mergeCell ref="L23:N23"/>
    <mergeCell ref="G39:H39"/>
    <mergeCell ref="G40:H40"/>
    <mergeCell ref="G23:H23"/>
    <mergeCell ref="G24:H24"/>
    <mergeCell ref="G25:H25"/>
    <mergeCell ref="G26:H26"/>
    <mergeCell ref="L24:N24"/>
    <mergeCell ref="L25:N25"/>
    <mergeCell ref="L28:N28"/>
    <mergeCell ref="G27:H27"/>
    <mergeCell ref="G33:H33"/>
    <mergeCell ref="G28:H28"/>
    <mergeCell ref="G29:H29"/>
    <mergeCell ref="G30:H30"/>
    <mergeCell ref="L26:N26"/>
  </mergeCells>
  <phoneticPr fontId="0" type="noConversion"/>
  <conditionalFormatting sqref="G7">
    <cfRule type="expression" dxfId="701" priority="397" stopIfTrue="1">
      <formula>OR($G$7&lt;&gt;"",$E$36&lt;&gt;"")</formula>
    </cfRule>
  </conditionalFormatting>
  <conditionalFormatting sqref="G8">
    <cfRule type="expression" dxfId="700" priority="396" stopIfTrue="1">
      <formula>OR($G$8&lt;&gt;"",$E$36&lt;&gt;"")</formula>
    </cfRule>
  </conditionalFormatting>
  <conditionalFormatting sqref="G6">
    <cfRule type="expression" dxfId="699" priority="395" stopIfTrue="1">
      <formula>$G$6&lt;&gt;""</formula>
    </cfRule>
  </conditionalFormatting>
  <conditionalFormatting sqref="C3:D3">
    <cfRule type="expression" dxfId="698" priority="394" stopIfTrue="1">
      <formula>$C$3&lt;&gt;""</formula>
    </cfRule>
  </conditionalFormatting>
  <conditionalFormatting sqref="C4:D4">
    <cfRule type="expression" dxfId="697" priority="393" stopIfTrue="1">
      <formula>$C$4&lt;&gt;""</formula>
    </cfRule>
  </conditionalFormatting>
  <conditionalFormatting sqref="C6">
    <cfRule type="expression" dxfId="696" priority="392" stopIfTrue="1">
      <formula>$C$6&lt;&gt;""</formula>
    </cfRule>
  </conditionalFormatting>
  <conditionalFormatting sqref="C7">
    <cfRule type="expression" dxfId="695" priority="391" stopIfTrue="1">
      <formula>$C$7&lt;&gt;""</formula>
    </cfRule>
  </conditionalFormatting>
  <conditionalFormatting sqref="C8">
    <cfRule type="expression" dxfId="694" priority="390" stopIfTrue="1">
      <formula>OR($C$8&lt;&gt;"",$E$36&lt;&gt;"")</formula>
    </cfRule>
  </conditionalFormatting>
  <conditionalFormatting sqref="G3">
    <cfRule type="expression" dxfId="693" priority="389" stopIfTrue="1">
      <formula>OR($G$3&lt;&gt;"",$E$36&lt;&gt;"")</formula>
    </cfRule>
  </conditionalFormatting>
  <conditionalFormatting sqref="I3">
    <cfRule type="expression" dxfId="692" priority="388" stopIfTrue="1">
      <formula>OR($I$3&lt;&gt;"",$E$36&lt;&gt;"")</formula>
    </cfRule>
  </conditionalFormatting>
  <conditionalFormatting sqref="G4">
    <cfRule type="expression" dxfId="691" priority="387" stopIfTrue="1">
      <formula>$G$4&lt;&gt;""</formula>
    </cfRule>
  </conditionalFormatting>
  <conditionalFormatting sqref="I4">
    <cfRule type="expression" dxfId="690" priority="386" stopIfTrue="1">
      <formula>$I$4&lt;&gt;""</formula>
    </cfRule>
  </conditionalFormatting>
  <conditionalFormatting sqref="M3:N3">
    <cfRule type="expression" dxfId="689" priority="385" stopIfTrue="1">
      <formula>$M$3&lt;&gt;""</formula>
    </cfRule>
  </conditionalFormatting>
  <conditionalFormatting sqref="M4:N4">
    <cfRule type="expression" dxfId="688" priority="384" stopIfTrue="1">
      <formula>$M$4&lt;&gt;""</formula>
    </cfRule>
  </conditionalFormatting>
  <conditionalFormatting sqref="J6:J7">
    <cfRule type="expression" dxfId="687" priority="383" stopIfTrue="1">
      <formula>$J$6&lt;&gt;""</formula>
    </cfRule>
  </conditionalFormatting>
  <conditionalFormatting sqref="J8">
    <cfRule type="expression" dxfId="686" priority="382" stopIfTrue="1">
      <formula>$J$8&lt;&gt;""</formula>
    </cfRule>
  </conditionalFormatting>
  <conditionalFormatting sqref="K7:N9">
    <cfRule type="expression" dxfId="685" priority="381" stopIfTrue="1">
      <formula>$K$7&lt;&gt;""</formula>
    </cfRule>
  </conditionalFormatting>
  <conditionalFormatting sqref="E36:F36">
    <cfRule type="expression" dxfId="684" priority="380" stopIfTrue="1">
      <formula>$E$36&lt;&gt;""</formula>
    </cfRule>
  </conditionalFormatting>
  <conditionalFormatting sqref="C13">
    <cfRule type="expression" dxfId="683" priority="379" stopIfTrue="1">
      <formula>$C13&lt;&gt;""</formula>
    </cfRule>
  </conditionalFormatting>
  <conditionalFormatting sqref="D13">
    <cfRule type="expression" dxfId="682" priority="378" stopIfTrue="1">
      <formula>$D13&lt;&gt;""</formula>
    </cfRule>
  </conditionalFormatting>
  <conditionalFormatting sqref="E13">
    <cfRule type="expression" dxfId="681" priority="377" stopIfTrue="1">
      <formula>$E13&lt;&gt;""</formula>
    </cfRule>
  </conditionalFormatting>
  <conditionalFormatting sqref="F13">
    <cfRule type="expression" dxfId="680" priority="376" stopIfTrue="1">
      <formula>$F13&lt;&gt;""</formula>
    </cfRule>
  </conditionalFormatting>
  <conditionalFormatting sqref="G13:H13">
    <cfRule type="expression" dxfId="679" priority="65" stopIfTrue="1">
      <formula>G13&lt;&gt;""</formula>
    </cfRule>
    <cfRule type="expression" dxfId="678" priority="375" stopIfTrue="1">
      <formula>$G13&lt;&gt;""</formula>
    </cfRule>
  </conditionalFormatting>
  <conditionalFormatting sqref="I13">
    <cfRule type="expression" dxfId="677" priority="64" stopIfTrue="1">
      <formula>I13&lt;&gt;""</formula>
    </cfRule>
  </conditionalFormatting>
  <conditionalFormatting sqref="C14">
    <cfRule type="expression" dxfId="676" priority="226" stopIfTrue="1">
      <formula>$C14&lt;&gt;""</formula>
    </cfRule>
  </conditionalFormatting>
  <conditionalFormatting sqref="D14">
    <cfRule type="expression" dxfId="675" priority="225" stopIfTrue="1">
      <formula>$D14&lt;&gt;""</formula>
    </cfRule>
  </conditionalFormatting>
  <conditionalFormatting sqref="E14">
    <cfRule type="expression" dxfId="674" priority="224" stopIfTrue="1">
      <formula>$E14&lt;&gt;""</formula>
    </cfRule>
  </conditionalFormatting>
  <conditionalFormatting sqref="F14">
    <cfRule type="expression" dxfId="673" priority="223" stopIfTrue="1">
      <formula>$F14&lt;&gt;""</formula>
    </cfRule>
  </conditionalFormatting>
  <conditionalFormatting sqref="C15">
    <cfRule type="expression" dxfId="672" priority="222" stopIfTrue="1">
      <formula>$C15&lt;&gt;""</formula>
    </cfRule>
  </conditionalFormatting>
  <conditionalFormatting sqref="D15">
    <cfRule type="expression" dxfId="671" priority="221" stopIfTrue="1">
      <formula>$D15&lt;&gt;""</formula>
    </cfRule>
  </conditionalFormatting>
  <conditionalFormatting sqref="E15">
    <cfRule type="expression" dxfId="670" priority="220" stopIfTrue="1">
      <formula>$E15&lt;&gt;""</formula>
    </cfRule>
  </conditionalFormatting>
  <conditionalFormatting sqref="F15">
    <cfRule type="expression" dxfId="669" priority="219" stopIfTrue="1">
      <formula>$F15&lt;&gt;""</formula>
    </cfRule>
  </conditionalFormatting>
  <conditionalFormatting sqref="C16">
    <cfRule type="expression" dxfId="668" priority="218" stopIfTrue="1">
      <formula>$C16&lt;&gt;""</formula>
    </cfRule>
  </conditionalFormatting>
  <conditionalFormatting sqref="D16">
    <cfRule type="expression" dxfId="667" priority="217" stopIfTrue="1">
      <formula>$D16&lt;&gt;""</formula>
    </cfRule>
  </conditionalFormatting>
  <conditionalFormatting sqref="E16">
    <cfRule type="expression" dxfId="666" priority="216" stopIfTrue="1">
      <formula>$E16&lt;&gt;""</formula>
    </cfRule>
  </conditionalFormatting>
  <conditionalFormatting sqref="F16">
    <cfRule type="expression" dxfId="665" priority="215" stopIfTrue="1">
      <formula>$F16&lt;&gt;""</formula>
    </cfRule>
  </conditionalFormatting>
  <conditionalFormatting sqref="C17">
    <cfRule type="expression" dxfId="664" priority="214" stopIfTrue="1">
      <formula>$C17&lt;&gt;""</formula>
    </cfRule>
  </conditionalFormatting>
  <conditionalFormatting sqref="D17">
    <cfRule type="expression" dxfId="663" priority="213" stopIfTrue="1">
      <formula>$D17&lt;&gt;""</formula>
    </cfRule>
  </conditionalFormatting>
  <conditionalFormatting sqref="E17">
    <cfRule type="expression" dxfId="662" priority="212" stopIfTrue="1">
      <formula>$E17&lt;&gt;""</formula>
    </cfRule>
  </conditionalFormatting>
  <conditionalFormatting sqref="F17">
    <cfRule type="expression" dxfId="661" priority="211" stopIfTrue="1">
      <formula>$F17&lt;&gt;""</formula>
    </cfRule>
  </conditionalFormatting>
  <conditionalFormatting sqref="C18">
    <cfRule type="expression" dxfId="660" priority="210" stopIfTrue="1">
      <formula>$C18&lt;&gt;""</formula>
    </cfRule>
  </conditionalFormatting>
  <conditionalFormatting sqref="D18">
    <cfRule type="expression" dxfId="659" priority="209" stopIfTrue="1">
      <formula>$D18&lt;&gt;""</formula>
    </cfRule>
  </conditionalFormatting>
  <conditionalFormatting sqref="E18">
    <cfRule type="expression" dxfId="658" priority="208" stopIfTrue="1">
      <formula>$E18&lt;&gt;""</formula>
    </cfRule>
  </conditionalFormatting>
  <conditionalFormatting sqref="F18">
    <cfRule type="expression" dxfId="657" priority="207" stopIfTrue="1">
      <formula>$F18&lt;&gt;""</formula>
    </cfRule>
  </conditionalFormatting>
  <conditionalFormatting sqref="C19">
    <cfRule type="expression" dxfId="656" priority="206" stopIfTrue="1">
      <formula>$C19&lt;&gt;""</formula>
    </cfRule>
  </conditionalFormatting>
  <conditionalFormatting sqref="D19">
    <cfRule type="expression" dxfId="655" priority="205" stopIfTrue="1">
      <formula>$D19&lt;&gt;""</formula>
    </cfRule>
  </conditionalFormatting>
  <conditionalFormatting sqref="E19">
    <cfRule type="expression" dxfId="654" priority="204" stopIfTrue="1">
      <formula>$E19&lt;&gt;""</formula>
    </cfRule>
  </conditionalFormatting>
  <conditionalFormatting sqref="F19">
    <cfRule type="expression" dxfId="653" priority="203" stopIfTrue="1">
      <formula>$F19&lt;&gt;""</formula>
    </cfRule>
  </conditionalFormatting>
  <conditionalFormatting sqref="C20">
    <cfRule type="expression" dxfId="652" priority="202" stopIfTrue="1">
      <formula>$C20&lt;&gt;""</formula>
    </cfRule>
  </conditionalFormatting>
  <conditionalFormatting sqref="D20">
    <cfRule type="expression" dxfId="651" priority="201" stopIfTrue="1">
      <formula>$D20&lt;&gt;""</formula>
    </cfRule>
  </conditionalFormatting>
  <conditionalFormatting sqref="E20">
    <cfRule type="expression" dxfId="650" priority="200" stopIfTrue="1">
      <formula>$E20&lt;&gt;""</formula>
    </cfRule>
  </conditionalFormatting>
  <conditionalFormatting sqref="F20">
    <cfRule type="expression" dxfId="649" priority="199" stopIfTrue="1">
      <formula>$F20&lt;&gt;""</formula>
    </cfRule>
  </conditionalFormatting>
  <conditionalFormatting sqref="C21">
    <cfRule type="expression" dxfId="648" priority="198" stopIfTrue="1">
      <formula>$C21&lt;&gt;""</formula>
    </cfRule>
  </conditionalFormatting>
  <conditionalFormatting sqref="D21">
    <cfRule type="expression" dxfId="647" priority="197" stopIfTrue="1">
      <formula>$D21&lt;&gt;""</formula>
    </cfRule>
  </conditionalFormatting>
  <conditionalFormatting sqref="E21">
    <cfRule type="expression" dxfId="646" priority="196" stopIfTrue="1">
      <formula>$E21&lt;&gt;""</formula>
    </cfRule>
  </conditionalFormatting>
  <conditionalFormatting sqref="F21">
    <cfRule type="expression" dxfId="645" priority="195" stopIfTrue="1">
      <formula>$F21&lt;&gt;""</formula>
    </cfRule>
  </conditionalFormatting>
  <conditionalFormatting sqref="C22">
    <cfRule type="expression" dxfId="644" priority="194" stopIfTrue="1">
      <formula>$C22&lt;&gt;""</formula>
    </cfRule>
  </conditionalFormatting>
  <conditionalFormatting sqref="D22">
    <cfRule type="expression" dxfId="643" priority="193" stopIfTrue="1">
      <formula>$D22&lt;&gt;""</formula>
    </cfRule>
  </conditionalFormatting>
  <conditionalFormatting sqref="E22">
    <cfRule type="expression" dxfId="642" priority="192" stopIfTrue="1">
      <formula>$E22&lt;&gt;""</formula>
    </cfRule>
  </conditionalFormatting>
  <conditionalFormatting sqref="F22">
    <cfRule type="expression" dxfId="641" priority="191" stopIfTrue="1">
      <formula>$F22&lt;&gt;""</formula>
    </cfRule>
  </conditionalFormatting>
  <conditionalFormatting sqref="C23">
    <cfRule type="expression" dxfId="640" priority="190" stopIfTrue="1">
      <formula>$C23&lt;&gt;""</formula>
    </cfRule>
  </conditionalFormatting>
  <conditionalFormatting sqref="D23">
    <cfRule type="expression" dxfId="639" priority="189" stopIfTrue="1">
      <formula>$D23&lt;&gt;""</formula>
    </cfRule>
  </conditionalFormatting>
  <conditionalFormatting sqref="E23">
    <cfRule type="expression" dxfId="638" priority="188" stopIfTrue="1">
      <formula>$E23&lt;&gt;""</formula>
    </cfRule>
  </conditionalFormatting>
  <conditionalFormatting sqref="F23">
    <cfRule type="expression" dxfId="637" priority="187" stopIfTrue="1">
      <formula>$F23&lt;&gt;""</formula>
    </cfRule>
  </conditionalFormatting>
  <conditionalFormatting sqref="C24">
    <cfRule type="expression" dxfId="636" priority="186" stopIfTrue="1">
      <formula>$C24&lt;&gt;""</formula>
    </cfRule>
  </conditionalFormatting>
  <conditionalFormatting sqref="D24">
    <cfRule type="expression" dxfId="635" priority="185" stopIfTrue="1">
      <formula>$D24&lt;&gt;""</formula>
    </cfRule>
  </conditionalFormatting>
  <conditionalFormatting sqref="E24">
    <cfRule type="expression" dxfId="634" priority="184" stopIfTrue="1">
      <formula>$E24&lt;&gt;""</formula>
    </cfRule>
  </conditionalFormatting>
  <conditionalFormatting sqref="F24">
    <cfRule type="expression" dxfId="633" priority="183" stopIfTrue="1">
      <formula>$F24&lt;&gt;""</formula>
    </cfRule>
  </conditionalFormatting>
  <conditionalFormatting sqref="C25">
    <cfRule type="expression" dxfId="632" priority="182" stopIfTrue="1">
      <formula>$C25&lt;&gt;""</formula>
    </cfRule>
  </conditionalFormatting>
  <conditionalFormatting sqref="D25">
    <cfRule type="expression" dxfId="631" priority="181" stopIfTrue="1">
      <formula>$D25&lt;&gt;""</formula>
    </cfRule>
  </conditionalFormatting>
  <conditionalFormatting sqref="E25">
    <cfRule type="expression" dxfId="630" priority="180" stopIfTrue="1">
      <formula>$E25&lt;&gt;""</formula>
    </cfRule>
  </conditionalFormatting>
  <conditionalFormatting sqref="F25">
    <cfRule type="expression" dxfId="629" priority="179" stopIfTrue="1">
      <formula>$F25&lt;&gt;""</formula>
    </cfRule>
  </conditionalFormatting>
  <conditionalFormatting sqref="C26">
    <cfRule type="expression" dxfId="628" priority="178" stopIfTrue="1">
      <formula>$C26&lt;&gt;""</formula>
    </cfRule>
  </conditionalFormatting>
  <conditionalFormatting sqref="D26">
    <cfRule type="expression" dxfId="627" priority="177" stopIfTrue="1">
      <formula>$D26&lt;&gt;""</formula>
    </cfRule>
  </conditionalFormatting>
  <conditionalFormatting sqref="E26">
    <cfRule type="expression" dxfId="626" priority="176" stopIfTrue="1">
      <formula>$E26&lt;&gt;""</formula>
    </cfRule>
  </conditionalFormatting>
  <conditionalFormatting sqref="F26">
    <cfRule type="expression" dxfId="625" priority="175" stopIfTrue="1">
      <formula>$F26&lt;&gt;""</formula>
    </cfRule>
  </conditionalFormatting>
  <conditionalFormatting sqref="C27">
    <cfRule type="expression" dxfId="624" priority="174" stopIfTrue="1">
      <formula>$C27&lt;&gt;""</formula>
    </cfRule>
  </conditionalFormatting>
  <conditionalFormatting sqref="D27">
    <cfRule type="expression" dxfId="623" priority="173" stopIfTrue="1">
      <formula>$D27&lt;&gt;""</formula>
    </cfRule>
  </conditionalFormatting>
  <conditionalFormatting sqref="E27">
    <cfRule type="expression" dxfId="622" priority="172" stopIfTrue="1">
      <formula>$E27&lt;&gt;""</formula>
    </cfRule>
  </conditionalFormatting>
  <conditionalFormatting sqref="F27">
    <cfRule type="expression" dxfId="621" priority="171" stopIfTrue="1">
      <formula>$F27&lt;&gt;""</formula>
    </cfRule>
  </conditionalFormatting>
  <conditionalFormatting sqref="C28">
    <cfRule type="expression" dxfId="620" priority="170" stopIfTrue="1">
      <formula>$C28&lt;&gt;""</formula>
    </cfRule>
  </conditionalFormatting>
  <conditionalFormatting sqref="D28">
    <cfRule type="expression" dxfId="619" priority="169" stopIfTrue="1">
      <formula>$D28&lt;&gt;""</formula>
    </cfRule>
  </conditionalFormatting>
  <conditionalFormatting sqref="E28">
    <cfRule type="expression" dxfId="618" priority="168" stopIfTrue="1">
      <formula>$E28&lt;&gt;""</formula>
    </cfRule>
  </conditionalFormatting>
  <conditionalFormatting sqref="F28">
    <cfRule type="expression" dxfId="617" priority="167" stopIfTrue="1">
      <formula>$F28&lt;&gt;""</formula>
    </cfRule>
  </conditionalFormatting>
  <conditionalFormatting sqref="C29">
    <cfRule type="expression" dxfId="616" priority="166" stopIfTrue="1">
      <formula>$C29&lt;&gt;""</formula>
    </cfRule>
  </conditionalFormatting>
  <conditionalFormatting sqref="D29">
    <cfRule type="expression" dxfId="615" priority="165" stopIfTrue="1">
      <formula>$D29&lt;&gt;""</formula>
    </cfRule>
  </conditionalFormatting>
  <conditionalFormatting sqref="E29">
    <cfRule type="expression" dxfId="614" priority="164" stopIfTrue="1">
      <formula>$E29&lt;&gt;""</formula>
    </cfRule>
  </conditionalFormatting>
  <conditionalFormatting sqref="F29">
    <cfRule type="expression" dxfId="613" priority="163" stopIfTrue="1">
      <formula>$F29&lt;&gt;""</formula>
    </cfRule>
  </conditionalFormatting>
  <conditionalFormatting sqref="C30">
    <cfRule type="expression" dxfId="612" priority="162" stopIfTrue="1">
      <formula>$C30&lt;&gt;""</formula>
    </cfRule>
  </conditionalFormatting>
  <conditionalFormatting sqref="D30">
    <cfRule type="expression" dxfId="611" priority="161" stopIfTrue="1">
      <formula>$D30&lt;&gt;""</formula>
    </cfRule>
  </conditionalFormatting>
  <conditionalFormatting sqref="E30">
    <cfRule type="expression" dxfId="610" priority="160" stopIfTrue="1">
      <formula>$E30&lt;&gt;""</formula>
    </cfRule>
  </conditionalFormatting>
  <conditionalFormatting sqref="F30">
    <cfRule type="expression" dxfId="609" priority="159" stopIfTrue="1">
      <formula>$F30&lt;&gt;""</formula>
    </cfRule>
  </conditionalFormatting>
  <conditionalFormatting sqref="C31">
    <cfRule type="expression" dxfId="608" priority="158" stopIfTrue="1">
      <formula>$C31&lt;&gt;""</formula>
    </cfRule>
  </conditionalFormatting>
  <conditionalFormatting sqref="D31">
    <cfRule type="expression" dxfId="607" priority="157" stopIfTrue="1">
      <formula>$D31&lt;&gt;""</formula>
    </cfRule>
  </conditionalFormatting>
  <conditionalFormatting sqref="E31">
    <cfRule type="expression" dxfId="606" priority="156" stopIfTrue="1">
      <formula>$E31&lt;&gt;""</formula>
    </cfRule>
  </conditionalFormatting>
  <conditionalFormatting sqref="F31">
    <cfRule type="expression" dxfId="605" priority="155" stopIfTrue="1">
      <formula>$F31&lt;&gt;""</formula>
    </cfRule>
  </conditionalFormatting>
  <conditionalFormatting sqref="C32">
    <cfRule type="expression" dxfId="604" priority="154" stopIfTrue="1">
      <formula>$C32&lt;&gt;""</formula>
    </cfRule>
  </conditionalFormatting>
  <conditionalFormatting sqref="D32">
    <cfRule type="expression" dxfId="603" priority="153" stopIfTrue="1">
      <formula>$D32&lt;&gt;""</formula>
    </cfRule>
  </conditionalFormatting>
  <conditionalFormatting sqref="E32">
    <cfRule type="expression" dxfId="602" priority="152" stopIfTrue="1">
      <formula>$E32&lt;&gt;""</formula>
    </cfRule>
  </conditionalFormatting>
  <conditionalFormatting sqref="F32">
    <cfRule type="expression" dxfId="601" priority="151" stopIfTrue="1">
      <formula>$F32&lt;&gt;""</formula>
    </cfRule>
  </conditionalFormatting>
  <conditionalFormatting sqref="C33">
    <cfRule type="expression" dxfId="600" priority="150" stopIfTrue="1">
      <formula>$C33&lt;&gt;""</formula>
    </cfRule>
  </conditionalFormatting>
  <conditionalFormatting sqref="D33">
    <cfRule type="expression" dxfId="599" priority="149" stopIfTrue="1">
      <formula>$D33&lt;&gt;""</formula>
    </cfRule>
  </conditionalFormatting>
  <conditionalFormatting sqref="E33">
    <cfRule type="expression" dxfId="598" priority="148" stopIfTrue="1">
      <formula>$E33&lt;&gt;""</formula>
    </cfRule>
  </conditionalFormatting>
  <conditionalFormatting sqref="F33">
    <cfRule type="expression" dxfId="597" priority="147" stopIfTrue="1">
      <formula>$F33&lt;&gt;""</formula>
    </cfRule>
  </conditionalFormatting>
  <conditionalFormatting sqref="C42">
    <cfRule type="expression" dxfId="596" priority="83" stopIfTrue="1">
      <formula>OR(C$42&lt;&gt;"",COUNTIF($C42:$N42,"")=14,AND(C$43=0,C$43&lt;&gt;""))</formula>
    </cfRule>
  </conditionalFormatting>
  <conditionalFormatting sqref="D42">
    <cfRule type="expression" dxfId="595" priority="82" stopIfTrue="1">
      <formula>OR(D$42&lt;&gt;"",COUNTIF($C42:$N42,"")=14,AND(D$43=0,D$43&lt;&gt;""))</formula>
    </cfRule>
  </conditionalFormatting>
  <conditionalFormatting sqref="E42">
    <cfRule type="expression" dxfId="594" priority="81" stopIfTrue="1">
      <formula>OR(E$42&lt;&gt;"",COUNTIF($C42:$N42,"")=14,AND(E$43=0,E$43&lt;&gt;""))</formula>
    </cfRule>
  </conditionalFormatting>
  <conditionalFormatting sqref="F42">
    <cfRule type="expression" dxfId="593" priority="80" stopIfTrue="1">
      <formula>OR(F$42&lt;&gt;"",COUNTIF($C42:$N42,"")=14,AND(F$43=0,F$43&lt;&gt;""))</formula>
    </cfRule>
  </conditionalFormatting>
  <conditionalFormatting sqref="G42:H42">
    <cfRule type="expression" dxfId="592" priority="79" stopIfTrue="1">
      <formula>OR(G$42&lt;&gt;"",COUNTIF($C42:$N42,"")=14,AND(G$43=0,G$43&lt;&gt;""))</formula>
    </cfRule>
  </conditionalFormatting>
  <conditionalFormatting sqref="I42">
    <cfRule type="expression" dxfId="591" priority="78" stopIfTrue="1">
      <formula>OR(I$42&lt;&gt;"",COUNTIF($C42:$N42,"")=14,AND(I$43=0,I$43&lt;&gt;""))</formula>
    </cfRule>
  </conditionalFormatting>
  <conditionalFormatting sqref="J42:K42">
    <cfRule type="expression" dxfId="590" priority="77" stopIfTrue="1">
      <formula>OR(J$42&lt;&gt;"",COUNTIF($C42:$N42,"")=14,AND(J$43=0,J$43&lt;&gt;""))</formula>
    </cfRule>
  </conditionalFormatting>
  <conditionalFormatting sqref="L42:M42">
    <cfRule type="expression" dxfId="589" priority="76" stopIfTrue="1">
      <formula>OR(L$42&lt;&gt;"",COUNTIF($C42:$N42,"")=14,AND(L$43=0,L$43&lt;&gt;""))</formula>
    </cfRule>
  </conditionalFormatting>
  <conditionalFormatting sqref="N42">
    <cfRule type="expression" dxfId="588" priority="75" stopIfTrue="1">
      <formula>OR(N$42&lt;&gt;"",COUNTIF($C42:$N42,"")=14,AND(N$43=0,N$43&lt;&gt;""))</formula>
    </cfRule>
  </conditionalFormatting>
  <conditionalFormatting sqref="C43:C44">
    <cfRule type="expression" dxfId="587" priority="74" stopIfTrue="1">
      <formula>C43&lt;&gt;""</formula>
    </cfRule>
  </conditionalFormatting>
  <conditionalFormatting sqref="D43:D44">
    <cfRule type="expression" dxfId="586" priority="73" stopIfTrue="1">
      <formula>D43&lt;&gt;""</formula>
    </cfRule>
  </conditionalFormatting>
  <conditionalFormatting sqref="E43:E44">
    <cfRule type="expression" dxfId="585" priority="72" stopIfTrue="1">
      <formula>E43&lt;&gt;""</formula>
    </cfRule>
  </conditionalFormatting>
  <conditionalFormatting sqref="F43:F44">
    <cfRule type="expression" dxfId="584" priority="71" stopIfTrue="1">
      <formula>F43&lt;&gt;""</formula>
    </cfRule>
  </conditionalFormatting>
  <conditionalFormatting sqref="G43:H44">
    <cfRule type="expression" dxfId="583" priority="70" stopIfTrue="1">
      <formula>G43&lt;&gt;""</formula>
    </cfRule>
  </conditionalFormatting>
  <conditionalFormatting sqref="I43:I44">
    <cfRule type="expression" dxfId="582" priority="69" stopIfTrue="1">
      <formula>I43&lt;&gt;""</formula>
    </cfRule>
  </conditionalFormatting>
  <conditionalFormatting sqref="J43:K44">
    <cfRule type="expression" dxfId="581" priority="68" stopIfTrue="1">
      <formula>J43&lt;&gt;""</formula>
    </cfRule>
  </conditionalFormatting>
  <conditionalFormatting sqref="L43:M44">
    <cfRule type="expression" dxfId="580" priority="67" stopIfTrue="1">
      <formula>L43&lt;&gt;""</formula>
    </cfRule>
  </conditionalFormatting>
  <conditionalFormatting sqref="N43:N44">
    <cfRule type="expression" dxfId="579" priority="66" stopIfTrue="1">
      <formula>N43&lt;&gt;""</formula>
    </cfRule>
  </conditionalFormatting>
  <conditionalFormatting sqref="J13">
    <cfRule type="expression" dxfId="578" priority="62" stopIfTrue="1">
      <formula>J13&lt;&gt;""</formula>
    </cfRule>
  </conditionalFormatting>
  <conditionalFormatting sqref="G14:H14">
    <cfRule type="expression" dxfId="577" priority="60" stopIfTrue="1">
      <formula>G14&lt;&gt;""</formula>
    </cfRule>
  </conditionalFormatting>
  <conditionalFormatting sqref="G15:H15">
    <cfRule type="expression" dxfId="576" priority="59" stopIfTrue="1">
      <formula>G15&lt;&gt;""</formula>
    </cfRule>
  </conditionalFormatting>
  <conditionalFormatting sqref="G16:H16">
    <cfRule type="expression" dxfId="575" priority="58" stopIfTrue="1">
      <formula>G16&lt;&gt;""</formula>
    </cfRule>
  </conditionalFormatting>
  <conditionalFormatting sqref="G17:H17">
    <cfRule type="expression" dxfId="574" priority="57" stopIfTrue="1">
      <formula>G17&lt;&gt;""</formula>
    </cfRule>
  </conditionalFormatting>
  <conditionalFormatting sqref="G18:H18">
    <cfRule type="expression" dxfId="573" priority="56" stopIfTrue="1">
      <formula>G18&lt;&gt;""</formula>
    </cfRule>
  </conditionalFormatting>
  <conditionalFormatting sqref="G19:H19">
    <cfRule type="expression" dxfId="572" priority="55" stopIfTrue="1">
      <formula>G19&lt;&gt;""</formula>
    </cfRule>
  </conditionalFormatting>
  <conditionalFormatting sqref="G20:H20">
    <cfRule type="expression" dxfId="571" priority="54" stopIfTrue="1">
      <formula>G20&lt;&gt;""</formula>
    </cfRule>
  </conditionalFormatting>
  <conditionalFormatting sqref="G21:H21">
    <cfRule type="expression" dxfId="570" priority="53" stopIfTrue="1">
      <formula>G21&lt;&gt;""</formula>
    </cfRule>
  </conditionalFormatting>
  <conditionalFormatting sqref="G22:H22">
    <cfRule type="expression" dxfId="569" priority="52" stopIfTrue="1">
      <formula>G22&lt;&gt;""</formula>
    </cfRule>
  </conditionalFormatting>
  <conditionalFormatting sqref="G23:H23">
    <cfRule type="expression" dxfId="568" priority="51" stopIfTrue="1">
      <formula>G23&lt;&gt;""</formula>
    </cfRule>
  </conditionalFormatting>
  <conditionalFormatting sqref="G24:H24">
    <cfRule type="expression" dxfId="567" priority="50" stopIfTrue="1">
      <formula>G24&lt;&gt;""</formula>
    </cfRule>
  </conditionalFormatting>
  <conditionalFormatting sqref="G25:H25">
    <cfRule type="expression" dxfId="566" priority="49" stopIfTrue="1">
      <formula>G25&lt;&gt;""</formula>
    </cfRule>
  </conditionalFormatting>
  <conditionalFormatting sqref="G26:H26">
    <cfRule type="expression" dxfId="565" priority="48" stopIfTrue="1">
      <formula>G26&lt;&gt;""</formula>
    </cfRule>
  </conditionalFormatting>
  <conditionalFormatting sqref="G27:H27">
    <cfRule type="expression" dxfId="564" priority="47" stopIfTrue="1">
      <formula>G27&lt;&gt;""</formula>
    </cfRule>
  </conditionalFormatting>
  <conditionalFormatting sqref="G28:H28">
    <cfRule type="expression" dxfId="563" priority="46" stopIfTrue="1">
      <formula>G28&lt;&gt;""</formula>
    </cfRule>
  </conditionalFormatting>
  <conditionalFormatting sqref="G29:H29">
    <cfRule type="expression" dxfId="562" priority="45" stopIfTrue="1">
      <formula>G29&lt;&gt;""</formula>
    </cfRule>
  </conditionalFormatting>
  <conditionalFormatting sqref="G30:H30">
    <cfRule type="expression" dxfId="561" priority="44" stopIfTrue="1">
      <formula>G30&lt;&gt;""</formula>
    </cfRule>
  </conditionalFormatting>
  <conditionalFormatting sqref="G31:H31">
    <cfRule type="expression" dxfId="560" priority="43" stopIfTrue="1">
      <formula>G31&lt;&gt;""</formula>
    </cfRule>
  </conditionalFormatting>
  <conditionalFormatting sqref="G32:H32">
    <cfRule type="expression" dxfId="559" priority="42" stopIfTrue="1">
      <formula>G32&lt;&gt;""</formula>
    </cfRule>
  </conditionalFormatting>
  <conditionalFormatting sqref="G33:H33">
    <cfRule type="expression" dxfId="558" priority="41" stopIfTrue="1">
      <formula>G33&lt;&gt;""</formula>
    </cfRule>
  </conditionalFormatting>
  <conditionalFormatting sqref="I14">
    <cfRule type="expression" dxfId="557" priority="40" stopIfTrue="1">
      <formula>I14&lt;&gt;""</formula>
    </cfRule>
  </conditionalFormatting>
  <conditionalFormatting sqref="I15">
    <cfRule type="expression" dxfId="556" priority="39" stopIfTrue="1">
      <formula>I15&lt;&gt;""</formula>
    </cfRule>
  </conditionalFormatting>
  <conditionalFormatting sqref="I16">
    <cfRule type="expression" dxfId="555" priority="38" stopIfTrue="1">
      <formula>I16&lt;&gt;""</formula>
    </cfRule>
  </conditionalFormatting>
  <conditionalFormatting sqref="I17">
    <cfRule type="expression" dxfId="554" priority="37" stopIfTrue="1">
      <formula>I17&lt;&gt;""</formula>
    </cfRule>
  </conditionalFormatting>
  <conditionalFormatting sqref="I18">
    <cfRule type="expression" dxfId="553" priority="36" stopIfTrue="1">
      <formula>I18&lt;&gt;""</formula>
    </cfRule>
  </conditionalFormatting>
  <conditionalFormatting sqref="I19">
    <cfRule type="expression" dxfId="552" priority="35" stopIfTrue="1">
      <formula>I19&lt;&gt;""</formula>
    </cfRule>
  </conditionalFormatting>
  <conditionalFormatting sqref="I20">
    <cfRule type="expression" dxfId="551" priority="34" stopIfTrue="1">
      <formula>I20&lt;&gt;""</formula>
    </cfRule>
  </conditionalFormatting>
  <conditionalFormatting sqref="I21">
    <cfRule type="expression" dxfId="550" priority="33" stopIfTrue="1">
      <formula>I21&lt;&gt;""</formula>
    </cfRule>
  </conditionalFormatting>
  <conditionalFormatting sqref="I22">
    <cfRule type="expression" dxfId="549" priority="32" stopIfTrue="1">
      <formula>I22&lt;&gt;""</formula>
    </cfRule>
  </conditionalFormatting>
  <conditionalFormatting sqref="I23">
    <cfRule type="expression" dxfId="548" priority="31" stopIfTrue="1">
      <formula>I23&lt;&gt;""</formula>
    </cfRule>
  </conditionalFormatting>
  <conditionalFormatting sqref="I24">
    <cfRule type="expression" dxfId="547" priority="30" stopIfTrue="1">
      <formula>I24&lt;&gt;""</formula>
    </cfRule>
  </conditionalFormatting>
  <conditionalFormatting sqref="I25">
    <cfRule type="expression" dxfId="546" priority="29" stopIfTrue="1">
      <formula>I25&lt;&gt;""</formula>
    </cfRule>
  </conditionalFormatting>
  <conditionalFormatting sqref="I26">
    <cfRule type="expression" dxfId="545" priority="28" stopIfTrue="1">
      <formula>I26&lt;&gt;""</formula>
    </cfRule>
  </conditionalFormatting>
  <conditionalFormatting sqref="I27">
    <cfRule type="expression" dxfId="544" priority="27" stopIfTrue="1">
      <formula>I27&lt;&gt;""</formula>
    </cfRule>
  </conditionalFormatting>
  <conditionalFormatting sqref="I28">
    <cfRule type="expression" dxfId="543" priority="26" stopIfTrue="1">
      <formula>I28&lt;&gt;""</formula>
    </cfRule>
  </conditionalFormatting>
  <conditionalFormatting sqref="I29">
    <cfRule type="expression" dxfId="542" priority="25" stopIfTrue="1">
      <formula>I29&lt;&gt;""</formula>
    </cfRule>
  </conditionalFormatting>
  <conditionalFormatting sqref="I30">
    <cfRule type="expression" dxfId="541" priority="24" stopIfTrue="1">
      <formula>I30&lt;&gt;""</formula>
    </cfRule>
  </conditionalFormatting>
  <conditionalFormatting sqref="I31">
    <cfRule type="expression" dxfId="540" priority="23" stopIfTrue="1">
      <formula>I31&lt;&gt;""</formula>
    </cfRule>
  </conditionalFormatting>
  <conditionalFormatting sqref="I32">
    <cfRule type="expression" dxfId="539" priority="22" stopIfTrue="1">
      <formula>I32&lt;&gt;""</formula>
    </cfRule>
  </conditionalFormatting>
  <conditionalFormatting sqref="I33">
    <cfRule type="expression" dxfId="538" priority="21" stopIfTrue="1">
      <formula>I33&lt;&gt;""</formula>
    </cfRule>
  </conditionalFormatting>
  <conditionalFormatting sqref="J14">
    <cfRule type="expression" dxfId="537" priority="20" stopIfTrue="1">
      <formula>J14&lt;&gt;""</formula>
    </cfRule>
  </conditionalFormatting>
  <conditionalFormatting sqref="J15">
    <cfRule type="expression" dxfId="536" priority="19" stopIfTrue="1">
      <formula>J15&lt;&gt;""</formula>
    </cfRule>
  </conditionalFormatting>
  <conditionalFormatting sqref="J16">
    <cfRule type="expression" dxfId="535" priority="18" stopIfTrue="1">
      <formula>J16&lt;&gt;""</formula>
    </cfRule>
  </conditionalFormatting>
  <conditionalFormatting sqref="J17">
    <cfRule type="expression" dxfId="534" priority="17" stopIfTrue="1">
      <formula>J17&lt;&gt;""</formula>
    </cfRule>
  </conditionalFormatting>
  <conditionalFormatting sqref="J18">
    <cfRule type="expression" dxfId="533" priority="16" stopIfTrue="1">
      <formula>J18&lt;&gt;""</formula>
    </cfRule>
  </conditionalFormatting>
  <conditionalFormatting sqref="J19">
    <cfRule type="expression" dxfId="532" priority="15" stopIfTrue="1">
      <formula>J19&lt;&gt;""</formula>
    </cfRule>
  </conditionalFormatting>
  <conditionalFormatting sqref="J20">
    <cfRule type="expression" dxfId="531" priority="14" stopIfTrue="1">
      <formula>J20&lt;&gt;""</formula>
    </cfRule>
  </conditionalFormatting>
  <conditionalFormatting sqref="J21">
    <cfRule type="expression" dxfId="530" priority="13" stopIfTrue="1">
      <formula>J21&lt;&gt;""</formula>
    </cfRule>
  </conditionalFormatting>
  <conditionalFormatting sqref="J22">
    <cfRule type="expression" dxfId="529" priority="12" stopIfTrue="1">
      <formula>J22&lt;&gt;""</formula>
    </cfRule>
  </conditionalFormatting>
  <conditionalFormatting sqref="J23">
    <cfRule type="expression" dxfId="528" priority="11" stopIfTrue="1">
      <formula>J23&lt;&gt;""</formula>
    </cfRule>
  </conditionalFormatting>
  <conditionalFormatting sqref="J24">
    <cfRule type="expression" dxfId="527" priority="10" stopIfTrue="1">
      <formula>J24&lt;&gt;""</formula>
    </cfRule>
  </conditionalFormatting>
  <conditionalFormatting sqref="J25">
    <cfRule type="expression" dxfId="526" priority="9" stopIfTrue="1">
      <formula>J25&lt;&gt;""</formula>
    </cfRule>
  </conditionalFormatting>
  <conditionalFormatting sqref="J26">
    <cfRule type="expression" dxfId="525" priority="8" stopIfTrue="1">
      <formula>J26&lt;&gt;""</formula>
    </cfRule>
  </conditionalFormatting>
  <conditionalFormatting sqref="J27">
    <cfRule type="expression" dxfId="524" priority="7" stopIfTrue="1">
      <formula>J27&lt;&gt;""</formula>
    </cfRule>
  </conditionalFormatting>
  <conditionalFormatting sqref="J28">
    <cfRule type="expression" dxfId="523" priority="6" stopIfTrue="1">
      <formula>J28&lt;&gt;""</formula>
    </cfRule>
  </conditionalFormatting>
  <conditionalFormatting sqref="J29">
    <cfRule type="expression" dxfId="522" priority="5" stopIfTrue="1">
      <formula>J29&lt;&gt;""</formula>
    </cfRule>
  </conditionalFormatting>
  <conditionalFormatting sqref="J30">
    <cfRule type="expression" dxfId="521" priority="4" stopIfTrue="1">
      <formula>J30&lt;&gt;""</formula>
    </cfRule>
  </conditionalFormatting>
  <conditionalFormatting sqref="J31">
    <cfRule type="expression" dxfId="520" priority="3" stopIfTrue="1">
      <formula>J31&lt;&gt;""</formula>
    </cfRule>
  </conditionalFormatting>
  <conditionalFormatting sqref="J32">
    <cfRule type="expression" dxfId="519" priority="2" stopIfTrue="1">
      <formula>J32&lt;&gt;""</formula>
    </cfRule>
  </conditionalFormatting>
  <conditionalFormatting sqref="J33">
    <cfRule type="expression" dxfId="518" priority="1" stopIfTrue="1">
      <formula>J33&lt;&gt;""</formula>
    </cfRule>
  </conditionalFormatting>
  <dataValidations count="44">
    <dataValidation type="custom" operator="greaterThan" allowBlank="1" showInputMessage="1" showErrorMessage="1" errorTitle="Otillåten inmatning!" error="Endast siffror &gt;0 &amp; ≤2 får anges i detta fält_x000a__x000a_Maxdjup måste vara större än medeldjup om medeldjup (fält E29) räknats ut" promptTitle="Ange maxdjup inom lokalen" prompt="Ange djup i meter (m)" sqref="E36:F36" xr:uid="{00000000-0002-0000-0100-000000000000}">
      <formula1>IF(E36&lt;&gt;"",AND(ISNUMBER(E36),E36&gt;0,E36&lt;=2,IF(E34&lt;&gt;"",E34&lt;E36,TRUE),IF(ProtokollMaxdjup&lt;&gt;"",IF(lokalMaxdjup=ProtokollMaxdjup,TRUE,FALSE))),TRUE)</formula1>
    </dataValidation>
    <dataValidation type="custom" allowBlank="1" showErrorMessage="1" errorTitle="Otillåten inmatning!" error="Endast förkorningarna L, M, &amp; H får användas_x000a__x000a_L = Låg_x000a_M = Medel_x000a_H = Hög_x000a__x000a_Angivelse måste även överensstämma med det som angivits i blad PROTOKOLL (K29/P29/V29) om detta blad fyllts i" promptTitle="Ange vattennivå/flöde" prompt="vid fisketillfället_x000a__x000a_L = Lågt_x000a__x000a_M = Medel_x000a__x000a_H = Högt" sqref="C7" xr:uid="{00000000-0002-0000-0100-000001000000}">
      <formula1>D7=TRUE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G3" xr:uid="{00000000-0002-0000-0100-000002000000}">
      <formula1>IF(AND(ISNUMBER(G3),LEN(G3)&gt;=6,LEFT(G3,6)*1&gt;613500,LEFT(G3,6)*1&lt;767200,IF(ProtokollVkoordX&lt;&gt;"",IF(ProtokollVkoordX=G3,TRUE,FALSE),TRUE)),IF(I3&lt;&gt;"",LEN(G3)=LEN(I3),TRUE),FALSE)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Y-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3" xr:uid="{00000000-0002-0000-0100-000003000000}">
      <formula1>IF(AND(ISNUMBER(I3),LEN(I3)&gt;=6,LEFT(I3,6)*1&gt;122000,LEFT(I3,6)*1&lt;188200,IF(ProtokollVkoordY&lt;&gt;"",IF(ProtokollVkoordY=I3,TRUE,FALSE),TRUE)),IF(G3&lt;&gt;"",LEN(I3)=LEN(G3),TRUE),FALSE)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G4" xr:uid="{00000000-0002-0000-0100-000004000000}">
      <formula1>IF(AND(ISNUMBER(G4),LEN(G4)&gt;=6,LEFT(G4,6)*1&gt;613500,LEFT(G4,6)*1&lt;767200,IF(ProtokollLkoordX&lt;&gt;"",IF(ProtokollLkoordX=G4,TRUE,FALSE),TRUE)),IF(I4&lt;&gt;"",LEN(G4)=LEN(I4),TRUE),FALSE)</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Y-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4" xr:uid="{00000000-0002-0000-0100-000005000000}">
      <formula1>IF(AND(ISNUMBER(I4),LEN(I4)&gt;=6,LEFT(I4,6)*1&gt;122000,LEFT(I4,6)*1&lt;188200,IF(ProtokollLkoordY&lt;&gt;"",IF(ProtokollLkoordY=I4,TRUE,FALSE),TRUE)),IF(G4&lt;&gt;"",LEN(I4)=LEN(G4),TRUE),FALSE)</formula1>
    </dataValidation>
    <dataValidation type="custom" allowBlank="1" showErrorMessage="1" errorTitle="Otillåten inmatning!" error="Följande villkor måste uppfyllas:_x000a__x000a_* Endast tal &gt;0 och ≤ Vattendragets våta bredd får anges_x000a__x000a_* Fält C33 &amp; detta fält får ej motsäga varandra_x000a__x000a_* Angivet tal måste = med det som angetts i 'PROTOKOLL' om detta blad fyllts i" promptTitle="Ange avfiskad bredd" prompt="Fältet fylls i automatiskt om blad 'PROTOKOLL' fyllts i m.a.p. motsvarande uppgifter._x000a__x000a_Den bredd av vattendraget som elfisket har omfattat. Om endast en del av vattendraget kunnat fiskats, t.ex. p.g.a. högt vattenstånd._x000a__x000a_Anges som i m med en decimal." sqref="G6" xr:uid="{00000000-0002-0000-0100-000006000000}">
      <formula1>D6=TRUE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C42" xr:uid="{00000000-0002-0000-0100-000007000000}">
      <formula1>AND(IF(C43&lt;&gt;"",OR(AND(C42="D1",C43&gt;1),AND(OR(C42="D2",C42="D3"),C43&lt;3,C43&gt;0)),C43&lt;&gt;3),COUNTIF($C42:$N42,C42)&lt;=1,OR(C42="D1",C42="D2",C42="D3"),IF(ProtokollDfinsed&lt;&gt;"",IF(C42=ProtokollDfinsed,TRUE,FALSE)))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G42:H42" xr:uid="{00000000-0002-0000-0100-000008000000}">
      <formula1>AND(IF(G43&lt;&gt;"",OR(AND(G42="D1",G43&gt;1),AND(OR(G42="D2",G42="D3"),G43&lt;3,G43&gt;0)),G43&lt;&gt;3),COUNTIF($C42:$N42,G42)&lt;=1,OR(G42="D1",G42="D2",G42="D3"),IF(ProtokollDsten2&lt;&gt;"",IF(G42=ProtokollDsten2,TRUE,FALSE)))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J42:K42" xr:uid="{00000000-0002-0000-0100-000009000000}">
      <formula1>AND(IF(J43&lt;&gt;"",OR(AND(J42="D1",J43&gt;1),AND(OR(J42="D2",J42="D3"),J43&lt;3,J43&gt;0)),J43&lt;&gt;3),COUNTIF($C42:$N42,J42)&lt;=1,OR(J42="D1",J42="D2",J42="D3"),IF(ProtokollDblock2&lt;&gt;"",IF(J42=ProtokollDblock2,TRUE,FALSE)))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L42:M42" xr:uid="{00000000-0002-0000-0100-00000A000000}">
      <formula1>AND(IF(L43&lt;&gt;"",OR(AND(L42="D1",L43&gt;1),AND(OR(L42="D2",L42="D3"),L43&lt;3,L43&gt;0)),L43&lt;&gt;3),COUNTIF($C42:$N42,L42)&lt;=1,OR(L42="D1",L42="D2",L42="D3"),IF(ProtokollDblock3&lt;&gt;"",IF(L42=ProtokollDblock3,TRUE,FALSE)))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C43:C44" xr:uid="{00000000-0002-0000-0100-00000B000000}">
      <formula1>AND(IF(C42&lt;&gt;"",OR(AND(C42="D1",C43&gt;1),AND(OR(C42="D2",C42="D3"),C43&lt;3,C43&gt;0)),IF(COUNTA($C42:$N42)=3,C43&lt;&gt;3,TRUE)),ISNUMBER(C43),INT(C43)=C43,COUNTIF($C43:$N43,3)&lt;=1,C43&gt;=0,C43&lt;=3,IF(ProtokollFfinsed&lt;&gt;"",IF(C43=ProtokollFfinsed,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G43:H44" xr:uid="{00000000-0002-0000-0100-00000C000000}">
      <formula1>AND(IF(G42&lt;&gt;"",OR(AND(G42="D1",G43&gt;1),AND(OR(G42="D2",G42="D3"),G43&lt;3,G43&gt;0)),IF(COUNTA($C42:$N42)=3,G43&lt;&gt;3,TRUE)),ISNUMBER(G43),INT(G43)=G43,COUNTIF($C43:$N43,3)&lt;=1,G43&gt;=0,G43&lt;=3,IF(ProtokollFsten2&lt;&gt;"",IF(G43=ProtokollFsten2,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J43:K44" xr:uid="{00000000-0002-0000-0100-00000D000000}">
      <formula1>AND(IF(J42&lt;&gt;"",OR(AND(J42="D1",J43&gt;1),AND(OR(J42="D2",J42="D3"),J43&lt;3,J43&gt;0)),IF(COUNTA($C42:$N42)=3,J43&lt;&gt;3,TRUE)),ISNUMBER(J43),INT(J43)=J43,COUNTIF($C43:$N43,3)&lt;=1,J43&gt;=0,J43&lt;=3,IF(ProtokollFblock2&lt;&gt;"",IF(J43=ProtokollFblock2,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L43:M44" xr:uid="{00000000-0002-0000-0100-00000E000000}">
      <formula1>AND(IF(L42&lt;&gt;"",OR(AND(L42="D1",L43&gt;1),AND(OR(L42="D2",L42="D3"),L43&lt;3,L43&gt;0)),IF(COUNTA($C42:$N42)=3,L43&lt;&gt;3,TRUE)),ISNUMBER(L43),INT(L43)=L43,COUNTIF($C43:$N43,3)&lt;=1,L43&gt;=0,L43&lt;=3,IF(ProtokollFblock3&lt;&gt;"",IF(L43=ProtokollFblock3,TRUE,FALSE),TRU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D42" xr:uid="{00000000-0002-0000-0100-00000F000000}">
      <formula1>AND(IF(D43&lt;&gt;"",OR(AND(D42="D1",D43&gt;1),AND(OR(D42="D2",D42="D3"),D43&lt;3,D43&gt;0)),D43&lt;&gt;3),COUNTIF($C42:$N42,D42)&lt;=1,OR(D42="D1",D42="D2",D42="D3"),IF(ProtokollDsand&lt;&gt;"",IF(D42=ProtokollDsand,TRUE,FALSE)))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E42" xr:uid="{00000000-0002-0000-0100-000010000000}">
      <formula1>AND(IF(E43&lt;&gt;"",OR(AND(E42="D1",E43&gt;1),AND(OR(E42="D2",E42="D3"),E43&lt;3,E43&gt;0)),E43&lt;&gt;3),COUNTIF($C42:$N42,E42)&lt;=1,OR(E42="D1",E42="D2",E42="D3"),IF(ProtokollDgrus&lt;&gt;"",IF(E42=ProtokollDgrus,TRUE,FALSE)))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N42" xr:uid="{00000000-0002-0000-0100-000011000000}">
      <formula1>AND(IF(N43&lt;&gt;"",OR(AND(N42="D1",N43&gt;1),AND(OR(N42="D2",N42="D3"),N43&lt;3,N43&gt;0)),N43&lt;&gt;3),COUNTIF($C42:$N42,N42)&lt;=1,OR(N42="D1",N42="D2",N42="D3"),IF(ProtokollDhäll&lt;&gt;"",IF(N42=ProtokollDhäll,TRUE,FALSE)))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I42" xr:uid="{00000000-0002-0000-0100-000012000000}">
      <formula1>AND(IF(I43&lt;&gt;"",OR(AND(I42="D1",I43&gt;1),AND(OR(I42="D2",I42="D3"),I43&lt;3,I43&gt;0)),I43&lt;&gt;3),COUNTIF($C42:$N42,I42)&lt;=1,OR(I42="D1",I42="D2",I42="D3"),IF(ProtokollDblock1&lt;&gt;"",IF(I42=ProtokollDblock1,TRUE,FALSE)))</formula1>
    </dataValidation>
    <dataValidation type="custom" showInputMessage="1" showErrorMessage="1" errorTitle="Otillåten inmatning!" error="Villkor som måste uppfyllas:_x000a__x000a_* Endast D1, D2 el. D3 får anges_x000a__x000a_* D1, D2 &amp; D3 får endast anges en gång vardera för bottensubstrat_x000a__x000a_* Motsvarande angivelse måste exakt överensstämma med blad 'PROTOKOLL', om detta blad fyllts i" promptTitle="Ange dominernade bottensubstrat" prompt="Tabellen fylls i automatiskt om tabellen ovan (Fält G13:J28) fylls i först. Värden kan även ändras/fyllas i  manuellt och behöver inte överensstämma med automatiska beräkningen._x000a__x000a_Ange enligt följande:_x000a__x000a_D1 = Mest dominerande_x000a_D2 = Näst dom..._x000a_D3 = Tredje..." sqref="F42" xr:uid="{00000000-0002-0000-0100-000013000000}">
      <formula1>AND(IF(F43&lt;&gt;"",OR(AND(F42="D1",F43&gt;1),AND(OR(F42="D2",F42="D3"),F43&lt;3,F43&gt;0)),F43&lt;&gt;3),COUNTIF($C42:$N42,F42)&lt;=1,OR(F42="D1",F42="D2",F42="D3"),IF(ProtokollDsten1&lt;&gt;"",IF(F42=ProtokollDsten1,TRUE,FALSE)))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N43:N44" xr:uid="{00000000-0002-0000-0100-000014000000}">
      <formula1>AND(IF(N42&lt;&gt;"",OR(AND(N42="D1",N43&gt;1),AND(OR(N42="D2",N42="D3"),N43&lt;3,N43&gt;0)),IF(COUNTA($C42:$N42)=3,N43&lt;&gt;3,TRUE)),ISNUMBER(N43),INT(N43)=N43,COUNTIF($C43:$N43,3)&lt;=1,N43&gt;=0,N43&lt;=3,IF(ProtokollFhäll&lt;&gt;"",IF(N43=ProtokollFhäll,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I43:I44" xr:uid="{00000000-0002-0000-0100-000015000000}">
      <formula1>AND(IF(I42&lt;&gt;"",OR(AND(I42="D1",I43&gt;1),AND(OR(I42="D2",I42="D3"),I43&lt;3,I43&gt;0)),IF(COUNTA($C42:$N42)=3,I43&lt;&gt;3,TRUE)),ISNUMBER(I43),INT(I43)=I43,COUNTIF($C43:$N43,3)&lt;=1,I43&gt;=0,I43&lt;=3,IF(ProtokollFblock1&lt;&gt;"",IF(I43=ProtokollFblock1,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F43:F44" xr:uid="{00000000-0002-0000-0100-000016000000}">
      <formula1>AND(IF(F42&lt;&gt;"",OR(AND(F42="D1",F43&gt;1),AND(OR(F42="D2",F42="D3"),F43&lt;3,F43&gt;0)),IF(COUNTA($C42:$N42)=3,F43&lt;&gt;3,TRUE)),ISNUMBER(F43),INT(F43)=F43,COUNTIF($C43:$N43,3)&lt;=1,F43&gt;=0,F43&lt;=3,IF(ProtokollFsten1&lt;&gt;"",IF(F43=ProtokollFsten1,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E43:E44" xr:uid="{00000000-0002-0000-0100-000017000000}">
      <formula1>AND(IF(E42&lt;&gt;"",OR(AND(E42="D1",E43&gt;1),AND(OR(E42="D2",E42="D3"),E43&lt;3,E43&gt;0)),IF(COUNTA($C42:$N42)=3,E43&lt;&gt;3,TRUE)),ISNUMBER(E43),INT(E43)=E43,COUNTIF($C43:$N43,3)&lt;=1,E43&gt;=0,E43&lt;=3,IF(ProtokollFgrus&lt;&gt;"",IF(E43=ProtokollFgrus,TRUE,FALSE),TRUE))</formula1>
    </dataValidation>
    <dataValidation type="custom" showInputMessage="1" showErrorMessage="1" errorTitle="Otillåten inmatning!" error="Villkor som måste uppfyllas:_x000a__x000a_* Endast talen 0, 1, 2 och 3 får anges_x000a__x000a_* värdet 3 (&gt;50%) får bara anges för max 1 bottensubstrat_x000a__x000a_* Angivelse måste exakt överensstämma med motsvarande i blad 'PROTOKOLL', om detta blad fyllts i" promptTitle="Ange förekomst av bottensubstrat" prompt="Samtliga  bottensubstrat klassas 0 - 3, där:_x000a__x000a_0 = saknas_x000a__x000a_1 = &lt;5% yttäckning_x000a__x000a_2 = 5-50% yttäckning_x000a__x000a_3 = &gt;50% yttäckning" sqref="D43:D44" xr:uid="{00000000-0002-0000-0100-000018000000}">
      <formula1>AND(IF(D42&lt;&gt;"",OR(AND(D42="D1",D43&gt;1),AND(OR(D42="D2",D42="D3"),D43&lt;3,D43&gt;0)),IF(COUNTA($C42:$N42)=3,D43&lt;&gt;3,TRUE)),ISNUMBER(D43),INT(D43)=D43,COUNTIF($C43:$N43,3)&lt;=1,D43&gt;=0,D43&lt;=3,IF(ProtokollFsand&lt;&gt;"",IF(D43=ProtokollFsand,TRUE,FALSE),TRUE))</formula1>
    </dataValidation>
    <dataValidation type="custom" allowBlank="1" showErrorMessage="1" errorTitle="Otillåten inmatning!" error="Två mäjliga fel:_x000a__x000a_* Fältet får högst innehålla 20 tecken, inklusive mellanslag. _x000a__x000a_eller_x000a__x000a_* Vattendrag annorlunda stavat i blad 'PROTOKOLL'. Stavning måste vara exakt lika om även fältet  i blad 'PROTOKOLL' fylls i" promptTitle="Vattendragsnamn" prompt="Fältet fylls i automatiskt om 'Vattendragsnamn' fylls i bladet 'PROTOKOLL'_x000a__x000a_Omfältet fylls i manuellt både i detta blad och i 'PROTOKOLL': kom ihåg att stavningen måste vara exakt lika!_x000a__x000a_Använd max 20 tecken inklusive mellanslag_x000a_" sqref="C3:D3" xr:uid="{00000000-0002-0000-0100-000019000000}">
      <formula1>OR(AND(LEN(C3)&lt;=20,ProtokollVdrnamn=C3),AND(LEN(C3)&lt;=20,ProtokollVdrnamn=""))</formula1>
    </dataValidation>
    <dataValidation type="custom" showErrorMessage="1" errorTitle="Otillåten inmatning!" error="se instruktion i fältet till vänster (A4). För muspekaren över fältet för att se instruktion._x000a_" promptTitle="Ange Lokalnamn + ev. lokalNR." prompt="Fältet fylls i automatiskt om 'Lokalnamn' fyllts i bladet 'PROTOKOLL'_x000a__x000a_Lokalnamnet får max innehålla 20 tecken (inkl mellanslag) + max 5 tecken för ev lokalnr._x000a__x000a_Om lokalnr anges:_x000a_ Ange detta efter lokalnamnet med ett snedsteck (/) mellan lokalnamn &amp; -nr." sqref="C4:D4" xr:uid="{00000000-0002-0000-0100-00001A000000}">
      <formula1>IF(AND(PrLokNa&lt;&gt;"",PrLokNr&lt;&gt;""),PrLokNa&amp;"/"&amp;PrLokNr=C4,IF(OR(PrLokNa&lt;&gt;"",PrLokNr&lt;&gt;""),OR(PrLokNa=C4,PrLokNr=C4),IF(LEN(C4)&gt;20,AND(LEN(C4)&gt;21,LEN(C4)&lt;=26,ISNUMBER(FIND("/",C4,LEN(C4)-6))),TRUE)))</formula1>
    </dataValidation>
    <dataValidation type="custom" allowBlank="1" showInputMessage="1" showErrorMessage="1" errorTitle="Otillåtet värde! 2 möjliga fel:" error="* Bokstäver eller värde som ej är heltal eller &lt;0 har angivits._x000a__x000a_eller_x000a__x000a_*  Avfiskad yta är annorlunda angivet i blad 'PROTOKOLL'. Yta måste vara exakt lika om även fältet  i blad 'PROTOKOLL' fylls i" promptTitle="Fältet räknas ut automatiskt" prompt="när lokalens längd och -bredd (&amp; andel torra partier) matats in._x000a__x000a_Om uppgifter för lokalbredd och/eller -längd saknas eller om lokalens yta inte överensstämmer med en multiplicering av längd &amp; bredd, kan 'Avfiskad yta' anges i detta fält._x000a__x000a_Ange hela m2" sqref="J6:J7" xr:uid="{00000000-0002-0000-0100-00001B000000}">
      <formula1>IF(ProtokollAvfiskyta&lt;&gt;"",IF(J6=ProtokollAvfiskyta,TRUE,AND(ISNUMBER(J6),J6=INT(J6),J6&gt;0)))</formula1>
    </dataValidation>
    <dataValidation type="decimal" operator="greaterThan" allowBlank="1" showInputMessage="1" showErrorMessage="1" errorTitle="Ogiltig inmatning!" error="Endast tal &gt;0 går att mata in i detta fält_x000a_Decimaltal går bra att ange" promptTitle="Ange vattenfårans våta bredd" prompt="i meter_x000a__x000a_(decimaltal går bra att ange)" sqref="C13:C33" xr:uid="{00000000-0002-0000-0100-00001C000000}">
      <formula1>0</formula1>
    </dataValidation>
    <dataValidation type="whole" allowBlank="1" showInputMessage="1" showErrorMessage="1" errorTitle="Otillåten inmatning!" error="Endast siffror får anges i detta fält_x000a__x000a_Ange djup i hela cm (inga decimaltal tillåts)" promptTitle="Ange vattendjup i cm" prompt=" " sqref="D13:F33" xr:uid="{00000000-0002-0000-0100-00001D000000}">
      <formula1>0</formula1>
      <formula2>150</formula2>
    </dataValidation>
    <dataValidation type="custom" showErrorMessage="1" errorTitle="Otillåten inmatning!" error="Följande villkor måste uppfyllas:_x000a__x000a_* Endast siffror &gt;0 får anges_x000a__x000a_* Angivet tal måste överensstämma med det som angetts i blad 'PROTOKOLL' om detta blad fyllts i" promptTitle="Ange lokalens längd i meter" prompt=" " sqref="C6" xr:uid="{00000000-0002-0000-0100-00001E000000}">
      <formula1>IF(C6&lt;&gt;"",AND(ISNUMBER(C6),C6&gt;0,IF(AND(ProtokollLängd&lt;&gt;"",C6=ProtokollLängd),TRUE,FALSE)),TRUE)</formula1>
    </dataValidation>
    <dataValidation type="custom" allowBlank="1" showInputMessage="1" showErrorMessage="1" errorTitle="Otillåten inmatning!" error="Endast tal får anges i detta fält " sqref="C8" xr:uid="{00000000-0002-0000-0100-00001F000000}">
      <formula1>ISNUMBER(C8)</formula1>
    </dataValidation>
    <dataValidation type="custom" allowBlank="1" showErrorMessage="1" errorTitle="Otillåten inmatning!" error="Följande villkor måste uppfyllas:_x000a__x000a_* Endast heltal ≥0 får anges_x000a__x000a_* Angivet tal måste överensstämma med det som angetts i blad 'PROTOKOLL' om detta blad fyllts i_x000a_" promptTitle="Ange lokalens andel torra ytor" prompt="Anges endast om andelen torra partier (stenar, block, öar, etc) är lika med eller överstiger 5 %. Denna yta kommer då att frånräknas lokalens yta._x000a__x000a_Ange procentandel som heltal (0-100)" sqref="J8" xr:uid="{00000000-0002-0000-0100-000020000000}">
      <formula1>IF(J8&lt;&gt;"",AND(ISNUMBER(J8),J8&gt;=0,J8&lt;100,J8=INT(J8),IF(ProtokollTorryta&lt;&gt;"",J8=ProtokollTorryta,TRUE)),TRUE)</formula1>
    </dataValidation>
    <dataValidation type="custom" allowBlank="1" showErrorMessage="1" errorTitle="Otillåten inmatning!" error="Ange datum på formen:_x000a__x000a_ÅÅÅÅ-MM-DD_x000a__x000a_eller_x000a__x000a_ÅÅÅÅMMDD_x000a__x000a_Datum som inte ännu inträffat (framtida datum) får ej anges_x000a__x000a_Angivet datum måste överensstämma med motsvarande uppgift i blad 'PROTOKOLL' om detta blad fyllts i" promptTitle="Ange fiskedatum" prompt="Detta fält fylls i automatiskt om motsvarande uppgift fyllts i i blad 'PROTOKOLL'_x000a__x000a_Datum anges antingen på formen _x000a__x000a_ÅÅÅÅ-MM-DD _x000a__x000a_eller_x000a__x000a_ÅÅÅÅMMDD" sqref="M3:N3" xr:uid="{00000000-0002-0000-0100-000021000000}">
      <formula1>IF(Prot.Datum&lt;&gt;"",1*Prot.Datum=1*M3,IF(LEN(M3)=10,AND(LEFT(M3,4)*1&lt;=YEAR(TODAY()),LEFT(M3,4)*1&gt;=1950,LEN(M3*1)&lt;10),IF(LEN(M3)=8,AND(LEFT(M3,4)*1&gt;=1950,LEFT(M3,4)*1&lt;=YEAR(TODAY()),LEFT(RIGHT(M3,4),2)*1&lt;=12,RIGHT(M3,2)*1&lt;=31),FALSE)))</formula1>
    </dataValidation>
    <dataValidation type="custom" errorStyle="information" allowBlank="1" showErrorMessage="1" errorTitle="Information!" error="Du vet väl att denna medelbredd  kan endast beräknas efter att lokalen fiskats flera år._x000a__x000a_Medelbredden anges som elfiskelokalens medelbredd vid normal lågvattenföring." promptTitle="Ange lokalens medelbredd" prompt="Fältet fylls i automatiskt om blad 'PROTOKOLL' fyllts i m.a.p. motsvarande uppgift._x000a__x000a_Elfiskelokalens medelbredd vid normal lågvattenföring avses.  _x000a__x000a_Denna medelbredd  kan endast beräknas efter att lokalen fiskats flera år." sqref="G7" xr:uid="{00000000-0002-0000-0100-000022000000}">
      <formula1>IF(ProtokollMedelbredd&lt;&gt;"",ProtokollMedelbredd=G7,AND(ISNUMBER(G7),G7&gt;0))</formula1>
    </dataValidation>
    <dataValidation type="custom" errorStyle="information" allowBlank="1" showErrorMessage="1" errorTitle="Information!" error="Du vet väl att denna medelyta  kan endast beräknas efter att lokalen fiskats flera år._x000a__x000a_Uppgiften måste även överensstämma med motsvarande uppgift i blad 'PROTOKOLL' om detta blad fyllts i" promptTitle="Ange lokalens medelyta" prompt="Fältet fylls i automatiskt om blad 'PROTOKOLL' fyllts i m.a.p. motsvarande uppgift._x000a__x000a_Elfiskelokalens genomsnittliga yta angiven i hela m2 avses._x000a__x000a_Denna yta kan endast beräknas efter att lokalen fiskats flera år." sqref="G8" xr:uid="{00000000-0002-0000-0100-000023000000}">
      <formula1>IF(ProtokollMedelyta&lt;&gt;"",ProtokollMedelyta=G8,AND(ISNUMBER(G8),G8&gt;0,IF(G8&lt;&gt;"",G8=INT(G8),TRUE)))</formula1>
    </dataValidation>
    <dataValidation type="list" showErrorMessage="1" errorTitle="Otillåten inmatning!" error="Använd rullista, alternativt ange tre- eller sexsiffrig kod enl instruktion._x000a__x000a_Angivelse måste överensstämma med motsvarande uppgift i blad PROTOKOLL om detta blad fyllts i" promptTitle="Ange huvudflodsområde enl. SMHI," prompt="dvs det huvudvattensystem som lokalen ligger i_x000a__x000a_Anges med rullista_x000a__x000a_eller_x000a__x000a_med en tre- eller sexsiffrig kod, tex 001 för Torneälven &amp; 001002 för 1/2 kustområde (vattensystemet  mellan Torneälv &amp; Keräsjokki)." sqref="M4:N4" xr:uid="{00000000-0002-0000-0100-000024000000}">
      <formula1>Lista9</formula1>
    </dataValidation>
    <dataValidation type="custom" allowBlank="1" showErrorMessage="1" errorTitle="Otillåten inmatning!" error="Kontrollera villkor:_x000a_* Endast siffror anges_x000a_* X- &amp; Y-koord. anges med samma teckenantal (6 el. 7)_x000a_* Koordinater anger ej plats i Sverige_x000a_* Angivelse överensstämmer med PROTOKOLL om detta blad fyllts i" promptTitle="Ange vattendragets X-koordinater" prompt="enligt SMHI:s vattendragsregister_x000a__x000a_Detta fält fylls i automatiskt om motsvarande uppgift redan fyllts i i blad PROTOKOLL_x000a__x000a_Anges med 6 eller 7 siffror_x000a__x000a_Anges koordinat med 7 siffror kommer de sista två siffrorna att avrundas till närmaste tiotal" sqref="I3:I4" xr:uid="{00000000-0002-0000-0100-000025000000}">
      <formula1>TRUE</formula1>
    </dataValidation>
    <dataValidation allowBlank="1" showInputMessage="1" showErrorMessage="1" prompt="I detta fält kan inga värden anges. Fältet beräknas automatiskt, som ett medelvärde av fälten D13:F28" sqref="E34:F35" xr:uid="{00000000-0002-0000-0100-000026000000}"/>
    <dataValidation allowBlank="1" showInputMessage="1" showErrorMessage="1" prompt="I detta fält kan inga värden anges. Fältet beräknas som ett medelvärde av fälten C13:C28." sqref="C34:C35" xr:uid="{00000000-0002-0000-0100-000027000000}"/>
    <dataValidation allowBlank="1" showInputMessage="1" showErrorMessage="1" prompt="I detta fält kan inga värden anges. Fältet hämtar sitt värde från fälten C13:C28." sqref="C36:C37" xr:uid="{00000000-0002-0000-0100-000028000000}"/>
    <dataValidation allowBlank="1" showInputMessage="1" showErrorMessage="1" prompt="I detta fält kan inga värden anges. Fältet hämtar sitt värde från fälten G13:J28." sqref="N13:N21" xr:uid="{00000000-0002-0000-0100-000029000000}"/>
    <dataValidation type="custom" allowBlank="1" showInputMessage="1" showErrorMessage="1" errorTitle="Otillåten inmatning!" error="Endera heltal mellan 1 och 9 eller textkoder enligt tabellen th, kan anges i detta fält." promptTitle="Ange dominerande bottensubstrat" prompt="Ange sifferkod eller textkod enligt tabellen till höger" sqref="G13:H13" xr:uid="{00000000-0002-0000-0100-00002A000000}">
      <formula1>IF(ISNUMBER(G13),AND(INT(G13)=G13,G13&gt;=1,G13&lt;=9),OR(G13="FIN",G13="SAND",G13="GRUS",G13="STEN1",G13="STEN2",G13="BLOCK1",G13="BLOCK2",G13="BLOCk3",G13="HÄLL"))</formula1>
    </dataValidation>
    <dataValidation type="custom" allowBlank="1" showErrorMessage="1" errorTitle="Otillåten inmatning!" error="Endera heltal mellan 1 och 9 eller textkoder enligt tabellen th, kan anges i detta fält." promptTitle="Ange dominerande bottensubstrat" prompt="Ange sifferkod eller textkod enligt tabellen till höger" sqref="G14:J33 I13:J13" xr:uid="{00000000-0002-0000-0100-00002B000000}">
      <formula1>IF(ISNUMBER(G13),AND(INT(G13)=G13,G13&gt;=1,G13&lt;=9),OR(G13="FIN",G13="SAND",G13="GRUS",G13="STEN1",G13="STEN2",G13="BLOCK1",G13="BLOCK2",G13="BLOCk3",G13="HÄLL"))</formula1>
    </dataValidation>
  </dataValidations>
  <pageMargins left="0.68" right="0.19685039370078741" top="0.2" bottom="0" header="0.36" footer="0.19685039370078741"/>
  <pageSetup paperSize="9" scale="88"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53"/>
  <sheetViews>
    <sheetView zoomScale="75" workbookViewId="0">
      <selection activeCell="H11" sqref="H11"/>
    </sheetView>
  </sheetViews>
  <sheetFormatPr defaultColWidth="9.109375" defaultRowHeight="13.2" x14ac:dyDescent="0.25"/>
  <cols>
    <col min="1" max="1" width="2.33203125" style="297" customWidth="1"/>
    <col min="2" max="2" width="1.33203125" style="297" customWidth="1"/>
    <col min="3" max="3" width="17.88671875" style="297" customWidth="1"/>
    <col min="4" max="4" width="94.109375" style="297" customWidth="1"/>
    <col min="5" max="16384" width="9.109375" style="297"/>
  </cols>
  <sheetData>
    <row r="1" spans="2:5" ht="21" customHeight="1" x14ac:dyDescent="0.3">
      <c r="C1" s="313" t="s">
        <v>387</v>
      </c>
    </row>
    <row r="2" spans="2:5" ht="20.100000000000001" customHeight="1" x14ac:dyDescent="0.3">
      <c r="C2" s="521" t="s">
        <v>894</v>
      </c>
      <c r="D2" s="521" t="s">
        <v>2056</v>
      </c>
      <c r="E2" s="298"/>
    </row>
    <row r="3" spans="2:5" ht="18" customHeight="1" thickBot="1" x14ac:dyDescent="0.3">
      <c r="B3" s="299"/>
      <c r="C3" s="299"/>
      <c r="D3" s="299"/>
    </row>
    <row r="4" spans="2:5" ht="23.25" customHeight="1" thickTop="1" x14ac:dyDescent="0.25">
      <c r="B4" s="300"/>
      <c r="C4" s="301" t="s">
        <v>955</v>
      </c>
      <c r="D4" s="302" t="s">
        <v>953</v>
      </c>
    </row>
    <row r="5" spans="2:5" ht="23.25" customHeight="1" x14ac:dyDescent="0.25">
      <c r="B5" s="303"/>
      <c r="C5" s="157" t="s">
        <v>956</v>
      </c>
      <c r="D5" s="304"/>
    </row>
    <row r="6" spans="2:5" ht="23.25" customHeight="1" x14ac:dyDescent="0.25">
      <c r="B6" s="305"/>
      <c r="C6" s="159" t="s">
        <v>957</v>
      </c>
      <c r="D6" s="306"/>
    </row>
    <row r="7" spans="2:5" ht="23.25" customHeight="1" x14ac:dyDescent="0.25">
      <c r="B7" s="303"/>
      <c r="C7" s="157" t="s">
        <v>958</v>
      </c>
      <c r="D7" s="304"/>
    </row>
    <row r="8" spans="2:5" ht="23.25" customHeight="1" x14ac:dyDescent="0.25">
      <c r="B8" s="305"/>
      <c r="C8" s="159" t="s">
        <v>959</v>
      </c>
      <c r="D8" s="306"/>
    </row>
    <row r="9" spans="2:5" ht="23.25" customHeight="1" x14ac:dyDescent="0.25">
      <c r="B9" s="303"/>
      <c r="C9" s="157" t="s">
        <v>960</v>
      </c>
      <c r="D9" s="304"/>
    </row>
    <row r="10" spans="2:5" ht="23.25" customHeight="1" thickBot="1" x14ac:dyDescent="0.3">
      <c r="B10" s="307"/>
      <c r="C10" s="160" t="s">
        <v>961</v>
      </c>
      <c r="D10" s="308"/>
    </row>
    <row r="11" spans="2:5" ht="23.25" customHeight="1" x14ac:dyDescent="0.25">
      <c r="B11" s="305"/>
      <c r="C11" s="161" t="s">
        <v>962</v>
      </c>
      <c r="D11" s="306"/>
    </row>
    <row r="12" spans="2:5" ht="23.25" customHeight="1" x14ac:dyDescent="0.25">
      <c r="B12" s="303"/>
      <c r="C12" s="157" t="s">
        <v>963</v>
      </c>
      <c r="D12" s="304"/>
    </row>
    <row r="13" spans="2:5" ht="23.25" customHeight="1" x14ac:dyDescent="0.25">
      <c r="B13" s="305"/>
      <c r="C13" s="159" t="s">
        <v>964</v>
      </c>
      <c r="D13" s="306"/>
    </row>
    <row r="14" spans="2:5" ht="23.25" customHeight="1" x14ac:dyDescent="0.25">
      <c r="B14" s="303"/>
      <c r="C14" s="157" t="s">
        <v>965</v>
      </c>
      <c r="D14" s="304"/>
    </row>
    <row r="15" spans="2:5" ht="23.25" customHeight="1" x14ac:dyDescent="0.25">
      <c r="B15" s="305"/>
      <c r="C15" s="159" t="s">
        <v>966</v>
      </c>
      <c r="D15" s="306"/>
    </row>
    <row r="16" spans="2:5" ht="23.25" customHeight="1" x14ac:dyDescent="0.25">
      <c r="B16" s="303"/>
      <c r="C16" s="157" t="s">
        <v>967</v>
      </c>
      <c r="D16" s="304"/>
    </row>
    <row r="17" spans="2:4" ht="23.25" customHeight="1" x14ac:dyDescent="0.25">
      <c r="B17" s="305"/>
      <c r="C17" s="159" t="s">
        <v>968</v>
      </c>
      <c r="D17" s="306"/>
    </row>
    <row r="18" spans="2:4" ht="23.25" customHeight="1" x14ac:dyDescent="0.25">
      <c r="B18" s="303"/>
      <c r="C18" s="157" t="s">
        <v>969</v>
      </c>
      <c r="D18" s="304"/>
    </row>
    <row r="19" spans="2:4" ht="23.25" customHeight="1" x14ac:dyDescent="0.25">
      <c r="B19" s="303"/>
      <c r="C19" s="157" t="s">
        <v>970</v>
      </c>
      <c r="D19" s="304"/>
    </row>
    <row r="20" spans="2:4" ht="23.25" customHeight="1" thickBot="1" x14ac:dyDescent="0.3">
      <c r="B20" s="307"/>
      <c r="C20" s="160" t="s">
        <v>971</v>
      </c>
      <c r="D20" s="308"/>
    </row>
    <row r="21" spans="2:4" ht="23.25" customHeight="1" x14ac:dyDescent="0.25">
      <c r="B21" s="305"/>
      <c r="C21" s="161" t="s">
        <v>972</v>
      </c>
      <c r="D21" s="306"/>
    </row>
    <row r="22" spans="2:4" ht="23.25" customHeight="1" x14ac:dyDescent="0.25">
      <c r="B22" s="309"/>
      <c r="C22" s="162" t="s">
        <v>973</v>
      </c>
      <c r="D22" s="310"/>
    </row>
    <row r="23" spans="2:4" ht="23.25" customHeight="1" x14ac:dyDescent="0.25">
      <c r="B23" s="303"/>
      <c r="C23" s="157" t="s">
        <v>974</v>
      </c>
      <c r="D23" s="304"/>
    </row>
    <row r="24" spans="2:4" ht="23.25" customHeight="1" x14ac:dyDescent="0.25">
      <c r="B24" s="305"/>
      <c r="C24" s="159" t="s">
        <v>975</v>
      </c>
      <c r="D24" s="306"/>
    </row>
    <row r="25" spans="2:4" ht="23.25" customHeight="1" x14ac:dyDescent="0.25">
      <c r="B25" s="303"/>
      <c r="C25" s="157" t="s">
        <v>976</v>
      </c>
      <c r="D25" s="304"/>
    </row>
    <row r="26" spans="2:4" ht="23.25" customHeight="1" x14ac:dyDescent="0.25">
      <c r="B26" s="305"/>
      <c r="C26" s="159" t="s">
        <v>977</v>
      </c>
      <c r="D26" s="306"/>
    </row>
    <row r="27" spans="2:4" ht="23.25" customHeight="1" x14ac:dyDescent="0.25">
      <c r="B27" s="303"/>
      <c r="C27" s="157" t="s">
        <v>978</v>
      </c>
      <c r="D27" s="304"/>
    </row>
    <row r="28" spans="2:4" ht="23.25" customHeight="1" x14ac:dyDescent="0.25">
      <c r="B28" s="305"/>
      <c r="C28" s="159" t="s">
        <v>979</v>
      </c>
      <c r="D28" s="306"/>
    </row>
    <row r="29" spans="2:4" ht="23.25" customHeight="1" x14ac:dyDescent="0.25">
      <c r="B29" s="303"/>
      <c r="C29" s="157" t="s">
        <v>980</v>
      </c>
      <c r="D29" s="304"/>
    </row>
    <row r="30" spans="2:4" ht="23.25" customHeight="1" thickBot="1" x14ac:dyDescent="0.3">
      <c r="B30" s="307"/>
      <c r="C30" s="160" t="s">
        <v>981</v>
      </c>
      <c r="D30" s="308"/>
    </row>
    <row r="31" spans="2:4" ht="23.25" customHeight="1" x14ac:dyDescent="0.25">
      <c r="B31" s="305"/>
      <c r="C31" s="161" t="s">
        <v>982</v>
      </c>
      <c r="D31" s="306"/>
    </row>
    <row r="32" spans="2:4" ht="23.25" customHeight="1" x14ac:dyDescent="0.25">
      <c r="B32" s="303"/>
      <c r="C32" s="157" t="s">
        <v>983</v>
      </c>
      <c r="D32" s="304"/>
    </row>
    <row r="33" spans="2:4" ht="23.25" customHeight="1" x14ac:dyDescent="0.25">
      <c r="B33" s="305"/>
      <c r="C33" s="159" t="s">
        <v>984</v>
      </c>
      <c r="D33" s="306"/>
    </row>
    <row r="34" spans="2:4" ht="23.25" customHeight="1" x14ac:dyDescent="0.25">
      <c r="B34" s="303"/>
      <c r="C34" s="157" t="s">
        <v>985</v>
      </c>
      <c r="D34" s="304"/>
    </row>
    <row r="35" spans="2:4" ht="23.25" customHeight="1" x14ac:dyDescent="0.25">
      <c r="B35" s="305"/>
      <c r="C35" s="159" t="s">
        <v>986</v>
      </c>
      <c r="D35" s="306"/>
    </row>
    <row r="36" spans="2:4" ht="23.25" customHeight="1" x14ac:dyDescent="0.25">
      <c r="B36" s="303"/>
      <c r="C36" s="157" t="s">
        <v>987</v>
      </c>
      <c r="D36" s="304"/>
    </row>
    <row r="37" spans="2:4" ht="23.25" customHeight="1" x14ac:dyDescent="0.25">
      <c r="B37" s="305"/>
      <c r="C37" s="159" t="s">
        <v>988</v>
      </c>
      <c r="D37" s="306"/>
    </row>
    <row r="38" spans="2:4" ht="23.25" customHeight="1" x14ac:dyDescent="0.25">
      <c r="B38" s="303"/>
      <c r="C38" s="157" t="s">
        <v>989</v>
      </c>
      <c r="D38" s="304"/>
    </row>
    <row r="39" spans="2:4" ht="23.25" customHeight="1" x14ac:dyDescent="0.25">
      <c r="B39" s="303"/>
      <c r="C39" s="157" t="s">
        <v>990</v>
      </c>
      <c r="D39" s="304"/>
    </row>
    <row r="40" spans="2:4" ht="23.25" customHeight="1" thickBot="1" x14ac:dyDescent="0.3">
      <c r="B40" s="307"/>
      <c r="C40" s="160" t="s">
        <v>991</v>
      </c>
      <c r="D40" s="308"/>
    </row>
    <row r="41" spans="2:4" ht="23.25" customHeight="1" x14ac:dyDescent="0.25">
      <c r="B41" s="305"/>
      <c r="C41" s="161" t="s">
        <v>992</v>
      </c>
      <c r="D41" s="306"/>
    </row>
    <row r="42" spans="2:4" ht="23.25" customHeight="1" x14ac:dyDescent="0.25">
      <c r="B42" s="303"/>
      <c r="C42" s="157" t="s">
        <v>993</v>
      </c>
      <c r="D42" s="304"/>
    </row>
    <row r="43" spans="2:4" ht="23.25" customHeight="1" thickBot="1" x14ac:dyDescent="0.3">
      <c r="B43" s="311"/>
      <c r="C43" s="522" t="s">
        <v>994</v>
      </c>
      <c r="D43" s="312"/>
    </row>
    <row r="44" spans="2:4" ht="23.25" customHeight="1" thickTop="1" x14ac:dyDescent="0.25"/>
    <row r="45" spans="2:4" ht="23.25" customHeight="1" x14ac:dyDescent="0.25"/>
    <row r="46" spans="2:4" ht="23.25" customHeight="1" x14ac:dyDescent="0.25"/>
    <row r="47" spans="2:4" ht="23.25" customHeight="1" x14ac:dyDescent="0.25"/>
    <row r="48" spans="2:4" ht="23.25" customHeight="1" x14ac:dyDescent="0.25"/>
    <row r="49" ht="23.25" customHeight="1" x14ac:dyDescent="0.25"/>
    <row r="50" ht="23.25" customHeight="1" x14ac:dyDescent="0.25"/>
    <row r="51" ht="23.25" customHeight="1" x14ac:dyDescent="0.25"/>
    <row r="52" ht="23.25" customHeight="1" x14ac:dyDescent="0.25"/>
    <row r="53" s="299" customFormat="1" ht="23.25" customHeight="1" x14ac:dyDescent="0.25"/>
    <row r="54" s="299" customFormat="1" ht="23.25" customHeight="1" x14ac:dyDescent="0.25"/>
    <row r="55" s="299" customFormat="1" ht="23.25" customHeight="1" x14ac:dyDescent="0.25"/>
    <row r="56" s="299" customFormat="1" ht="23.25" customHeight="1" x14ac:dyDescent="0.25"/>
    <row r="57" s="299" customFormat="1" ht="23.25" customHeight="1" x14ac:dyDescent="0.25"/>
    <row r="58" s="299" customFormat="1" ht="23.25" customHeight="1" x14ac:dyDescent="0.25"/>
    <row r="59" s="299" customFormat="1" ht="23.25" customHeight="1" x14ac:dyDescent="0.25"/>
    <row r="60" s="299" customFormat="1" ht="23.25" customHeight="1" x14ac:dyDescent="0.25"/>
    <row r="61" s="299" customFormat="1" ht="23.25" customHeight="1" x14ac:dyDescent="0.25"/>
    <row r="62" s="299" customFormat="1" ht="23.25" customHeight="1" x14ac:dyDescent="0.25"/>
    <row r="63" s="299" customFormat="1" ht="23.25" customHeight="1" x14ac:dyDescent="0.25"/>
    <row r="64" s="299" customFormat="1" ht="23.25" customHeight="1" x14ac:dyDescent="0.25"/>
    <row r="65" s="299" customFormat="1" ht="23.25" customHeight="1" x14ac:dyDescent="0.25"/>
    <row r="66" s="299" customFormat="1" ht="23.25" customHeight="1" x14ac:dyDescent="0.25"/>
    <row r="67" s="299" customFormat="1" ht="23.25" customHeight="1" x14ac:dyDescent="0.25"/>
    <row r="68" s="299" customFormat="1" ht="23.25" customHeight="1" x14ac:dyDescent="0.25"/>
    <row r="69" s="299" customFormat="1" ht="23.25" customHeight="1" x14ac:dyDescent="0.25"/>
    <row r="70" s="299" customFormat="1" ht="23.25" customHeight="1" x14ac:dyDescent="0.25"/>
    <row r="71" s="299" customFormat="1" ht="23.25" customHeight="1" x14ac:dyDescent="0.25"/>
    <row r="72" s="299" customFormat="1" ht="23.25" customHeight="1" x14ac:dyDescent="0.25"/>
    <row r="73" s="299" customFormat="1" ht="23.25" customHeight="1" x14ac:dyDescent="0.25"/>
    <row r="74" s="299" customFormat="1" ht="23.25" customHeight="1" x14ac:dyDescent="0.25"/>
    <row r="75" s="299" customFormat="1" ht="23.25" customHeight="1" x14ac:dyDescent="0.25"/>
    <row r="76" s="299" customFormat="1" ht="23.25" customHeight="1" x14ac:dyDescent="0.25"/>
    <row r="77" s="299" customFormat="1" ht="23.25" customHeight="1" x14ac:dyDescent="0.25"/>
    <row r="78" s="299" customFormat="1" ht="23.25" customHeight="1" x14ac:dyDescent="0.25"/>
    <row r="79" s="299" customFormat="1" ht="23.25" customHeight="1" x14ac:dyDescent="0.25"/>
    <row r="80" s="299" customFormat="1" ht="23.25" customHeight="1" x14ac:dyDescent="0.25"/>
    <row r="81" spans="1:1" s="299" customFormat="1" ht="23.25" customHeight="1" x14ac:dyDescent="0.25"/>
    <row r="82" spans="1:1" s="299" customFormat="1" ht="23.25" customHeight="1" x14ac:dyDescent="0.25"/>
    <row r="83" spans="1:1" s="299" customFormat="1" ht="23.25" customHeight="1" x14ac:dyDescent="0.25"/>
    <row r="84" spans="1:1" s="299" customFormat="1" ht="23.25" customHeight="1" x14ac:dyDescent="0.25"/>
    <row r="85" spans="1:1" s="299" customFormat="1" ht="23.25" customHeight="1" x14ac:dyDescent="0.25"/>
    <row r="86" spans="1:1" s="299" customFormat="1" ht="23.25" customHeight="1" x14ac:dyDescent="0.25"/>
    <row r="87" spans="1:1" s="299" customFormat="1" ht="23.25" customHeight="1" x14ac:dyDescent="0.25"/>
    <row r="88" spans="1:1" s="299" customFormat="1" ht="23.25" customHeight="1" x14ac:dyDescent="0.25"/>
    <row r="89" spans="1:1" s="299" customFormat="1" ht="23.25" customHeight="1" x14ac:dyDescent="0.25"/>
    <row r="90" spans="1:1" s="299" customFormat="1" ht="23.25" customHeight="1" x14ac:dyDescent="0.25"/>
    <row r="91" spans="1:1" s="299" customFormat="1" ht="23.25" customHeight="1" x14ac:dyDescent="0.25"/>
    <row r="92" spans="1:1" s="299" customFormat="1" ht="23.25" customHeight="1" x14ac:dyDescent="0.25"/>
    <row r="93" spans="1:1" s="299" customFormat="1" ht="23.25" customHeight="1" x14ac:dyDescent="0.25"/>
    <row r="94" spans="1:1" s="299" customFormat="1" ht="23.25" customHeight="1" x14ac:dyDescent="0.25"/>
    <row r="95" spans="1:1" s="299" customFormat="1" ht="23.25" customHeight="1" x14ac:dyDescent="0.25"/>
    <row r="96" spans="1:1" ht="23.25" customHeight="1" x14ac:dyDescent="0.25">
      <c r="A96" s="299"/>
    </row>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sheetData>
  <sheetProtection sheet="1" objects="1" scenarios="1"/>
  <phoneticPr fontId="57" type="noConversion"/>
  <pageMargins left="0.53" right="0.56999999999999995" top="0.52" bottom="0.51" header="0.38" footer="0.42"/>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53"/>
  <sheetViews>
    <sheetView zoomScale="75" zoomScaleNormal="75" workbookViewId="0">
      <selection activeCell="C8" sqref="C8"/>
    </sheetView>
  </sheetViews>
  <sheetFormatPr defaultColWidth="9.109375" defaultRowHeight="15" x14ac:dyDescent="0.25"/>
  <cols>
    <col min="1" max="1" width="4" style="195" customWidth="1"/>
    <col min="2" max="13" width="10.33203125" style="195" customWidth="1"/>
    <col min="14" max="14" width="11.44140625" style="195" customWidth="1"/>
    <col min="15" max="15" width="6.33203125" style="195" customWidth="1"/>
    <col min="16" max="16" width="17.5546875" style="211" customWidth="1"/>
    <col min="17" max="21" width="11.88671875" style="211" customWidth="1"/>
    <col min="22" max="23" width="10" style="195" bestFit="1" customWidth="1"/>
    <col min="24" max="24" width="11.6640625" style="7" customWidth="1"/>
    <col min="25" max="16384" width="9.109375" style="7"/>
  </cols>
  <sheetData>
    <row r="1" spans="1:36" ht="20.25" customHeight="1" x14ac:dyDescent="0.3">
      <c r="B1" s="373" t="s">
        <v>894</v>
      </c>
      <c r="C1" s="35" t="str">
        <f>IF(Prot.Datum&lt;&gt;"",Prot.Datum,"")</f>
        <v>2020-08-19</v>
      </c>
      <c r="E1" s="373" t="s">
        <v>893</v>
      </c>
      <c r="G1" s="383" t="str">
        <f>IF(ProtokollVdrnamn&lt;&gt;"",ProtokollVdrnamn,"")</f>
        <v>Törlan</v>
      </c>
      <c r="I1" s="373" t="s">
        <v>1498</v>
      </c>
      <c r="J1" s="384" t="str">
        <f>IF(OR(PrLokNa&lt;&gt;"",PrLokNr&lt;&gt;""),PrLokNa&amp;" "&amp;PrLokNr,"")</f>
        <v xml:space="preserve">Ovan bro mot Borrås </v>
      </c>
      <c r="K1" s="158"/>
    </row>
    <row r="2" spans="1:36" ht="8.25" customHeight="1" x14ac:dyDescent="0.25"/>
    <row r="3" spans="1:36" ht="20.100000000000001" customHeight="1" x14ac:dyDescent="0.4">
      <c r="B3" s="155" t="s">
        <v>951</v>
      </c>
      <c r="I3" s="373" t="s">
        <v>1497</v>
      </c>
      <c r="J3" s="24" t="str">
        <f>IF(AND(ProtokollLkoordX&lt;&gt;"",ProtokollLkoordY&lt;&gt;""),ProtokollLkoordX&amp;"-"&amp;ProtokollLkoordY,"")</f>
        <v>6325882-1294786</v>
      </c>
      <c r="N3" s="365" t="s">
        <v>1441</v>
      </c>
      <c r="P3" s="158"/>
    </row>
    <row r="4" spans="1:36" ht="19.5" customHeight="1" x14ac:dyDescent="0.3">
      <c r="B4" s="156" t="s">
        <v>952</v>
      </c>
      <c r="N4" s="504" t="s">
        <v>78</v>
      </c>
    </row>
    <row r="5" spans="1:36" ht="20.100000000000001" customHeight="1" x14ac:dyDescent="0.3">
      <c r="B5" s="156" t="s">
        <v>954</v>
      </c>
    </row>
    <row r="6" spans="1:36" ht="5.25" customHeight="1" x14ac:dyDescent="0.25"/>
    <row r="7" spans="1:36" ht="18" customHeight="1" x14ac:dyDescent="0.3">
      <c r="P7" s="285" t="s">
        <v>451</v>
      </c>
    </row>
    <row r="8" spans="1:36" ht="23.25" customHeight="1" x14ac:dyDescent="0.3">
      <c r="B8" s="195" t="s">
        <v>72</v>
      </c>
      <c r="C8" s="315"/>
      <c r="E8" s="195" t="s">
        <v>1492</v>
      </c>
      <c r="G8" s="1111"/>
      <c r="H8" s="1112"/>
      <c r="I8" s="1112"/>
      <c r="J8" s="1112"/>
      <c r="K8" s="1112"/>
      <c r="L8" s="1112"/>
      <c r="M8" s="1112"/>
      <c r="P8" s="286" t="s">
        <v>458</v>
      </c>
      <c r="Q8" s="287"/>
      <c r="R8" s="288"/>
      <c r="S8" s="287"/>
      <c r="T8" s="289"/>
      <c r="U8" s="327"/>
    </row>
    <row r="9" spans="1:36" ht="23.25" customHeight="1" x14ac:dyDescent="0.3">
      <c r="B9" s="196" t="s">
        <v>73</v>
      </c>
      <c r="C9" s="197"/>
      <c r="D9" s="196" t="s">
        <v>73</v>
      </c>
      <c r="E9" s="197"/>
      <c r="F9" s="196" t="s">
        <v>73</v>
      </c>
      <c r="G9" s="197"/>
      <c r="H9" s="196" t="s">
        <v>73</v>
      </c>
      <c r="I9" s="197"/>
      <c r="J9" s="196" t="s">
        <v>73</v>
      </c>
      <c r="K9" s="197"/>
      <c r="L9" s="196" t="s">
        <v>73</v>
      </c>
      <c r="M9" s="197"/>
      <c r="P9" s="290"/>
      <c r="Q9" s="291"/>
      <c r="R9" s="292" t="s">
        <v>453</v>
      </c>
      <c r="S9" s="291"/>
      <c r="T9" s="293"/>
    </row>
    <row r="10" spans="1:36" ht="23.25" customHeight="1" x14ac:dyDescent="0.3">
      <c r="B10" s="1109"/>
      <c r="C10" s="1110"/>
      <c r="D10" s="1109"/>
      <c r="E10" s="1110"/>
      <c r="F10" s="1109"/>
      <c r="G10" s="1110"/>
      <c r="H10" s="1109"/>
      <c r="I10" s="1110"/>
      <c r="J10" s="1109"/>
      <c r="K10" s="1110"/>
      <c r="L10" s="1109"/>
      <c r="M10" s="1110"/>
      <c r="O10" s="295" t="s">
        <v>452</v>
      </c>
      <c r="P10" s="294" t="s">
        <v>471</v>
      </c>
      <c r="Q10" s="141" t="s">
        <v>462</v>
      </c>
      <c r="R10" s="296" t="s">
        <v>454</v>
      </c>
      <c r="S10" s="296" t="s">
        <v>455</v>
      </c>
      <c r="T10" s="296" t="s">
        <v>456</v>
      </c>
    </row>
    <row r="11" spans="1:36" ht="23.25" customHeight="1" x14ac:dyDescent="0.3">
      <c r="B11" s="348" t="s">
        <v>78</v>
      </c>
      <c r="C11" s="349" t="str">
        <f>IF($N$4&lt;&gt;"",$N$4,"")</f>
        <v>Längd (mm)</v>
      </c>
      <c r="D11" s="348" t="s">
        <v>78</v>
      </c>
      <c r="E11" s="349" t="str">
        <f>IF($N$4&lt;&gt;"",$N$4,"")</f>
        <v>Längd (mm)</v>
      </c>
      <c r="F11" s="348" t="s">
        <v>78</v>
      </c>
      <c r="G11" s="349" t="str">
        <f>IF($N$4&lt;&gt;"",$N$4,"")</f>
        <v>Längd (mm)</v>
      </c>
      <c r="H11" s="348" t="s">
        <v>78</v>
      </c>
      <c r="I11" s="349" t="str">
        <f>IF($N$4&lt;&gt;"",$N$4,"")</f>
        <v>Längd (mm)</v>
      </c>
      <c r="J11" s="348" t="s">
        <v>78</v>
      </c>
      <c r="K11" s="349" t="str">
        <f>IF($N$4&lt;&gt;"",$N$4,"")</f>
        <v>Längd (mm)</v>
      </c>
      <c r="L11" s="348" t="s">
        <v>78</v>
      </c>
      <c r="M11" s="349" t="str">
        <f>IF($N$4&lt;&gt;"",$N$4,"")</f>
        <v>Längd (mm)</v>
      </c>
      <c r="N11" s="211"/>
      <c r="O11" s="211" t="str">
        <f t="shared" ref="O11:O27" si="0">IF(AND(P11&lt;&gt;"",R11&lt;&gt;""),VLOOKUP(P11,AL,8,FALSE),"")</f>
        <v/>
      </c>
      <c r="P11" s="316"/>
      <c r="Q11" s="317"/>
      <c r="R11" s="317"/>
      <c r="S11" s="317"/>
      <c r="T11" s="317"/>
      <c r="Y11" s="17"/>
      <c r="Z11" s="17"/>
      <c r="AA11" s="17"/>
      <c r="AB11" s="17"/>
      <c r="AD11" s="17"/>
      <c r="AF11" s="17"/>
      <c r="AH11" s="17"/>
      <c r="AJ11" s="17"/>
    </row>
    <row r="12" spans="1:36" ht="23.25" customHeight="1" x14ac:dyDescent="0.3">
      <c r="A12" s="195">
        <v>1</v>
      </c>
      <c r="B12" s="366"/>
      <c r="C12" s="366"/>
      <c r="D12" s="366"/>
      <c r="E12" s="366"/>
      <c r="F12" s="366"/>
      <c r="G12" s="366"/>
      <c r="H12" s="366"/>
      <c r="I12" s="366"/>
      <c r="J12" s="366"/>
      <c r="K12" s="366"/>
      <c r="L12" s="366"/>
      <c r="M12" s="366"/>
      <c r="N12" s="211"/>
      <c r="O12" s="211" t="str">
        <f t="shared" si="0"/>
        <v/>
      </c>
      <c r="P12" s="316"/>
      <c r="Q12" s="317"/>
      <c r="R12" s="317"/>
      <c r="S12" s="317"/>
      <c r="T12" s="317"/>
      <c r="Y12" s="195"/>
    </row>
    <row r="13" spans="1:36" ht="23.25" customHeight="1" x14ac:dyDescent="0.3">
      <c r="A13" s="195">
        <v>2</v>
      </c>
      <c r="B13" s="366"/>
      <c r="C13" s="366"/>
      <c r="D13" s="366"/>
      <c r="E13" s="366"/>
      <c r="F13" s="366"/>
      <c r="G13" s="366"/>
      <c r="H13" s="366"/>
      <c r="I13" s="366"/>
      <c r="J13" s="366"/>
      <c r="K13" s="366"/>
      <c r="L13" s="366"/>
      <c r="M13" s="366"/>
      <c r="N13" s="211"/>
      <c r="O13" s="211" t="str">
        <f t="shared" si="0"/>
        <v/>
      </c>
      <c r="P13" s="316"/>
      <c r="Q13" s="317"/>
      <c r="R13" s="317"/>
      <c r="S13" s="317"/>
      <c r="T13" s="317"/>
      <c r="Y13" s="195"/>
    </row>
    <row r="14" spans="1:36" ht="23.25" customHeight="1" x14ac:dyDescent="0.3">
      <c r="A14" s="195">
        <v>3</v>
      </c>
      <c r="B14" s="366"/>
      <c r="C14" s="366"/>
      <c r="D14" s="366"/>
      <c r="E14" s="366"/>
      <c r="F14" s="366"/>
      <c r="G14" s="366"/>
      <c r="H14" s="366"/>
      <c r="I14" s="366"/>
      <c r="J14" s="366"/>
      <c r="K14" s="366"/>
      <c r="L14" s="366"/>
      <c r="M14" s="366"/>
      <c r="N14" s="211"/>
      <c r="O14" s="211" t="str">
        <f t="shared" si="0"/>
        <v/>
      </c>
      <c r="P14" s="316"/>
      <c r="Q14" s="317"/>
      <c r="R14" s="317"/>
      <c r="S14" s="317"/>
      <c r="T14" s="317"/>
      <c r="Y14" s="195"/>
    </row>
    <row r="15" spans="1:36" ht="23.25" customHeight="1" x14ac:dyDescent="0.3">
      <c r="A15" s="195">
        <v>4</v>
      </c>
      <c r="B15" s="366"/>
      <c r="C15" s="366"/>
      <c r="D15" s="366"/>
      <c r="E15" s="366"/>
      <c r="F15" s="366"/>
      <c r="G15" s="366"/>
      <c r="H15" s="366"/>
      <c r="I15" s="366"/>
      <c r="J15" s="366"/>
      <c r="K15" s="366"/>
      <c r="L15" s="366"/>
      <c r="M15" s="366"/>
      <c r="N15" s="211"/>
      <c r="O15" s="211" t="str">
        <f t="shared" si="0"/>
        <v/>
      </c>
      <c r="P15" s="316"/>
      <c r="Q15" s="317"/>
      <c r="R15" s="317"/>
      <c r="S15" s="317"/>
      <c r="T15" s="317"/>
      <c r="Y15" s="195"/>
    </row>
    <row r="16" spans="1:36" ht="23.25" customHeight="1" x14ac:dyDescent="0.3">
      <c r="A16" s="195">
        <v>5</v>
      </c>
      <c r="B16" s="366"/>
      <c r="C16" s="366"/>
      <c r="D16" s="366"/>
      <c r="E16" s="366"/>
      <c r="F16" s="366"/>
      <c r="G16" s="366"/>
      <c r="H16" s="366"/>
      <c r="I16" s="366"/>
      <c r="J16" s="366"/>
      <c r="K16" s="366"/>
      <c r="L16" s="366"/>
      <c r="M16" s="366"/>
      <c r="N16" s="211"/>
      <c r="O16" s="211" t="str">
        <f t="shared" si="0"/>
        <v/>
      </c>
      <c r="P16" s="316"/>
      <c r="Q16" s="317"/>
      <c r="R16" s="317"/>
      <c r="S16" s="317"/>
      <c r="T16" s="317"/>
      <c r="Y16" s="195"/>
    </row>
    <row r="17" spans="1:25" ht="23.25" customHeight="1" x14ac:dyDescent="0.3">
      <c r="A17" s="195">
        <v>6</v>
      </c>
      <c r="B17" s="366"/>
      <c r="C17" s="366"/>
      <c r="D17" s="366"/>
      <c r="E17" s="366"/>
      <c r="F17" s="366"/>
      <c r="G17" s="366"/>
      <c r="H17" s="366"/>
      <c r="I17" s="366"/>
      <c r="J17" s="366"/>
      <c r="K17" s="366"/>
      <c r="L17" s="366"/>
      <c r="M17" s="366"/>
      <c r="N17" s="211"/>
      <c r="O17" s="211" t="str">
        <f t="shared" si="0"/>
        <v/>
      </c>
      <c r="P17" s="316"/>
      <c r="Q17" s="317"/>
      <c r="R17" s="317"/>
      <c r="S17" s="317"/>
      <c r="T17" s="317"/>
      <c r="Y17" s="195"/>
    </row>
    <row r="18" spans="1:25" ht="23.25" customHeight="1" x14ac:dyDescent="0.3">
      <c r="A18" s="195">
        <v>7</v>
      </c>
      <c r="B18" s="366"/>
      <c r="C18" s="366"/>
      <c r="D18" s="366"/>
      <c r="E18" s="366"/>
      <c r="F18" s="366"/>
      <c r="G18" s="366"/>
      <c r="H18" s="366"/>
      <c r="I18" s="366"/>
      <c r="J18" s="366"/>
      <c r="K18" s="366"/>
      <c r="L18" s="366"/>
      <c r="M18" s="366"/>
      <c r="N18" s="211"/>
      <c r="O18" s="211" t="str">
        <f t="shared" si="0"/>
        <v/>
      </c>
      <c r="P18" s="316"/>
      <c r="Q18" s="317"/>
      <c r="R18" s="317"/>
      <c r="S18" s="317"/>
      <c r="T18" s="317"/>
      <c r="Y18" s="195"/>
    </row>
    <row r="19" spans="1:25" ht="23.25" customHeight="1" x14ac:dyDescent="0.3">
      <c r="A19" s="195">
        <v>8</v>
      </c>
      <c r="B19" s="366"/>
      <c r="C19" s="366"/>
      <c r="D19" s="366"/>
      <c r="E19" s="366"/>
      <c r="F19" s="366"/>
      <c r="G19" s="366"/>
      <c r="H19" s="366"/>
      <c r="I19" s="366"/>
      <c r="J19" s="366"/>
      <c r="K19" s="366"/>
      <c r="L19" s="366"/>
      <c r="M19" s="366"/>
      <c r="N19" s="211"/>
      <c r="O19" s="211" t="str">
        <f t="shared" si="0"/>
        <v/>
      </c>
      <c r="P19" s="316"/>
      <c r="Q19" s="317"/>
      <c r="R19" s="317"/>
      <c r="S19" s="317"/>
      <c r="T19" s="317"/>
      <c r="Y19" s="195"/>
    </row>
    <row r="20" spans="1:25" ht="23.25" customHeight="1" x14ac:dyDescent="0.3">
      <c r="A20" s="195">
        <v>9</v>
      </c>
      <c r="B20" s="366"/>
      <c r="C20" s="366"/>
      <c r="D20" s="366"/>
      <c r="E20" s="366"/>
      <c r="F20" s="366"/>
      <c r="G20" s="366"/>
      <c r="H20" s="366"/>
      <c r="I20" s="366"/>
      <c r="J20" s="366"/>
      <c r="K20" s="366"/>
      <c r="L20" s="366"/>
      <c r="M20" s="366"/>
      <c r="N20" s="211"/>
      <c r="O20" s="211" t="str">
        <f t="shared" si="0"/>
        <v/>
      </c>
      <c r="P20" s="316"/>
      <c r="Q20" s="317"/>
      <c r="R20" s="317"/>
      <c r="S20" s="317"/>
      <c r="T20" s="317"/>
      <c r="Y20" s="195"/>
    </row>
    <row r="21" spans="1:25" ht="23.25" customHeight="1" x14ac:dyDescent="0.3">
      <c r="A21" s="195">
        <v>10</v>
      </c>
      <c r="B21" s="366"/>
      <c r="C21" s="366"/>
      <c r="D21" s="366"/>
      <c r="E21" s="366"/>
      <c r="F21" s="366"/>
      <c r="G21" s="366"/>
      <c r="H21" s="366"/>
      <c r="I21" s="366"/>
      <c r="J21" s="366"/>
      <c r="K21" s="366"/>
      <c r="L21" s="366"/>
      <c r="M21" s="366"/>
      <c r="N21" s="211"/>
      <c r="O21" s="211" t="str">
        <f t="shared" si="0"/>
        <v/>
      </c>
      <c r="P21" s="316"/>
      <c r="Q21" s="317"/>
      <c r="R21" s="317"/>
      <c r="S21" s="317"/>
      <c r="T21" s="317"/>
      <c r="Y21" s="195"/>
    </row>
    <row r="22" spans="1:25" ht="23.25" customHeight="1" x14ac:dyDescent="0.3">
      <c r="O22" s="211" t="str">
        <f t="shared" si="0"/>
        <v/>
      </c>
      <c r="P22" s="316"/>
      <c r="Q22" s="317"/>
      <c r="R22" s="317"/>
      <c r="S22" s="317"/>
      <c r="T22" s="317"/>
    </row>
    <row r="23" spans="1:25" ht="23.25" customHeight="1" x14ac:dyDescent="0.3">
      <c r="B23" s="195" t="s">
        <v>72</v>
      </c>
      <c r="C23" s="315"/>
      <c r="O23" s="211" t="str">
        <f t="shared" si="0"/>
        <v/>
      </c>
      <c r="P23" s="316"/>
      <c r="Q23" s="317"/>
      <c r="R23" s="317"/>
      <c r="S23" s="317"/>
      <c r="T23" s="317"/>
    </row>
    <row r="24" spans="1:25" ht="23.25" customHeight="1" x14ac:dyDescent="0.3">
      <c r="B24" s="196" t="s">
        <v>73</v>
      </c>
      <c r="C24" s="197"/>
      <c r="D24" s="196" t="s">
        <v>73</v>
      </c>
      <c r="E24" s="197"/>
      <c r="F24" s="196" t="s">
        <v>73</v>
      </c>
      <c r="G24" s="197"/>
      <c r="H24" s="196" t="s">
        <v>73</v>
      </c>
      <c r="I24" s="197"/>
      <c r="J24" s="196" t="s">
        <v>73</v>
      </c>
      <c r="K24" s="197"/>
      <c r="L24" s="196" t="s">
        <v>73</v>
      </c>
      <c r="M24" s="197"/>
      <c r="O24" s="211" t="str">
        <f t="shared" si="0"/>
        <v/>
      </c>
      <c r="P24" s="316"/>
      <c r="Q24" s="317"/>
      <c r="R24" s="317"/>
      <c r="S24" s="317"/>
      <c r="T24" s="317"/>
    </row>
    <row r="25" spans="1:25" ht="23.25" customHeight="1" x14ac:dyDescent="0.3">
      <c r="B25" s="1109"/>
      <c r="C25" s="1110"/>
      <c r="D25" s="1109"/>
      <c r="E25" s="1110"/>
      <c r="F25" s="1109"/>
      <c r="G25" s="1110"/>
      <c r="H25" s="1109"/>
      <c r="I25" s="1110"/>
      <c r="J25" s="1109"/>
      <c r="K25" s="1110"/>
      <c r="L25" s="1109"/>
      <c r="M25" s="1110"/>
      <c r="O25" s="211" t="str">
        <f t="shared" si="0"/>
        <v/>
      </c>
      <c r="P25" s="316"/>
      <c r="Q25" s="317"/>
      <c r="R25" s="317"/>
      <c r="S25" s="317"/>
      <c r="T25" s="317"/>
    </row>
    <row r="26" spans="1:25" ht="23.25" customHeight="1" x14ac:dyDescent="0.3">
      <c r="B26" s="348" t="s">
        <v>78</v>
      </c>
      <c r="C26" s="349" t="str">
        <f>IF($N$4&lt;&gt;"",$N$4,"")</f>
        <v>Längd (mm)</v>
      </c>
      <c r="D26" s="348" t="s">
        <v>78</v>
      </c>
      <c r="E26" s="349" t="str">
        <f>IF($N$4&lt;&gt;"",$N$4,"")</f>
        <v>Längd (mm)</v>
      </c>
      <c r="F26" s="348" t="s">
        <v>78</v>
      </c>
      <c r="G26" s="349" t="str">
        <f>IF($N$4&lt;&gt;"",$N$4,"")</f>
        <v>Längd (mm)</v>
      </c>
      <c r="H26" s="348" t="s">
        <v>78</v>
      </c>
      <c r="I26" s="349" t="str">
        <f>IF($N$4&lt;&gt;"",$N$4,"")</f>
        <v>Längd (mm)</v>
      </c>
      <c r="J26" s="348" t="s">
        <v>78</v>
      </c>
      <c r="K26" s="349" t="str">
        <f>IF($N$4&lt;&gt;"",$N$4,"")</f>
        <v>Längd (mm)</v>
      </c>
      <c r="L26" s="348" t="s">
        <v>78</v>
      </c>
      <c r="M26" s="349" t="str">
        <f>IF($N$4&lt;&gt;"",$N$4,"")</f>
        <v>Längd (mm)</v>
      </c>
      <c r="O26" s="211" t="str">
        <f t="shared" si="0"/>
        <v/>
      </c>
      <c r="P26" s="316"/>
      <c r="Q26" s="317"/>
      <c r="R26" s="317"/>
      <c r="S26" s="317"/>
      <c r="T26" s="317"/>
    </row>
    <row r="27" spans="1:25" ht="23.25" customHeight="1" x14ac:dyDescent="0.3">
      <c r="A27" s="195">
        <v>1</v>
      </c>
      <c r="B27" s="366"/>
      <c r="C27" s="366"/>
      <c r="D27" s="366"/>
      <c r="E27" s="366"/>
      <c r="F27" s="366"/>
      <c r="G27" s="366"/>
      <c r="H27" s="366"/>
      <c r="I27" s="366"/>
      <c r="J27" s="366"/>
      <c r="K27" s="366"/>
      <c r="L27" s="366"/>
      <c r="M27" s="366"/>
      <c r="O27" s="211" t="str">
        <f t="shared" si="0"/>
        <v/>
      </c>
      <c r="P27" s="316"/>
      <c r="Q27" s="317"/>
      <c r="R27" s="317"/>
      <c r="S27" s="317"/>
      <c r="T27" s="317"/>
    </row>
    <row r="28" spans="1:25" ht="23.25" customHeight="1" x14ac:dyDescent="0.25">
      <c r="A28" s="195">
        <v>2</v>
      </c>
      <c r="B28" s="366"/>
      <c r="C28" s="366"/>
      <c r="D28" s="366"/>
      <c r="E28" s="366"/>
      <c r="F28" s="366"/>
      <c r="G28" s="366"/>
      <c r="H28" s="366"/>
      <c r="I28" s="366"/>
      <c r="J28" s="366"/>
      <c r="K28" s="366"/>
      <c r="L28" s="366"/>
      <c r="M28" s="366"/>
      <c r="O28" s="211"/>
      <c r="P28" s="158"/>
    </row>
    <row r="29" spans="1:25" ht="23.25" customHeight="1" x14ac:dyDescent="0.25">
      <c r="A29" s="195">
        <v>3</v>
      </c>
      <c r="B29" s="366"/>
      <c r="C29" s="366"/>
      <c r="D29" s="366"/>
      <c r="E29" s="366"/>
      <c r="F29" s="366"/>
      <c r="G29" s="366"/>
      <c r="H29" s="366"/>
      <c r="I29" s="366"/>
      <c r="J29" s="366"/>
      <c r="K29" s="366"/>
      <c r="L29" s="366"/>
      <c r="M29" s="366"/>
      <c r="O29" s="211"/>
      <c r="P29" s="158"/>
    </row>
    <row r="30" spans="1:25" ht="23.25" customHeight="1" x14ac:dyDescent="0.3">
      <c r="A30" s="195">
        <v>4</v>
      </c>
      <c r="B30" s="366"/>
      <c r="C30" s="366"/>
      <c r="D30" s="366"/>
      <c r="E30" s="366"/>
      <c r="F30" s="366"/>
      <c r="G30" s="366"/>
      <c r="H30" s="366"/>
      <c r="I30" s="366"/>
      <c r="J30" s="366"/>
      <c r="K30" s="366"/>
      <c r="L30" s="366"/>
      <c r="M30" s="366"/>
      <c r="O30" s="490" t="str">
        <f>IF(MAX(Beräkningshjälp!U2:U60)&gt;12,"Observera att fler än 12 arter har angivits. Exelprotokollet kan","")</f>
        <v/>
      </c>
      <c r="P30" s="526"/>
    </row>
    <row r="31" spans="1:25" ht="23.25" customHeight="1" x14ac:dyDescent="0.3">
      <c r="A31" s="195">
        <v>5</v>
      </c>
      <c r="B31" s="366"/>
      <c r="C31" s="366"/>
      <c r="D31" s="366"/>
      <c r="E31" s="366"/>
      <c r="F31" s="366"/>
      <c r="G31" s="366"/>
      <c r="H31" s="366"/>
      <c r="I31" s="366"/>
      <c r="J31" s="366"/>
      <c r="K31" s="366"/>
      <c r="L31" s="366"/>
      <c r="M31" s="366"/>
      <c r="O31" s="490" t="str">
        <f>IF(MAX(Beräkningshjälp!U2:U60)&gt;12,"endast hantera max 12 arter. Arter därutöver registreras manuellt eller i separat protokoll","")</f>
        <v/>
      </c>
      <c r="P31" s="526"/>
    </row>
    <row r="32" spans="1:25" ht="23.25" customHeight="1" x14ac:dyDescent="0.25">
      <c r="A32" s="195">
        <v>6</v>
      </c>
      <c r="B32" s="366"/>
      <c r="C32" s="366"/>
      <c r="D32" s="366"/>
      <c r="E32" s="366"/>
      <c r="F32" s="366"/>
      <c r="G32" s="366"/>
      <c r="H32" s="366"/>
      <c r="I32" s="366"/>
      <c r="J32" s="366"/>
      <c r="K32" s="366"/>
      <c r="L32" s="366"/>
      <c r="M32" s="366"/>
      <c r="P32" s="526"/>
    </row>
    <row r="33" spans="1:16" ht="23.25" customHeight="1" x14ac:dyDescent="0.25">
      <c r="A33" s="195">
        <v>7</v>
      </c>
      <c r="B33" s="366"/>
      <c r="C33" s="366"/>
      <c r="D33" s="366"/>
      <c r="E33" s="366"/>
      <c r="F33" s="366"/>
      <c r="G33" s="366"/>
      <c r="H33" s="366"/>
      <c r="I33" s="366"/>
      <c r="J33" s="366"/>
      <c r="K33" s="366"/>
      <c r="L33" s="366"/>
      <c r="M33" s="366"/>
      <c r="P33" s="526"/>
    </row>
    <row r="34" spans="1:16" ht="23.25" customHeight="1" x14ac:dyDescent="0.25">
      <c r="A34" s="195">
        <v>8</v>
      </c>
      <c r="B34" s="366"/>
      <c r="C34" s="366"/>
      <c r="D34" s="366"/>
      <c r="E34" s="366"/>
      <c r="F34" s="366"/>
      <c r="G34" s="366"/>
      <c r="H34" s="366"/>
      <c r="I34" s="366"/>
      <c r="J34" s="366"/>
      <c r="K34" s="366"/>
      <c r="L34" s="366"/>
      <c r="M34" s="366"/>
      <c r="P34" s="526"/>
    </row>
    <row r="35" spans="1:16" ht="23.25" customHeight="1" x14ac:dyDescent="0.25">
      <c r="A35" s="195">
        <v>9</v>
      </c>
      <c r="B35" s="366"/>
      <c r="C35" s="366"/>
      <c r="D35" s="366"/>
      <c r="E35" s="366"/>
      <c r="F35" s="366"/>
      <c r="G35" s="366"/>
      <c r="H35" s="366"/>
      <c r="I35" s="366"/>
      <c r="J35" s="366"/>
      <c r="K35" s="366"/>
      <c r="L35" s="366"/>
      <c r="M35" s="366"/>
      <c r="P35" s="526"/>
    </row>
    <row r="36" spans="1:16" ht="23.25" customHeight="1" x14ac:dyDescent="0.25">
      <c r="A36" s="195">
        <v>10</v>
      </c>
      <c r="B36" s="366"/>
      <c r="C36" s="366"/>
      <c r="D36" s="366"/>
      <c r="E36" s="366"/>
      <c r="F36" s="366"/>
      <c r="G36" s="366"/>
      <c r="H36" s="366"/>
      <c r="I36" s="366"/>
      <c r="J36" s="366"/>
      <c r="K36" s="366"/>
      <c r="L36" s="366"/>
      <c r="M36" s="366"/>
      <c r="P36" s="526"/>
    </row>
    <row r="37" spans="1:16" ht="23.25" customHeight="1" x14ac:dyDescent="0.25">
      <c r="P37" s="526"/>
    </row>
    <row r="38" spans="1:16" ht="23.25" customHeight="1" x14ac:dyDescent="0.3">
      <c r="B38" s="195" t="s">
        <v>72</v>
      </c>
      <c r="C38" s="315"/>
      <c r="P38" s="526"/>
    </row>
    <row r="39" spans="1:16" ht="23.25" customHeight="1" x14ac:dyDescent="0.25">
      <c r="B39" s="196" t="s">
        <v>73</v>
      </c>
      <c r="C39" s="197"/>
      <c r="D39" s="196" t="s">
        <v>73</v>
      </c>
      <c r="E39" s="197"/>
      <c r="F39" s="196" t="s">
        <v>73</v>
      </c>
      <c r="G39" s="197"/>
      <c r="H39" s="196" t="s">
        <v>73</v>
      </c>
      <c r="I39" s="197"/>
      <c r="J39" s="196" t="s">
        <v>73</v>
      </c>
      <c r="K39" s="197"/>
      <c r="L39" s="196" t="s">
        <v>73</v>
      </c>
      <c r="M39" s="197"/>
      <c r="P39" s="526"/>
    </row>
    <row r="40" spans="1:16" ht="23.25" customHeight="1" x14ac:dyDescent="0.25">
      <c r="B40" s="1109"/>
      <c r="C40" s="1110"/>
      <c r="D40" s="1109"/>
      <c r="E40" s="1110"/>
      <c r="F40" s="1109"/>
      <c r="G40" s="1110"/>
      <c r="H40" s="1109"/>
      <c r="I40" s="1110"/>
      <c r="J40" s="1109"/>
      <c r="K40" s="1110"/>
      <c r="L40" s="1109"/>
      <c r="M40" s="1110"/>
      <c r="P40" s="526"/>
    </row>
    <row r="41" spans="1:16" ht="23.25" customHeight="1" x14ac:dyDescent="0.3">
      <c r="B41" s="348" t="s">
        <v>78</v>
      </c>
      <c r="C41" s="349" t="str">
        <f>IF($N$4&lt;&gt;"",$N$4,"")</f>
        <v>Längd (mm)</v>
      </c>
      <c r="D41" s="348" t="s">
        <v>78</v>
      </c>
      <c r="E41" s="349" t="str">
        <f>IF($N$4&lt;&gt;"",$N$4,"")</f>
        <v>Längd (mm)</v>
      </c>
      <c r="F41" s="348" t="s">
        <v>78</v>
      </c>
      <c r="G41" s="349" t="str">
        <f>IF($N$4&lt;&gt;"",$N$4,"")</f>
        <v>Längd (mm)</v>
      </c>
      <c r="H41" s="348" t="s">
        <v>78</v>
      </c>
      <c r="I41" s="349" t="str">
        <f>IF($N$4&lt;&gt;"",$N$4,"")</f>
        <v>Längd (mm)</v>
      </c>
      <c r="J41" s="348" t="s">
        <v>78</v>
      </c>
      <c r="K41" s="349" t="str">
        <f>IF($N$4&lt;&gt;"",$N$4,"")</f>
        <v>Längd (mm)</v>
      </c>
      <c r="L41" s="348" t="s">
        <v>78</v>
      </c>
      <c r="M41" s="349" t="str">
        <f>IF($N$4&lt;&gt;"",$N$4,"")</f>
        <v>Längd (mm)</v>
      </c>
      <c r="P41" s="526"/>
    </row>
    <row r="42" spans="1:16" ht="23.25" customHeight="1" x14ac:dyDescent="0.25">
      <c r="A42" s="195">
        <v>1</v>
      </c>
      <c r="B42" s="366"/>
      <c r="C42" s="366"/>
      <c r="D42" s="366"/>
      <c r="E42" s="366"/>
      <c r="F42" s="366"/>
      <c r="G42" s="366"/>
      <c r="H42" s="366"/>
      <c r="I42" s="366"/>
      <c r="J42" s="366"/>
      <c r="K42" s="366"/>
      <c r="L42" s="366"/>
      <c r="M42" s="366"/>
      <c r="P42" s="526"/>
    </row>
    <row r="43" spans="1:16" ht="23.25" customHeight="1" x14ac:dyDescent="0.25">
      <c r="A43" s="195">
        <v>2</v>
      </c>
      <c r="B43" s="366"/>
      <c r="C43" s="366"/>
      <c r="D43" s="366"/>
      <c r="E43" s="366"/>
      <c r="F43" s="366"/>
      <c r="G43" s="366"/>
      <c r="H43" s="366"/>
      <c r="I43" s="366"/>
      <c r="J43" s="366"/>
      <c r="K43" s="366"/>
      <c r="L43" s="366"/>
      <c r="M43" s="366"/>
      <c r="P43" s="526"/>
    </row>
    <row r="44" spans="1:16" ht="23.25" customHeight="1" x14ac:dyDescent="0.25">
      <c r="A44" s="195">
        <v>3</v>
      </c>
      <c r="B44" s="366"/>
      <c r="C44" s="366"/>
      <c r="D44" s="366"/>
      <c r="E44" s="366"/>
      <c r="F44" s="366"/>
      <c r="G44" s="366"/>
      <c r="H44" s="366"/>
      <c r="I44" s="366"/>
      <c r="J44" s="366"/>
      <c r="K44" s="366"/>
      <c r="L44" s="366"/>
      <c r="M44" s="366"/>
      <c r="P44" s="526"/>
    </row>
    <row r="45" spans="1:16" ht="23.25" customHeight="1" x14ac:dyDescent="0.25">
      <c r="A45" s="195">
        <v>4</v>
      </c>
      <c r="B45" s="366"/>
      <c r="C45" s="366"/>
      <c r="D45" s="366"/>
      <c r="E45" s="366"/>
      <c r="F45" s="366"/>
      <c r="G45" s="366"/>
      <c r="H45" s="366"/>
      <c r="I45" s="366"/>
      <c r="J45" s="366"/>
      <c r="K45" s="366"/>
      <c r="L45" s="366"/>
      <c r="M45" s="366"/>
      <c r="P45" s="526"/>
    </row>
    <row r="46" spans="1:16" ht="23.25" customHeight="1" x14ac:dyDescent="0.25">
      <c r="A46" s="195">
        <v>5</v>
      </c>
      <c r="B46" s="366"/>
      <c r="C46" s="366"/>
      <c r="D46" s="366"/>
      <c r="E46" s="366"/>
      <c r="F46" s="366"/>
      <c r="G46" s="366"/>
      <c r="H46" s="366"/>
      <c r="I46" s="366"/>
      <c r="J46" s="366"/>
      <c r="K46" s="366"/>
      <c r="L46" s="366"/>
      <c r="M46" s="366"/>
      <c r="P46" s="526"/>
    </row>
    <row r="47" spans="1:16" ht="23.25" customHeight="1" x14ac:dyDescent="0.25">
      <c r="A47" s="195">
        <v>6</v>
      </c>
      <c r="B47" s="366"/>
      <c r="C47" s="366"/>
      <c r="D47" s="366"/>
      <c r="E47" s="366"/>
      <c r="F47" s="366"/>
      <c r="G47" s="366"/>
      <c r="H47" s="366"/>
      <c r="I47" s="366"/>
      <c r="J47" s="366"/>
      <c r="K47" s="366"/>
      <c r="L47" s="366"/>
      <c r="M47" s="366"/>
      <c r="P47" s="526"/>
    </row>
    <row r="48" spans="1:16" ht="23.25" customHeight="1" x14ac:dyDescent="0.25">
      <c r="A48" s="195">
        <v>7</v>
      </c>
      <c r="B48" s="366"/>
      <c r="C48" s="366"/>
      <c r="D48" s="366"/>
      <c r="E48" s="366"/>
      <c r="F48" s="366"/>
      <c r="G48" s="366"/>
      <c r="H48" s="366"/>
      <c r="I48" s="366"/>
      <c r="J48" s="366"/>
      <c r="K48" s="366"/>
      <c r="L48" s="366"/>
      <c r="M48" s="366"/>
      <c r="P48" s="526"/>
    </row>
    <row r="49" spans="1:23" ht="23.25" customHeight="1" x14ac:dyDescent="0.25">
      <c r="A49" s="195">
        <v>8</v>
      </c>
      <c r="B49" s="366"/>
      <c r="C49" s="366"/>
      <c r="D49" s="366"/>
      <c r="E49" s="366"/>
      <c r="F49" s="366"/>
      <c r="G49" s="366"/>
      <c r="H49" s="366"/>
      <c r="I49" s="366"/>
      <c r="J49" s="366"/>
      <c r="K49" s="366"/>
      <c r="L49" s="366"/>
      <c r="M49" s="366"/>
      <c r="P49" s="526"/>
    </row>
    <row r="50" spans="1:23" ht="23.25" customHeight="1" x14ac:dyDescent="0.25">
      <c r="A50" s="195">
        <v>9</v>
      </c>
      <c r="B50" s="366"/>
      <c r="C50" s="366"/>
      <c r="D50" s="366"/>
      <c r="E50" s="366"/>
      <c r="F50" s="366"/>
      <c r="G50" s="366"/>
      <c r="H50" s="366"/>
      <c r="I50" s="366"/>
      <c r="J50" s="366"/>
      <c r="K50" s="366"/>
      <c r="L50" s="366"/>
      <c r="M50" s="366"/>
      <c r="P50" s="526"/>
    </row>
    <row r="51" spans="1:23" ht="23.25" customHeight="1" x14ac:dyDescent="0.25">
      <c r="A51" s="195">
        <v>10</v>
      </c>
      <c r="B51" s="366"/>
      <c r="C51" s="366"/>
      <c r="D51" s="366"/>
      <c r="E51" s="366"/>
      <c r="F51" s="366"/>
      <c r="G51" s="366"/>
      <c r="H51" s="366"/>
      <c r="I51" s="366"/>
      <c r="J51" s="366"/>
      <c r="K51" s="366"/>
      <c r="L51" s="366"/>
      <c r="M51" s="366"/>
      <c r="P51" s="526"/>
    </row>
    <row r="52" spans="1:23" ht="23.25" customHeight="1" x14ac:dyDescent="0.25">
      <c r="P52" s="526"/>
    </row>
    <row r="53" spans="1:23" ht="23.25" customHeight="1" x14ac:dyDescent="0.3">
      <c r="B53" s="195" t="s">
        <v>72</v>
      </c>
      <c r="C53" s="315"/>
      <c r="E53" s="195" t="s">
        <v>1492</v>
      </c>
      <c r="G53" s="1112"/>
      <c r="H53" s="1112"/>
      <c r="I53" s="1112"/>
      <c r="J53" s="1112"/>
      <c r="K53" s="1112"/>
      <c r="L53" s="1112"/>
      <c r="M53" s="1112"/>
      <c r="P53" s="526"/>
    </row>
    <row r="54" spans="1:23" ht="23.25" customHeight="1" x14ac:dyDescent="0.25">
      <c r="B54" s="196" t="s">
        <v>73</v>
      </c>
      <c r="C54" s="197"/>
      <c r="D54" s="196" t="s">
        <v>73</v>
      </c>
      <c r="E54" s="197"/>
      <c r="F54" s="196" t="s">
        <v>73</v>
      </c>
      <c r="G54" s="197"/>
      <c r="H54" s="196" t="s">
        <v>73</v>
      </c>
      <c r="I54" s="197"/>
      <c r="J54" s="196" t="s">
        <v>73</v>
      </c>
      <c r="K54" s="197"/>
      <c r="L54" s="196" t="s">
        <v>73</v>
      </c>
      <c r="M54" s="197"/>
      <c r="P54" s="526"/>
    </row>
    <row r="55" spans="1:23" ht="23.25" customHeight="1" x14ac:dyDescent="0.25">
      <c r="B55" s="1109"/>
      <c r="C55" s="1110"/>
      <c r="D55" s="1109"/>
      <c r="E55" s="1110"/>
      <c r="F55" s="1109"/>
      <c r="G55" s="1110"/>
      <c r="H55" s="1109"/>
      <c r="I55" s="1110"/>
      <c r="J55" s="1109"/>
      <c r="K55" s="1110"/>
      <c r="L55" s="1109"/>
      <c r="M55" s="1110"/>
      <c r="P55" s="526"/>
    </row>
    <row r="56" spans="1:23" ht="23.25" customHeight="1" x14ac:dyDescent="0.3">
      <c r="B56" s="348" t="s">
        <v>78</v>
      </c>
      <c r="C56" s="349" t="str">
        <f>IF($N$4&lt;&gt;"",$N$4,"")</f>
        <v>Längd (mm)</v>
      </c>
      <c r="D56" s="348" t="s">
        <v>78</v>
      </c>
      <c r="E56" s="349" t="str">
        <f>IF($N$4&lt;&gt;"",$N$4,"")</f>
        <v>Längd (mm)</v>
      </c>
      <c r="F56" s="348" t="s">
        <v>78</v>
      </c>
      <c r="G56" s="349" t="str">
        <f>IF($N$4&lt;&gt;"",$N$4,"")</f>
        <v>Längd (mm)</v>
      </c>
      <c r="H56" s="348" t="s">
        <v>78</v>
      </c>
      <c r="I56" s="349" t="str">
        <f>IF($N$4&lt;&gt;"",$N$4,"")</f>
        <v>Längd (mm)</v>
      </c>
      <c r="J56" s="348" t="s">
        <v>78</v>
      </c>
      <c r="K56" s="349" t="str">
        <f>IF($N$4&lt;&gt;"",$N$4,"")</f>
        <v>Längd (mm)</v>
      </c>
      <c r="L56" s="348" t="s">
        <v>78</v>
      </c>
      <c r="M56" s="349" t="str">
        <f>IF($N$4&lt;&gt;"",$N$4,"")</f>
        <v>Längd (mm)</v>
      </c>
      <c r="P56" s="526"/>
    </row>
    <row r="57" spans="1:23" s="158" customFormat="1" ht="23.25" customHeight="1" x14ac:dyDescent="0.25">
      <c r="A57" s="195">
        <v>1</v>
      </c>
      <c r="B57" s="366"/>
      <c r="C57" s="366"/>
      <c r="D57" s="366"/>
      <c r="E57" s="366"/>
      <c r="F57" s="366"/>
      <c r="G57" s="366"/>
      <c r="H57" s="366"/>
      <c r="I57" s="366"/>
      <c r="J57" s="366"/>
      <c r="K57" s="366"/>
      <c r="L57" s="366"/>
      <c r="M57" s="366"/>
      <c r="N57" s="195"/>
      <c r="O57" s="195"/>
      <c r="P57" s="526"/>
      <c r="Q57" s="211"/>
      <c r="R57" s="211"/>
      <c r="S57" s="211"/>
      <c r="T57" s="211"/>
      <c r="U57" s="211"/>
      <c r="V57" s="195"/>
      <c r="W57" s="195"/>
    </row>
    <row r="58" spans="1:23" s="158" customFormat="1" ht="23.25" customHeight="1" x14ac:dyDescent="0.25">
      <c r="A58" s="195">
        <v>2</v>
      </c>
      <c r="B58" s="366"/>
      <c r="C58" s="366"/>
      <c r="D58" s="366"/>
      <c r="E58" s="366"/>
      <c r="F58" s="366"/>
      <c r="G58" s="366"/>
      <c r="H58" s="366"/>
      <c r="I58" s="366"/>
      <c r="J58" s="366"/>
      <c r="K58" s="366"/>
      <c r="L58" s="366"/>
      <c r="M58" s="366"/>
      <c r="N58" s="195"/>
      <c r="O58" s="195"/>
      <c r="P58" s="526"/>
      <c r="Q58" s="211"/>
      <c r="R58" s="211"/>
      <c r="S58" s="211"/>
      <c r="T58" s="211"/>
      <c r="U58" s="211"/>
      <c r="V58" s="195"/>
      <c r="W58" s="195"/>
    </row>
    <row r="59" spans="1:23" s="158" customFormat="1" ht="23.25" customHeight="1" x14ac:dyDescent="0.25">
      <c r="A59" s="195">
        <v>3</v>
      </c>
      <c r="B59" s="366"/>
      <c r="C59" s="366"/>
      <c r="D59" s="366"/>
      <c r="E59" s="366"/>
      <c r="F59" s="366"/>
      <c r="G59" s="366"/>
      <c r="H59" s="366"/>
      <c r="I59" s="366"/>
      <c r="J59" s="366"/>
      <c r="K59" s="366"/>
      <c r="L59" s="366"/>
      <c r="M59" s="366"/>
      <c r="N59" s="195"/>
      <c r="O59" s="195"/>
      <c r="P59" s="526"/>
      <c r="Q59" s="211"/>
      <c r="R59" s="211"/>
      <c r="S59" s="211"/>
      <c r="T59" s="211"/>
      <c r="U59" s="211"/>
      <c r="V59" s="195"/>
      <c r="W59" s="195"/>
    </row>
    <row r="60" spans="1:23" s="158" customFormat="1" ht="23.25" customHeight="1" x14ac:dyDescent="0.25">
      <c r="A60" s="195">
        <v>4</v>
      </c>
      <c r="B60" s="366"/>
      <c r="C60" s="366"/>
      <c r="D60" s="366"/>
      <c r="E60" s="366"/>
      <c r="F60" s="366"/>
      <c r="G60" s="366"/>
      <c r="H60" s="366"/>
      <c r="I60" s="366"/>
      <c r="J60" s="366"/>
      <c r="K60" s="366"/>
      <c r="L60" s="366"/>
      <c r="M60" s="366"/>
      <c r="N60" s="195"/>
      <c r="O60" s="195"/>
      <c r="P60" s="526"/>
      <c r="Q60" s="211"/>
      <c r="R60" s="211"/>
      <c r="S60" s="211"/>
      <c r="T60" s="211"/>
      <c r="U60" s="211"/>
      <c r="V60" s="195"/>
      <c r="W60" s="195"/>
    </row>
    <row r="61" spans="1:23" s="158" customFormat="1" ht="23.25" customHeight="1" x14ac:dyDescent="0.25">
      <c r="A61" s="195">
        <v>5</v>
      </c>
      <c r="B61" s="366"/>
      <c r="C61" s="366"/>
      <c r="D61" s="366"/>
      <c r="E61" s="366"/>
      <c r="F61" s="366"/>
      <c r="G61" s="366"/>
      <c r="H61" s="366"/>
      <c r="I61" s="366"/>
      <c r="J61" s="366"/>
      <c r="K61" s="366"/>
      <c r="L61" s="366"/>
      <c r="M61" s="366"/>
      <c r="N61" s="195"/>
      <c r="O61" s="195"/>
      <c r="P61" s="526"/>
      <c r="Q61" s="211"/>
      <c r="R61" s="211"/>
      <c r="S61" s="211"/>
      <c r="T61" s="211"/>
      <c r="U61" s="211"/>
      <c r="V61" s="195"/>
      <c r="W61" s="195"/>
    </row>
    <row r="62" spans="1:23" s="158" customFormat="1" ht="23.25" customHeight="1" x14ac:dyDescent="0.25">
      <c r="A62" s="195">
        <v>6</v>
      </c>
      <c r="B62" s="366"/>
      <c r="C62" s="366"/>
      <c r="D62" s="366"/>
      <c r="E62" s="366"/>
      <c r="F62" s="366"/>
      <c r="G62" s="366"/>
      <c r="H62" s="366"/>
      <c r="I62" s="366"/>
      <c r="J62" s="366"/>
      <c r="K62" s="366"/>
      <c r="L62" s="366"/>
      <c r="M62" s="366"/>
      <c r="N62" s="195"/>
      <c r="O62" s="195"/>
      <c r="P62" s="526"/>
      <c r="Q62" s="211"/>
      <c r="R62" s="211"/>
      <c r="S62" s="211"/>
      <c r="T62" s="211"/>
      <c r="U62" s="211"/>
      <c r="V62" s="195"/>
      <c r="W62" s="195"/>
    </row>
    <row r="63" spans="1:23" s="158" customFormat="1" ht="23.25" customHeight="1" x14ac:dyDescent="0.25">
      <c r="A63" s="195">
        <v>7</v>
      </c>
      <c r="B63" s="366"/>
      <c r="C63" s="366"/>
      <c r="D63" s="366"/>
      <c r="E63" s="366"/>
      <c r="F63" s="366"/>
      <c r="G63" s="366"/>
      <c r="H63" s="366"/>
      <c r="I63" s="366"/>
      <c r="J63" s="366"/>
      <c r="K63" s="366"/>
      <c r="L63" s="366"/>
      <c r="M63" s="366"/>
      <c r="N63" s="195"/>
      <c r="O63" s="195"/>
      <c r="P63" s="526"/>
      <c r="Q63" s="211"/>
      <c r="R63" s="211"/>
      <c r="S63" s="211"/>
      <c r="T63" s="211"/>
      <c r="U63" s="211"/>
      <c r="V63" s="195"/>
      <c r="W63" s="195"/>
    </row>
    <row r="64" spans="1:23" s="158" customFormat="1" ht="23.25" customHeight="1" x14ac:dyDescent="0.25">
      <c r="A64" s="195">
        <v>8</v>
      </c>
      <c r="B64" s="366"/>
      <c r="C64" s="366"/>
      <c r="D64" s="366"/>
      <c r="E64" s="366"/>
      <c r="F64" s="366"/>
      <c r="G64" s="366"/>
      <c r="H64" s="366"/>
      <c r="I64" s="366"/>
      <c r="J64" s="366"/>
      <c r="K64" s="366"/>
      <c r="L64" s="366"/>
      <c r="M64" s="366"/>
      <c r="N64" s="195"/>
      <c r="O64" s="195"/>
      <c r="P64" s="526"/>
      <c r="Q64" s="211"/>
      <c r="R64" s="211"/>
      <c r="S64" s="211"/>
      <c r="T64" s="211"/>
      <c r="U64" s="211"/>
      <c r="V64" s="195"/>
      <c r="W64" s="195"/>
    </row>
    <row r="65" spans="1:23" s="158" customFormat="1" ht="23.25" customHeight="1" x14ac:dyDescent="0.25">
      <c r="A65" s="195">
        <v>9</v>
      </c>
      <c r="B65" s="366"/>
      <c r="C65" s="366"/>
      <c r="D65" s="366"/>
      <c r="E65" s="366"/>
      <c r="F65" s="366"/>
      <c r="G65" s="366"/>
      <c r="H65" s="366"/>
      <c r="I65" s="366"/>
      <c r="J65" s="366"/>
      <c r="K65" s="366"/>
      <c r="L65" s="366"/>
      <c r="M65" s="366"/>
      <c r="N65" s="195"/>
      <c r="O65" s="195"/>
      <c r="P65" s="526"/>
      <c r="Q65" s="211"/>
      <c r="R65" s="211"/>
      <c r="S65" s="211"/>
      <c r="T65" s="211"/>
      <c r="U65" s="211"/>
      <c r="V65" s="195"/>
      <c r="W65" s="195"/>
    </row>
    <row r="66" spans="1:23" s="158" customFormat="1" ht="23.25" customHeight="1" x14ac:dyDescent="0.25">
      <c r="A66" s="195">
        <v>10</v>
      </c>
      <c r="B66" s="366"/>
      <c r="C66" s="366"/>
      <c r="D66" s="366"/>
      <c r="E66" s="366"/>
      <c r="F66" s="366"/>
      <c r="G66" s="366"/>
      <c r="H66" s="366"/>
      <c r="I66" s="366"/>
      <c r="J66" s="366"/>
      <c r="K66" s="366"/>
      <c r="L66" s="366"/>
      <c r="M66" s="366"/>
      <c r="N66" s="195"/>
      <c r="O66" s="195"/>
      <c r="P66" s="526"/>
      <c r="Q66" s="211"/>
      <c r="R66" s="211"/>
      <c r="S66" s="211"/>
      <c r="T66" s="211"/>
      <c r="U66" s="211"/>
      <c r="V66" s="195"/>
      <c r="W66" s="195"/>
    </row>
    <row r="67" spans="1:23" s="158" customFormat="1" ht="23.25" customHeight="1" x14ac:dyDescent="0.25">
      <c r="A67" s="195"/>
      <c r="B67" s="291"/>
      <c r="C67" s="291"/>
      <c r="D67" s="291"/>
      <c r="E67" s="291"/>
      <c r="F67" s="291"/>
      <c r="G67" s="291"/>
      <c r="H67" s="291"/>
      <c r="I67" s="291"/>
      <c r="J67" s="291"/>
      <c r="K67" s="291"/>
      <c r="L67" s="291"/>
      <c r="M67" s="291"/>
      <c r="N67" s="195"/>
      <c r="O67" s="195"/>
      <c r="P67" s="526"/>
      <c r="Q67" s="211"/>
      <c r="R67" s="211"/>
      <c r="S67" s="211"/>
      <c r="T67" s="211"/>
      <c r="U67" s="211"/>
      <c r="V67" s="195"/>
      <c r="W67" s="195"/>
    </row>
    <row r="68" spans="1:23" s="158" customFormat="1" ht="23.25" customHeight="1" x14ac:dyDescent="0.3">
      <c r="A68" s="195"/>
      <c r="B68" s="195" t="s">
        <v>72</v>
      </c>
      <c r="C68" s="315"/>
      <c r="D68" s="195"/>
      <c r="E68" s="195"/>
      <c r="F68" s="195"/>
      <c r="G68" s="195"/>
      <c r="H68" s="195"/>
      <c r="I68" s="195"/>
      <c r="J68" s="195"/>
      <c r="K68" s="195"/>
      <c r="L68" s="195"/>
      <c r="M68" s="195"/>
      <c r="N68" s="195"/>
      <c r="O68" s="195"/>
      <c r="P68" s="526"/>
      <c r="Q68" s="211"/>
      <c r="R68" s="211"/>
      <c r="S68" s="211"/>
      <c r="T68" s="211"/>
      <c r="U68" s="211"/>
      <c r="V68" s="195"/>
      <c r="W68" s="195"/>
    </row>
    <row r="69" spans="1:23" s="158" customFormat="1" ht="23.25" customHeight="1" x14ac:dyDescent="0.25">
      <c r="A69" s="195"/>
      <c r="B69" s="196" t="s">
        <v>73</v>
      </c>
      <c r="C69" s="197"/>
      <c r="D69" s="196" t="s">
        <v>73</v>
      </c>
      <c r="E69" s="197"/>
      <c r="F69" s="196" t="s">
        <v>73</v>
      </c>
      <c r="G69" s="197"/>
      <c r="H69" s="196" t="s">
        <v>73</v>
      </c>
      <c r="I69" s="197"/>
      <c r="J69" s="196" t="s">
        <v>73</v>
      </c>
      <c r="K69" s="197"/>
      <c r="L69" s="196" t="s">
        <v>73</v>
      </c>
      <c r="M69" s="197"/>
      <c r="N69" s="195"/>
      <c r="O69" s="195"/>
      <c r="P69" s="526"/>
      <c r="Q69" s="211"/>
      <c r="R69" s="211"/>
      <c r="S69" s="211"/>
      <c r="T69" s="211"/>
      <c r="U69" s="211"/>
      <c r="V69" s="195"/>
      <c r="W69" s="195"/>
    </row>
    <row r="70" spans="1:23" s="158" customFormat="1" ht="23.25" customHeight="1" x14ac:dyDescent="0.25">
      <c r="A70" s="195"/>
      <c r="B70" s="1109"/>
      <c r="C70" s="1110"/>
      <c r="D70" s="1109"/>
      <c r="E70" s="1110"/>
      <c r="F70" s="1109"/>
      <c r="G70" s="1110"/>
      <c r="H70" s="1109"/>
      <c r="I70" s="1110"/>
      <c r="J70" s="1109"/>
      <c r="K70" s="1110"/>
      <c r="L70" s="1109"/>
      <c r="M70" s="1110"/>
      <c r="N70" s="195"/>
      <c r="O70" s="195"/>
      <c r="P70" s="526"/>
      <c r="Q70" s="211"/>
      <c r="R70" s="211"/>
      <c r="S70" s="211"/>
      <c r="T70" s="211"/>
      <c r="U70" s="211"/>
      <c r="V70" s="195"/>
      <c r="W70" s="195"/>
    </row>
    <row r="71" spans="1:23" s="158" customFormat="1" ht="23.25" customHeight="1" x14ac:dyDescent="0.3">
      <c r="A71" s="195"/>
      <c r="B71" s="348" t="s">
        <v>78</v>
      </c>
      <c r="C71" s="349" t="str">
        <f>IF($N$4&lt;&gt;"",$N$4,"")</f>
        <v>Längd (mm)</v>
      </c>
      <c r="D71" s="348" t="s">
        <v>78</v>
      </c>
      <c r="E71" s="349" t="str">
        <f>IF($N$4&lt;&gt;"",$N$4,"")</f>
        <v>Längd (mm)</v>
      </c>
      <c r="F71" s="348" t="s">
        <v>78</v>
      </c>
      <c r="G71" s="349" t="str">
        <f>IF($N$4&lt;&gt;"",$N$4,"")</f>
        <v>Längd (mm)</v>
      </c>
      <c r="H71" s="348" t="s">
        <v>78</v>
      </c>
      <c r="I71" s="349" t="str">
        <f>IF($N$4&lt;&gt;"",$N$4,"")</f>
        <v>Längd (mm)</v>
      </c>
      <c r="J71" s="348" t="s">
        <v>78</v>
      </c>
      <c r="K71" s="349" t="str">
        <f>IF($N$4&lt;&gt;"",$N$4,"")</f>
        <v>Längd (mm)</v>
      </c>
      <c r="L71" s="348" t="s">
        <v>78</v>
      </c>
      <c r="M71" s="349" t="str">
        <f>IF($N$4&lt;&gt;"",$N$4,"")</f>
        <v>Längd (mm)</v>
      </c>
      <c r="N71" s="195"/>
      <c r="O71" s="195"/>
      <c r="P71" s="526"/>
    </row>
    <row r="72" spans="1:23" s="158" customFormat="1" ht="23.25" customHeight="1" x14ac:dyDescent="0.25">
      <c r="A72" s="195">
        <v>1</v>
      </c>
      <c r="B72" s="366"/>
      <c r="C72" s="366"/>
      <c r="D72" s="366"/>
      <c r="E72" s="366"/>
      <c r="F72" s="366"/>
      <c r="G72" s="366"/>
      <c r="H72" s="366"/>
      <c r="I72" s="366"/>
      <c r="J72" s="366"/>
      <c r="K72" s="366"/>
      <c r="L72" s="366"/>
      <c r="M72" s="366"/>
      <c r="N72" s="195"/>
      <c r="O72" s="195"/>
      <c r="P72" s="526"/>
    </row>
    <row r="73" spans="1:23" s="158" customFormat="1" ht="23.25" customHeight="1" x14ac:dyDescent="0.25">
      <c r="A73" s="195">
        <v>2</v>
      </c>
      <c r="B73" s="366"/>
      <c r="C73" s="366"/>
      <c r="D73" s="366"/>
      <c r="E73" s="366"/>
      <c r="F73" s="366"/>
      <c r="G73" s="366"/>
      <c r="H73" s="366"/>
      <c r="I73" s="366"/>
      <c r="J73" s="366"/>
      <c r="K73" s="366"/>
      <c r="L73" s="366"/>
      <c r="M73" s="366"/>
      <c r="N73" s="195"/>
      <c r="O73" s="195"/>
      <c r="P73" s="526"/>
    </row>
    <row r="74" spans="1:23" s="158" customFormat="1" ht="23.25" customHeight="1" x14ac:dyDescent="0.25">
      <c r="A74" s="195">
        <v>3</v>
      </c>
      <c r="B74" s="366"/>
      <c r="C74" s="366"/>
      <c r="D74" s="366"/>
      <c r="E74" s="366"/>
      <c r="F74" s="366"/>
      <c r="G74" s="366"/>
      <c r="H74" s="366"/>
      <c r="I74" s="366"/>
      <c r="J74" s="366"/>
      <c r="K74" s="366"/>
      <c r="L74" s="366"/>
      <c r="M74" s="366"/>
      <c r="N74" s="195"/>
      <c r="O74" s="195"/>
      <c r="P74" s="526"/>
    </row>
    <row r="75" spans="1:23" s="158" customFormat="1" ht="23.25" customHeight="1" x14ac:dyDescent="0.25">
      <c r="A75" s="195">
        <v>4</v>
      </c>
      <c r="B75" s="366"/>
      <c r="C75" s="366"/>
      <c r="D75" s="366"/>
      <c r="E75" s="366"/>
      <c r="F75" s="366"/>
      <c r="G75" s="366"/>
      <c r="H75" s="366"/>
      <c r="I75" s="366"/>
      <c r="J75" s="366"/>
      <c r="K75" s="366"/>
      <c r="L75" s="366"/>
      <c r="M75" s="366"/>
      <c r="N75" s="195"/>
      <c r="O75" s="195"/>
      <c r="P75" s="526"/>
    </row>
    <row r="76" spans="1:23" s="158" customFormat="1" ht="23.25" customHeight="1" x14ac:dyDescent="0.25">
      <c r="A76" s="195">
        <v>5</v>
      </c>
      <c r="B76" s="366"/>
      <c r="C76" s="366"/>
      <c r="D76" s="366"/>
      <c r="E76" s="366"/>
      <c r="F76" s="366"/>
      <c r="G76" s="366"/>
      <c r="H76" s="366"/>
      <c r="I76" s="366"/>
      <c r="J76" s="366"/>
      <c r="K76" s="366"/>
      <c r="L76" s="366"/>
      <c r="M76" s="366"/>
      <c r="N76" s="195"/>
      <c r="O76" s="195"/>
      <c r="P76" s="526"/>
    </row>
    <row r="77" spans="1:23" s="158" customFormat="1" ht="23.25" customHeight="1" x14ac:dyDescent="0.25">
      <c r="A77" s="195">
        <v>6</v>
      </c>
      <c r="B77" s="366"/>
      <c r="C77" s="366"/>
      <c r="D77" s="366"/>
      <c r="E77" s="366"/>
      <c r="F77" s="366"/>
      <c r="G77" s="366"/>
      <c r="H77" s="366"/>
      <c r="I77" s="366"/>
      <c r="J77" s="366"/>
      <c r="K77" s="366"/>
      <c r="L77" s="366"/>
      <c r="M77" s="366"/>
      <c r="N77" s="195"/>
      <c r="O77" s="195"/>
      <c r="P77" s="526"/>
    </row>
    <row r="78" spans="1:23" s="158" customFormat="1" ht="23.25" customHeight="1" x14ac:dyDescent="0.25">
      <c r="A78" s="195">
        <v>7</v>
      </c>
      <c r="B78" s="366"/>
      <c r="C78" s="366"/>
      <c r="D78" s="366"/>
      <c r="E78" s="366"/>
      <c r="F78" s="366"/>
      <c r="G78" s="366"/>
      <c r="H78" s="366"/>
      <c r="I78" s="366"/>
      <c r="J78" s="366"/>
      <c r="K78" s="366"/>
      <c r="L78" s="366"/>
      <c r="M78" s="366"/>
      <c r="N78" s="195"/>
      <c r="O78" s="195"/>
      <c r="P78" s="526"/>
    </row>
    <row r="79" spans="1:23" s="158" customFormat="1" ht="23.25" customHeight="1" x14ac:dyDescent="0.25">
      <c r="A79" s="195">
        <v>8</v>
      </c>
      <c r="B79" s="366"/>
      <c r="C79" s="366"/>
      <c r="D79" s="366"/>
      <c r="E79" s="366"/>
      <c r="F79" s="366"/>
      <c r="G79" s="366"/>
      <c r="H79" s="366"/>
      <c r="I79" s="366"/>
      <c r="J79" s="366"/>
      <c r="K79" s="366"/>
      <c r="L79" s="366"/>
      <c r="M79" s="366"/>
      <c r="N79" s="195"/>
      <c r="O79" s="195"/>
      <c r="P79" s="526"/>
    </row>
    <row r="80" spans="1:23" s="158" customFormat="1" ht="23.25" customHeight="1" x14ac:dyDescent="0.25">
      <c r="A80" s="195">
        <v>9</v>
      </c>
      <c r="B80" s="366"/>
      <c r="C80" s="366"/>
      <c r="D80" s="366"/>
      <c r="E80" s="366"/>
      <c r="F80" s="366"/>
      <c r="G80" s="366"/>
      <c r="H80" s="366"/>
      <c r="I80" s="366"/>
      <c r="J80" s="366"/>
      <c r="K80" s="366"/>
      <c r="L80" s="366"/>
      <c r="M80" s="366"/>
      <c r="N80" s="195"/>
      <c r="O80" s="195"/>
      <c r="P80" s="526"/>
    </row>
    <row r="81" spans="1:19" s="158" customFormat="1" ht="23.25" customHeight="1" x14ac:dyDescent="0.25">
      <c r="A81" s="195">
        <v>10</v>
      </c>
      <c r="B81" s="366"/>
      <c r="C81" s="366"/>
      <c r="D81" s="366"/>
      <c r="E81" s="366"/>
      <c r="F81" s="366"/>
      <c r="G81" s="366"/>
      <c r="H81" s="366"/>
      <c r="I81" s="366"/>
      <c r="J81" s="366"/>
      <c r="K81" s="366"/>
      <c r="L81" s="366"/>
      <c r="M81" s="366"/>
      <c r="N81" s="195"/>
      <c r="O81" s="195"/>
      <c r="P81" s="526"/>
      <c r="Q81" s="211"/>
      <c r="R81" s="211"/>
      <c r="S81" s="211"/>
    </row>
    <row r="82" spans="1:19" s="158" customFormat="1" ht="23.25" customHeight="1" x14ac:dyDescent="0.25">
      <c r="A82" s="195"/>
      <c r="B82" s="291"/>
      <c r="C82" s="291"/>
      <c r="D82" s="291"/>
      <c r="E82" s="291"/>
      <c r="F82" s="291"/>
      <c r="G82" s="291"/>
      <c r="H82" s="291"/>
      <c r="I82" s="291"/>
      <c r="J82" s="291"/>
      <c r="K82" s="291"/>
      <c r="L82" s="291"/>
      <c r="M82" s="291"/>
      <c r="N82" s="195"/>
      <c r="O82" s="195"/>
      <c r="P82" s="526"/>
      <c r="Q82" s="211"/>
      <c r="R82" s="211"/>
      <c r="S82" s="211"/>
    </row>
    <row r="83" spans="1:19" s="158" customFormat="1" ht="23.25" customHeight="1" x14ac:dyDescent="0.3">
      <c r="A83" s="195"/>
      <c r="B83" s="195" t="s">
        <v>72</v>
      </c>
      <c r="C83" s="315"/>
      <c r="D83" s="195"/>
      <c r="E83" s="195"/>
      <c r="F83" s="195"/>
      <c r="G83" s="195"/>
      <c r="H83" s="195"/>
      <c r="I83" s="195"/>
      <c r="J83" s="195"/>
      <c r="K83" s="195"/>
      <c r="L83" s="195"/>
      <c r="M83" s="195"/>
      <c r="N83" s="195"/>
      <c r="O83" s="195"/>
      <c r="P83" s="526"/>
      <c r="Q83" s="211"/>
      <c r="R83" s="211"/>
      <c r="S83" s="211"/>
    </row>
    <row r="84" spans="1:19" s="158" customFormat="1" ht="23.25" customHeight="1" x14ac:dyDescent="0.25">
      <c r="A84" s="195"/>
      <c r="B84" s="196" t="s">
        <v>73</v>
      </c>
      <c r="C84" s="197"/>
      <c r="D84" s="196" t="s">
        <v>73</v>
      </c>
      <c r="E84" s="197"/>
      <c r="F84" s="196" t="s">
        <v>73</v>
      </c>
      <c r="G84" s="197"/>
      <c r="H84" s="196" t="s">
        <v>73</v>
      </c>
      <c r="I84" s="197"/>
      <c r="J84" s="196" t="s">
        <v>73</v>
      </c>
      <c r="K84" s="197"/>
      <c r="L84" s="196" t="s">
        <v>73</v>
      </c>
      <c r="M84" s="197"/>
      <c r="N84" s="195"/>
      <c r="O84" s="195"/>
      <c r="P84" s="526"/>
      <c r="Q84" s="211"/>
      <c r="R84" s="211"/>
      <c r="S84" s="211"/>
    </row>
    <row r="85" spans="1:19" s="158" customFormat="1" ht="23.25" customHeight="1" x14ac:dyDescent="0.25">
      <c r="A85" s="195"/>
      <c r="B85" s="1109"/>
      <c r="C85" s="1110"/>
      <c r="D85" s="1109"/>
      <c r="E85" s="1110"/>
      <c r="F85" s="1109"/>
      <c r="G85" s="1110"/>
      <c r="H85" s="1109"/>
      <c r="I85" s="1110"/>
      <c r="J85" s="1109"/>
      <c r="K85" s="1110"/>
      <c r="L85" s="1109"/>
      <c r="M85" s="1110"/>
      <c r="N85" s="195"/>
      <c r="O85" s="195"/>
      <c r="P85" s="526"/>
      <c r="Q85" s="211"/>
      <c r="R85" s="211"/>
      <c r="S85" s="211"/>
    </row>
    <row r="86" spans="1:19" s="158" customFormat="1" ht="23.25" customHeight="1" x14ac:dyDescent="0.3">
      <c r="A86" s="195"/>
      <c r="B86" s="348" t="s">
        <v>78</v>
      </c>
      <c r="C86" s="349" t="str">
        <f>IF($N$4&lt;&gt;"",$N$4,"")</f>
        <v>Längd (mm)</v>
      </c>
      <c r="D86" s="348" t="s">
        <v>78</v>
      </c>
      <c r="E86" s="349" t="str">
        <f>IF($N$4&lt;&gt;"",$N$4,"")</f>
        <v>Längd (mm)</v>
      </c>
      <c r="F86" s="348" t="s">
        <v>78</v>
      </c>
      <c r="G86" s="349" t="str">
        <f>IF($N$4&lt;&gt;"",$N$4,"")</f>
        <v>Längd (mm)</v>
      </c>
      <c r="H86" s="348" t="s">
        <v>78</v>
      </c>
      <c r="I86" s="349" t="str">
        <f>IF($N$4&lt;&gt;"",$N$4,"")</f>
        <v>Längd (mm)</v>
      </c>
      <c r="J86" s="348" t="s">
        <v>78</v>
      </c>
      <c r="K86" s="349" t="str">
        <f>IF($N$4&lt;&gt;"",$N$4,"")</f>
        <v>Längd (mm)</v>
      </c>
      <c r="L86" s="348" t="s">
        <v>78</v>
      </c>
      <c r="M86" s="349" t="str">
        <f>IF($N$4&lt;&gt;"",$N$4,"")</f>
        <v>Längd (mm)</v>
      </c>
      <c r="N86" s="195"/>
      <c r="O86" s="195"/>
      <c r="P86" s="526"/>
      <c r="Q86" s="211"/>
      <c r="R86" s="211"/>
      <c r="S86" s="211"/>
    </row>
    <row r="87" spans="1:19" s="158" customFormat="1" ht="23.25" customHeight="1" x14ac:dyDescent="0.25">
      <c r="A87" s="195">
        <v>1</v>
      </c>
      <c r="B87" s="366"/>
      <c r="C87" s="366"/>
      <c r="D87" s="366"/>
      <c r="E87" s="366"/>
      <c r="F87" s="366"/>
      <c r="G87" s="366"/>
      <c r="H87" s="366"/>
      <c r="I87" s="366"/>
      <c r="J87" s="366"/>
      <c r="K87" s="366"/>
      <c r="L87" s="366"/>
      <c r="M87" s="366"/>
      <c r="N87" s="195"/>
      <c r="O87" s="195"/>
      <c r="P87" s="526"/>
      <c r="Q87" s="211"/>
      <c r="R87" s="211"/>
      <c r="S87" s="211"/>
    </row>
    <row r="88" spans="1:19" s="158" customFormat="1" ht="23.25" customHeight="1" x14ac:dyDescent="0.25">
      <c r="A88" s="195">
        <v>2</v>
      </c>
      <c r="B88" s="366"/>
      <c r="C88" s="366"/>
      <c r="D88" s="366"/>
      <c r="E88" s="366"/>
      <c r="F88" s="366"/>
      <c r="G88" s="366"/>
      <c r="H88" s="366"/>
      <c r="I88" s="366"/>
      <c r="J88" s="366"/>
      <c r="K88" s="366"/>
      <c r="L88" s="366"/>
      <c r="M88" s="366"/>
      <c r="N88" s="195"/>
      <c r="O88" s="195"/>
      <c r="P88" s="526"/>
      <c r="Q88" s="211"/>
      <c r="R88" s="211"/>
      <c r="S88" s="211"/>
    </row>
    <row r="89" spans="1:19" s="158" customFormat="1" ht="23.25" customHeight="1" x14ac:dyDescent="0.25">
      <c r="A89" s="195">
        <v>3</v>
      </c>
      <c r="B89" s="366"/>
      <c r="C89" s="366"/>
      <c r="D89" s="366"/>
      <c r="E89" s="366"/>
      <c r="F89" s="366"/>
      <c r="G89" s="366"/>
      <c r="H89" s="366"/>
      <c r="I89" s="366"/>
      <c r="J89" s="366"/>
      <c r="K89" s="366"/>
      <c r="L89" s="366"/>
      <c r="M89" s="366"/>
      <c r="N89" s="195"/>
      <c r="O89" s="195"/>
      <c r="P89" s="526"/>
      <c r="Q89" s="211"/>
      <c r="R89" s="211"/>
      <c r="S89" s="211"/>
    </row>
    <row r="90" spans="1:19" s="158" customFormat="1" ht="23.25" customHeight="1" x14ac:dyDescent="0.25">
      <c r="A90" s="195">
        <v>4</v>
      </c>
      <c r="B90" s="366"/>
      <c r="C90" s="366"/>
      <c r="D90" s="366"/>
      <c r="E90" s="366"/>
      <c r="F90" s="366"/>
      <c r="G90" s="366"/>
      <c r="H90" s="366"/>
      <c r="I90" s="366"/>
      <c r="J90" s="366"/>
      <c r="K90" s="366"/>
      <c r="L90" s="366"/>
      <c r="M90" s="366"/>
      <c r="N90" s="195"/>
      <c r="O90" s="195"/>
      <c r="P90" s="526"/>
      <c r="Q90" s="211"/>
      <c r="R90" s="211"/>
      <c r="S90" s="211"/>
    </row>
    <row r="91" spans="1:19" s="158" customFormat="1" ht="23.25" customHeight="1" x14ac:dyDescent="0.25">
      <c r="A91" s="195">
        <v>5</v>
      </c>
      <c r="B91" s="366"/>
      <c r="C91" s="366"/>
      <c r="D91" s="366"/>
      <c r="E91" s="366"/>
      <c r="F91" s="366"/>
      <c r="G91" s="366"/>
      <c r="H91" s="366"/>
      <c r="I91" s="366"/>
      <c r="J91" s="366"/>
      <c r="K91" s="366"/>
      <c r="L91" s="366"/>
      <c r="M91" s="366"/>
      <c r="N91" s="195"/>
      <c r="O91" s="195"/>
      <c r="P91" s="526"/>
      <c r="Q91" s="211"/>
      <c r="R91" s="211"/>
      <c r="S91" s="211"/>
    </row>
    <row r="92" spans="1:19" s="158" customFormat="1" ht="23.25" customHeight="1" x14ac:dyDescent="0.25">
      <c r="A92" s="195">
        <v>6</v>
      </c>
      <c r="B92" s="366"/>
      <c r="C92" s="366"/>
      <c r="D92" s="366"/>
      <c r="E92" s="366"/>
      <c r="F92" s="366"/>
      <c r="G92" s="366"/>
      <c r="H92" s="366"/>
      <c r="I92" s="366"/>
      <c r="J92" s="366"/>
      <c r="K92" s="366"/>
      <c r="L92" s="366"/>
      <c r="M92" s="366"/>
      <c r="N92" s="195"/>
      <c r="O92" s="195"/>
      <c r="P92" s="526"/>
      <c r="Q92" s="211"/>
      <c r="R92" s="211"/>
      <c r="S92" s="211"/>
    </row>
    <row r="93" spans="1:19" s="158" customFormat="1" ht="23.25" customHeight="1" x14ac:dyDescent="0.25">
      <c r="A93" s="195">
        <v>7</v>
      </c>
      <c r="B93" s="366"/>
      <c r="C93" s="366"/>
      <c r="D93" s="366"/>
      <c r="E93" s="366"/>
      <c r="F93" s="366"/>
      <c r="G93" s="366"/>
      <c r="H93" s="366"/>
      <c r="I93" s="366"/>
      <c r="J93" s="366"/>
      <c r="K93" s="366"/>
      <c r="L93" s="366"/>
      <c r="M93" s="366"/>
      <c r="N93" s="195"/>
      <c r="O93" s="195"/>
      <c r="P93" s="526"/>
      <c r="Q93" s="211"/>
      <c r="R93" s="211"/>
      <c r="S93" s="211"/>
    </row>
    <row r="94" spans="1:19" s="158" customFormat="1" ht="23.25" customHeight="1" x14ac:dyDescent="0.25">
      <c r="A94" s="195">
        <v>8</v>
      </c>
      <c r="B94" s="366"/>
      <c r="C94" s="366"/>
      <c r="D94" s="366"/>
      <c r="E94" s="366"/>
      <c r="F94" s="366"/>
      <c r="G94" s="366"/>
      <c r="H94" s="366"/>
      <c r="I94" s="366"/>
      <c r="J94" s="366"/>
      <c r="K94" s="366"/>
      <c r="L94" s="366"/>
      <c r="M94" s="366"/>
      <c r="N94" s="195"/>
      <c r="O94" s="195"/>
      <c r="P94" s="526"/>
      <c r="Q94" s="211"/>
      <c r="R94" s="211"/>
      <c r="S94" s="211"/>
    </row>
    <row r="95" spans="1:19" s="158" customFormat="1" ht="23.25" customHeight="1" x14ac:dyDescent="0.25">
      <c r="A95" s="195">
        <v>9</v>
      </c>
      <c r="B95" s="366"/>
      <c r="C95" s="366"/>
      <c r="D95" s="366"/>
      <c r="E95" s="366"/>
      <c r="F95" s="366"/>
      <c r="G95" s="366"/>
      <c r="H95" s="366"/>
      <c r="I95" s="366"/>
      <c r="J95" s="366"/>
      <c r="K95" s="366"/>
      <c r="L95" s="366"/>
      <c r="M95" s="366"/>
      <c r="N95" s="195"/>
      <c r="O95" s="195"/>
      <c r="P95" s="526"/>
      <c r="Q95" s="211"/>
      <c r="R95" s="211"/>
      <c r="S95" s="211"/>
    </row>
    <row r="96" spans="1:19" s="158" customFormat="1" ht="23.25" customHeight="1" x14ac:dyDescent="0.25">
      <c r="A96" s="195">
        <v>10</v>
      </c>
      <c r="B96" s="366"/>
      <c r="C96" s="366"/>
      <c r="D96" s="366"/>
      <c r="E96" s="366"/>
      <c r="F96" s="366"/>
      <c r="G96" s="366"/>
      <c r="H96" s="366"/>
      <c r="I96" s="366"/>
      <c r="J96" s="366"/>
      <c r="K96" s="366"/>
      <c r="L96" s="366"/>
      <c r="M96" s="366"/>
      <c r="N96" s="195"/>
      <c r="O96" s="195"/>
      <c r="P96" s="526"/>
      <c r="Q96" s="211"/>
      <c r="R96" s="211"/>
      <c r="S96" s="211"/>
    </row>
    <row r="97" spans="1:19" s="158" customFormat="1" ht="23.25" customHeight="1" x14ac:dyDescent="0.25">
      <c r="A97" s="195"/>
      <c r="B97" s="195"/>
      <c r="C97" s="195"/>
      <c r="D97" s="195"/>
      <c r="E97" s="195"/>
      <c r="F97" s="195"/>
      <c r="G97" s="195"/>
      <c r="H97" s="195"/>
      <c r="I97" s="195"/>
      <c r="J97" s="195"/>
      <c r="K97" s="195"/>
      <c r="L97" s="195"/>
      <c r="M97" s="195"/>
      <c r="N97" s="195"/>
      <c r="O97" s="195"/>
      <c r="P97" s="526"/>
      <c r="Q97" s="211"/>
      <c r="R97" s="211"/>
      <c r="S97" s="211"/>
    </row>
    <row r="98" spans="1:19" ht="23.25" customHeight="1" x14ac:dyDescent="0.3">
      <c r="B98" s="195" t="s">
        <v>72</v>
      </c>
      <c r="C98" s="315"/>
      <c r="E98" s="195" t="s">
        <v>1492</v>
      </c>
      <c r="G98" s="1112"/>
      <c r="H98" s="1112"/>
      <c r="I98" s="1112"/>
      <c r="J98" s="1112"/>
      <c r="K98" s="1112"/>
      <c r="L98" s="1112"/>
      <c r="M98" s="1112"/>
      <c r="P98" s="526"/>
    </row>
    <row r="99" spans="1:19" ht="23.25" customHeight="1" x14ac:dyDescent="0.25">
      <c r="B99" s="196" t="s">
        <v>73</v>
      </c>
      <c r="C99" s="197"/>
      <c r="D99" s="196" t="s">
        <v>73</v>
      </c>
      <c r="E99" s="197"/>
      <c r="F99" s="196" t="s">
        <v>73</v>
      </c>
      <c r="G99" s="197"/>
      <c r="H99" s="196" t="s">
        <v>73</v>
      </c>
      <c r="I99" s="197"/>
      <c r="J99" s="196" t="s">
        <v>73</v>
      </c>
      <c r="K99" s="197"/>
      <c r="L99" s="196" t="s">
        <v>73</v>
      </c>
      <c r="M99" s="197"/>
      <c r="P99" s="526"/>
    </row>
    <row r="100" spans="1:19" ht="23.25" customHeight="1" x14ac:dyDescent="0.25">
      <c r="B100" s="1109"/>
      <c r="C100" s="1110"/>
      <c r="D100" s="1109"/>
      <c r="E100" s="1110"/>
      <c r="F100" s="1109"/>
      <c r="G100" s="1110"/>
      <c r="H100" s="1109"/>
      <c r="I100" s="1110"/>
      <c r="J100" s="1109"/>
      <c r="K100" s="1110"/>
      <c r="L100" s="1109"/>
      <c r="M100" s="1110"/>
      <c r="P100" s="526"/>
    </row>
    <row r="101" spans="1:19" ht="23.25" customHeight="1" x14ac:dyDescent="0.3">
      <c r="B101" s="348" t="s">
        <v>78</v>
      </c>
      <c r="C101" s="349" t="str">
        <f>IF($N$4&lt;&gt;"",$N$4,"")</f>
        <v>Längd (mm)</v>
      </c>
      <c r="D101" s="348" t="s">
        <v>78</v>
      </c>
      <c r="E101" s="349" t="str">
        <f>IF($N$4&lt;&gt;"",$N$4,"")</f>
        <v>Längd (mm)</v>
      </c>
      <c r="F101" s="348" t="s">
        <v>78</v>
      </c>
      <c r="G101" s="349" t="str">
        <f>IF($N$4&lt;&gt;"",$N$4,"")</f>
        <v>Längd (mm)</v>
      </c>
      <c r="H101" s="348" t="s">
        <v>78</v>
      </c>
      <c r="I101" s="349" t="str">
        <f>IF($N$4&lt;&gt;"",$N$4,"")</f>
        <v>Längd (mm)</v>
      </c>
      <c r="J101" s="348" t="s">
        <v>78</v>
      </c>
      <c r="K101" s="349" t="str">
        <f>IF($N$4&lt;&gt;"",$N$4,"")</f>
        <v>Längd (mm)</v>
      </c>
      <c r="L101" s="348" t="s">
        <v>78</v>
      </c>
      <c r="M101" s="349" t="str">
        <f>IF($N$4&lt;&gt;"",$N$4,"")</f>
        <v>Längd (mm)</v>
      </c>
      <c r="P101" s="526"/>
    </row>
    <row r="102" spans="1:19" ht="23.25" customHeight="1" x14ac:dyDescent="0.25">
      <c r="A102" s="195">
        <v>1</v>
      </c>
      <c r="B102" s="366"/>
      <c r="C102" s="366"/>
      <c r="D102" s="366"/>
      <c r="E102" s="366"/>
      <c r="F102" s="366"/>
      <c r="G102" s="366"/>
      <c r="H102" s="366"/>
      <c r="I102" s="366"/>
      <c r="J102" s="366"/>
      <c r="K102" s="366"/>
      <c r="L102" s="366"/>
      <c r="M102" s="366"/>
      <c r="P102" s="526"/>
    </row>
    <row r="103" spans="1:19" ht="23.25" customHeight="1" x14ac:dyDescent="0.25">
      <c r="A103" s="195">
        <v>2</v>
      </c>
      <c r="B103" s="366"/>
      <c r="C103" s="366"/>
      <c r="D103" s="366"/>
      <c r="E103" s="366"/>
      <c r="F103" s="366"/>
      <c r="G103" s="366"/>
      <c r="H103" s="366"/>
      <c r="I103" s="366"/>
      <c r="J103" s="366"/>
      <c r="K103" s="366"/>
      <c r="L103" s="366"/>
      <c r="M103" s="366"/>
      <c r="P103" s="526"/>
    </row>
    <row r="104" spans="1:19" ht="23.25" customHeight="1" x14ac:dyDescent="0.25">
      <c r="A104" s="195">
        <v>3</v>
      </c>
      <c r="B104" s="366"/>
      <c r="C104" s="366"/>
      <c r="D104" s="366"/>
      <c r="E104" s="366"/>
      <c r="F104" s="366"/>
      <c r="G104" s="366"/>
      <c r="H104" s="366"/>
      <c r="I104" s="366"/>
      <c r="J104" s="366"/>
      <c r="K104" s="366"/>
      <c r="L104" s="366"/>
      <c r="M104" s="366"/>
      <c r="P104" s="526"/>
    </row>
    <row r="105" spans="1:19" ht="23.25" customHeight="1" x14ac:dyDescent="0.25">
      <c r="A105" s="195">
        <v>4</v>
      </c>
      <c r="B105" s="366"/>
      <c r="C105" s="366"/>
      <c r="D105" s="366"/>
      <c r="E105" s="366"/>
      <c r="F105" s="366"/>
      <c r="G105" s="366"/>
      <c r="H105" s="366"/>
      <c r="I105" s="366"/>
      <c r="J105" s="366"/>
      <c r="K105" s="366"/>
      <c r="L105" s="366"/>
      <c r="M105" s="366"/>
      <c r="P105" s="526"/>
    </row>
    <row r="106" spans="1:19" ht="23.25" customHeight="1" x14ac:dyDescent="0.25">
      <c r="A106" s="195">
        <v>5</v>
      </c>
      <c r="B106" s="366"/>
      <c r="C106" s="366"/>
      <c r="D106" s="366"/>
      <c r="E106" s="366"/>
      <c r="F106" s="366"/>
      <c r="G106" s="366"/>
      <c r="H106" s="366"/>
      <c r="I106" s="366"/>
      <c r="J106" s="366"/>
      <c r="K106" s="366"/>
      <c r="L106" s="366"/>
      <c r="M106" s="366"/>
      <c r="P106" s="526"/>
    </row>
    <row r="107" spans="1:19" ht="23.25" customHeight="1" x14ac:dyDescent="0.25">
      <c r="A107" s="195">
        <v>6</v>
      </c>
      <c r="B107" s="366"/>
      <c r="C107" s="366"/>
      <c r="D107" s="366"/>
      <c r="E107" s="366"/>
      <c r="F107" s="366"/>
      <c r="G107" s="366"/>
      <c r="H107" s="366"/>
      <c r="I107" s="366"/>
      <c r="J107" s="366"/>
      <c r="K107" s="366"/>
      <c r="L107" s="366"/>
      <c r="M107" s="366"/>
      <c r="P107" s="526"/>
    </row>
    <row r="108" spans="1:19" ht="23.25" customHeight="1" x14ac:dyDescent="0.25">
      <c r="A108" s="195">
        <v>7</v>
      </c>
      <c r="B108" s="366"/>
      <c r="C108" s="366"/>
      <c r="D108" s="366"/>
      <c r="E108" s="366"/>
      <c r="F108" s="366"/>
      <c r="G108" s="366"/>
      <c r="H108" s="366"/>
      <c r="I108" s="366"/>
      <c r="J108" s="366"/>
      <c r="K108" s="366"/>
      <c r="L108" s="366"/>
      <c r="M108" s="366"/>
      <c r="P108" s="526"/>
    </row>
    <row r="109" spans="1:19" ht="23.25" customHeight="1" x14ac:dyDescent="0.25">
      <c r="A109" s="195">
        <v>8</v>
      </c>
      <c r="B109" s="366"/>
      <c r="C109" s="366"/>
      <c r="D109" s="366"/>
      <c r="E109" s="366"/>
      <c r="F109" s="366"/>
      <c r="G109" s="366"/>
      <c r="H109" s="366"/>
      <c r="I109" s="366"/>
      <c r="J109" s="366"/>
      <c r="K109" s="366"/>
      <c r="L109" s="366"/>
      <c r="M109" s="366"/>
      <c r="P109" s="526"/>
    </row>
    <row r="110" spans="1:19" ht="23.25" customHeight="1" x14ac:dyDescent="0.25">
      <c r="A110" s="195">
        <v>9</v>
      </c>
      <c r="B110" s="366"/>
      <c r="C110" s="366"/>
      <c r="D110" s="366"/>
      <c r="E110" s="366"/>
      <c r="F110" s="366"/>
      <c r="G110" s="366"/>
      <c r="H110" s="366"/>
      <c r="I110" s="366"/>
      <c r="J110" s="366"/>
      <c r="K110" s="366"/>
      <c r="L110" s="366"/>
      <c r="M110" s="366"/>
      <c r="P110" s="526"/>
    </row>
    <row r="111" spans="1:19" ht="23.25" customHeight="1" x14ac:dyDescent="0.25">
      <c r="A111" s="195">
        <v>10</v>
      </c>
      <c r="B111" s="366"/>
      <c r="C111" s="366"/>
      <c r="D111" s="366"/>
      <c r="E111" s="366"/>
      <c r="F111" s="366"/>
      <c r="G111" s="366"/>
      <c r="H111" s="366"/>
      <c r="I111" s="366"/>
      <c r="J111" s="366"/>
      <c r="K111" s="366"/>
      <c r="L111" s="366"/>
      <c r="M111" s="366"/>
      <c r="P111" s="526"/>
    </row>
    <row r="112" spans="1:19" ht="23.25" customHeight="1" x14ac:dyDescent="0.25">
      <c r="P112" s="526"/>
    </row>
    <row r="113" spans="1:23" ht="23.25" customHeight="1" x14ac:dyDescent="0.3">
      <c r="B113" s="195" t="s">
        <v>72</v>
      </c>
      <c r="C113" s="315"/>
      <c r="P113" s="526"/>
    </row>
    <row r="114" spans="1:23" ht="23.25" customHeight="1" x14ac:dyDescent="0.25">
      <c r="B114" s="196" t="s">
        <v>73</v>
      </c>
      <c r="C114" s="197"/>
      <c r="D114" s="196" t="s">
        <v>73</v>
      </c>
      <c r="E114" s="197"/>
      <c r="F114" s="196" t="s">
        <v>73</v>
      </c>
      <c r="G114" s="197"/>
      <c r="H114" s="196" t="s">
        <v>73</v>
      </c>
      <c r="I114" s="197"/>
      <c r="J114" s="196" t="s">
        <v>73</v>
      </c>
      <c r="K114" s="197"/>
      <c r="L114" s="196" t="s">
        <v>73</v>
      </c>
      <c r="M114" s="197"/>
      <c r="P114" s="526"/>
      <c r="Q114" s="7"/>
      <c r="R114" s="7"/>
      <c r="S114" s="7"/>
      <c r="T114" s="7"/>
      <c r="U114" s="7"/>
      <c r="V114" s="7"/>
      <c r="W114" s="7"/>
    </row>
    <row r="115" spans="1:23" ht="23.25" customHeight="1" x14ac:dyDescent="0.25">
      <c r="B115" s="1109"/>
      <c r="C115" s="1110"/>
      <c r="D115" s="1109"/>
      <c r="E115" s="1110"/>
      <c r="F115" s="1109"/>
      <c r="G115" s="1110"/>
      <c r="H115" s="1109"/>
      <c r="I115" s="1110"/>
      <c r="J115" s="1109"/>
      <c r="K115" s="1110"/>
      <c r="L115" s="1109"/>
      <c r="M115" s="1110"/>
      <c r="P115" s="526"/>
      <c r="Q115" s="7"/>
      <c r="R115" s="7"/>
      <c r="S115" s="7"/>
      <c r="T115" s="7"/>
      <c r="U115" s="7"/>
      <c r="V115" s="7"/>
      <c r="W115" s="7"/>
    </row>
    <row r="116" spans="1:23" ht="23.25" customHeight="1" x14ac:dyDescent="0.3">
      <c r="B116" s="348" t="s">
        <v>78</v>
      </c>
      <c r="C116" s="349" t="str">
        <f>IF($N$4&lt;&gt;"",$N$4,"")</f>
        <v>Längd (mm)</v>
      </c>
      <c r="D116" s="348" t="s">
        <v>78</v>
      </c>
      <c r="E116" s="349" t="str">
        <f>IF($N$4&lt;&gt;"",$N$4,"")</f>
        <v>Längd (mm)</v>
      </c>
      <c r="F116" s="348" t="s">
        <v>78</v>
      </c>
      <c r="G116" s="349" t="str">
        <f>IF($N$4&lt;&gt;"",$N$4,"")</f>
        <v>Längd (mm)</v>
      </c>
      <c r="H116" s="348" t="s">
        <v>78</v>
      </c>
      <c r="I116" s="349" t="str">
        <f>IF($N$4&lt;&gt;"",$N$4,"")</f>
        <v>Längd (mm)</v>
      </c>
      <c r="J116" s="348" t="s">
        <v>78</v>
      </c>
      <c r="K116" s="349" t="str">
        <f>IF($N$4&lt;&gt;"",$N$4,"")</f>
        <v>Längd (mm)</v>
      </c>
      <c r="L116" s="348" t="s">
        <v>78</v>
      </c>
      <c r="M116" s="349" t="str">
        <f>IF($N$4&lt;&gt;"",$N$4,"")</f>
        <v>Längd (mm)</v>
      </c>
      <c r="P116" s="526"/>
      <c r="Q116" s="7"/>
      <c r="R116" s="7"/>
      <c r="S116" s="7"/>
      <c r="T116" s="7"/>
      <c r="U116" s="7"/>
      <c r="V116" s="7"/>
      <c r="W116" s="7"/>
    </row>
    <row r="117" spans="1:23" ht="23.25" customHeight="1" x14ac:dyDescent="0.25">
      <c r="A117" s="195">
        <v>1</v>
      </c>
      <c r="B117" s="366"/>
      <c r="C117" s="366"/>
      <c r="D117" s="366"/>
      <c r="E117" s="366"/>
      <c r="F117" s="366"/>
      <c r="G117" s="366"/>
      <c r="H117" s="366"/>
      <c r="I117" s="366"/>
      <c r="J117" s="366"/>
      <c r="K117" s="366"/>
      <c r="L117" s="366"/>
      <c r="M117" s="366"/>
      <c r="P117" s="526"/>
      <c r="Q117" s="7"/>
      <c r="R117" s="7"/>
      <c r="S117" s="7"/>
      <c r="T117" s="7"/>
      <c r="U117" s="7"/>
      <c r="V117" s="7"/>
      <c r="W117" s="7"/>
    </row>
    <row r="118" spans="1:23" ht="23.25" customHeight="1" x14ac:dyDescent="0.25">
      <c r="A118" s="195">
        <v>2</v>
      </c>
      <c r="B118" s="366"/>
      <c r="C118" s="366"/>
      <c r="D118" s="366"/>
      <c r="E118" s="366"/>
      <c r="F118" s="366"/>
      <c r="G118" s="366"/>
      <c r="H118" s="366"/>
      <c r="I118" s="366"/>
      <c r="J118" s="366"/>
      <c r="K118" s="366"/>
      <c r="L118" s="366"/>
      <c r="M118" s="366"/>
      <c r="P118" s="526"/>
      <c r="Q118" s="7"/>
      <c r="R118" s="7"/>
      <c r="S118" s="7"/>
      <c r="T118" s="7"/>
      <c r="U118" s="7"/>
      <c r="V118" s="7"/>
      <c r="W118" s="7"/>
    </row>
    <row r="119" spans="1:23" ht="23.25" customHeight="1" x14ac:dyDescent="0.25">
      <c r="A119" s="195">
        <v>3</v>
      </c>
      <c r="B119" s="366"/>
      <c r="C119" s="366"/>
      <c r="D119" s="366"/>
      <c r="E119" s="366"/>
      <c r="F119" s="366"/>
      <c r="G119" s="366"/>
      <c r="H119" s="366"/>
      <c r="I119" s="366"/>
      <c r="J119" s="366"/>
      <c r="K119" s="366"/>
      <c r="L119" s="366"/>
      <c r="M119" s="366"/>
      <c r="P119" s="526"/>
      <c r="Q119" s="7"/>
      <c r="R119" s="7"/>
      <c r="S119" s="7"/>
      <c r="T119" s="7"/>
      <c r="U119" s="7"/>
      <c r="V119" s="7"/>
      <c r="W119" s="7"/>
    </row>
    <row r="120" spans="1:23" ht="23.25" customHeight="1" x14ac:dyDescent="0.25">
      <c r="A120" s="195">
        <v>4</v>
      </c>
      <c r="B120" s="366"/>
      <c r="C120" s="366"/>
      <c r="D120" s="366"/>
      <c r="E120" s="366"/>
      <c r="F120" s="366"/>
      <c r="G120" s="366"/>
      <c r="H120" s="366"/>
      <c r="I120" s="366"/>
      <c r="J120" s="366"/>
      <c r="K120" s="366"/>
      <c r="L120" s="366"/>
      <c r="M120" s="366"/>
      <c r="P120" s="526"/>
      <c r="Q120" s="7"/>
      <c r="R120" s="7"/>
      <c r="S120" s="7"/>
      <c r="T120" s="7"/>
      <c r="U120" s="7"/>
      <c r="V120" s="7"/>
      <c r="W120" s="7"/>
    </row>
    <row r="121" spans="1:23" ht="23.25" customHeight="1" x14ac:dyDescent="0.25">
      <c r="A121" s="195">
        <v>5</v>
      </c>
      <c r="B121" s="366"/>
      <c r="C121" s="366"/>
      <c r="D121" s="366"/>
      <c r="E121" s="366"/>
      <c r="F121" s="366"/>
      <c r="G121" s="366"/>
      <c r="H121" s="366"/>
      <c r="I121" s="366"/>
      <c r="J121" s="366"/>
      <c r="K121" s="366"/>
      <c r="L121" s="366"/>
      <c r="M121" s="366"/>
      <c r="P121" s="526"/>
      <c r="Q121" s="7"/>
      <c r="R121" s="7"/>
      <c r="S121" s="7"/>
      <c r="T121" s="7"/>
      <c r="U121" s="7"/>
      <c r="V121" s="7"/>
      <c r="W121" s="7"/>
    </row>
    <row r="122" spans="1:23" ht="23.25" customHeight="1" x14ac:dyDescent="0.25">
      <c r="A122" s="195">
        <v>6</v>
      </c>
      <c r="B122" s="366"/>
      <c r="C122" s="366"/>
      <c r="D122" s="366"/>
      <c r="E122" s="366"/>
      <c r="F122" s="366"/>
      <c r="G122" s="366"/>
      <c r="H122" s="366"/>
      <c r="I122" s="366"/>
      <c r="J122" s="366"/>
      <c r="K122" s="366"/>
      <c r="L122" s="366"/>
      <c r="M122" s="366"/>
      <c r="P122" s="526"/>
      <c r="Q122" s="7"/>
      <c r="R122" s="7"/>
      <c r="S122" s="7"/>
      <c r="T122" s="7"/>
      <c r="U122" s="7"/>
      <c r="V122" s="7"/>
      <c r="W122" s="7"/>
    </row>
    <row r="123" spans="1:23" ht="23.25" customHeight="1" x14ac:dyDescent="0.25">
      <c r="A123" s="195">
        <v>7</v>
      </c>
      <c r="B123" s="366"/>
      <c r="C123" s="366"/>
      <c r="D123" s="366"/>
      <c r="E123" s="366"/>
      <c r="F123" s="366"/>
      <c r="G123" s="366"/>
      <c r="H123" s="366"/>
      <c r="I123" s="366"/>
      <c r="J123" s="366"/>
      <c r="K123" s="366"/>
      <c r="L123" s="366"/>
      <c r="M123" s="366"/>
      <c r="P123" s="526"/>
      <c r="Q123" s="7"/>
      <c r="R123" s="7"/>
      <c r="S123" s="7"/>
      <c r="T123" s="7"/>
      <c r="U123" s="7"/>
      <c r="V123" s="7"/>
      <c r="W123" s="7"/>
    </row>
    <row r="124" spans="1:23" ht="23.25" customHeight="1" x14ac:dyDescent="0.25">
      <c r="A124" s="195">
        <v>8</v>
      </c>
      <c r="B124" s="366"/>
      <c r="C124" s="366"/>
      <c r="D124" s="366"/>
      <c r="E124" s="366"/>
      <c r="F124" s="366"/>
      <c r="G124" s="366"/>
      <c r="H124" s="366"/>
      <c r="I124" s="366"/>
      <c r="J124" s="366"/>
      <c r="K124" s="366"/>
      <c r="L124" s="366"/>
      <c r="M124" s="366"/>
      <c r="P124" s="526"/>
    </row>
    <row r="125" spans="1:23" ht="23.25" customHeight="1" x14ac:dyDescent="0.25">
      <c r="A125" s="195">
        <v>9</v>
      </c>
      <c r="B125" s="366"/>
      <c r="C125" s="366"/>
      <c r="D125" s="366"/>
      <c r="E125" s="366"/>
      <c r="F125" s="366"/>
      <c r="G125" s="366"/>
      <c r="H125" s="366"/>
      <c r="I125" s="366"/>
      <c r="J125" s="366"/>
      <c r="K125" s="366"/>
      <c r="L125" s="366"/>
      <c r="M125" s="366"/>
      <c r="P125" s="526"/>
    </row>
    <row r="126" spans="1:23" ht="23.25" customHeight="1" x14ac:dyDescent="0.25">
      <c r="A126" s="195">
        <v>10</v>
      </c>
      <c r="B126" s="366"/>
      <c r="C126" s="366"/>
      <c r="D126" s="366"/>
      <c r="E126" s="366"/>
      <c r="F126" s="366"/>
      <c r="G126" s="366"/>
      <c r="H126" s="366"/>
      <c r="I126" s="366"/>
      <c r="J126" s="366"/>
      <c r="K126" s="366"/>
      <c r="L126" s="366"/>
      <c r="M126" s="366"/>
      <c r="P126" s="526"/>
    </row>
    <row r="127" spans="1:23" ht="23.25" customHeight="1" x14ac:dyDescent="0.25">
      <c r="P127" s="526"/>
    </row>
    <row r="128" spans="1:23" ht="23.25" customHeight="1" x14ac:dyDescent="0.3">
      <c r="B128" s="195" t="s">
        <v>72</v>
      </c>
      <c r="C128" s="315"/>
      <c r="P128" s="526"/>
    </row>
    <row r="129" spans="1:16" ht="23.25" customHeight="1" x14ac:dyDescent="0.25">
      <c r="B129" s="196" t="s">
        <v>73</v>
      </c>
      <c r="C129" s="197"/>
      <c r="D129" s="196" t="s">
        <v>73</v>
      </c>
      <c r="E129" s="197"/>
      <c r="F129" s="196" t="s">
        <v>73</v>
      </c>
      <c r="G129" s="197"/>
      <c r="H129" s="196" t="s">
        <v>73</v>
      </c>
      <c r="I129" s="197"/>
      <c r="J129" s="196" t="s">
        <v>73</v>
      </c>
      <c r="K129" s="197"/>
      <c r="L129" s="196" t="s">
        <v>73</v>
      </c>
      <c r="M129" s="197"/>
      <c r="P129" s="526"/>
    </row>
    <row r="130" spans="1:16" ht="23.25" customHeight="1" x14ac:dyDescent="0.25">
      <c r="B130" s="1109"/>
      <c r="C130" s="1110"/>
      <c r="D130" s="1109"/>
      <c r="E130" s="1110"/>
      <c r="F130" s="1109"/>
      <c r="G130" s="1110"/>
      <c r="H130" s="1109"/>
      <c r="I130" s="1110"/>
      <c r="J130" s="1109"/>
      <c r="K130" s="1110"/>
      <c r="L130" s="1109"/>
      <c r="M130" s="1110"/>
      <c r="P130" s="526"/>
    </row>
    <row r="131" spans="1:16" ht="23.25" customHeight="1" x14ac:dyDescent="0.3">
      <c r="B131" s="348" t="s">
        <v>78</v>
      </c>
      <c r="C131" s="349" t="str">
        <f>IF($N$4&lt;&gt;"",$N$4,"")</f>
        <v>Längd (mm)</v>
      </c>
      <c r="D131" s="348" t="s">
        <v>78</v>
      </c>
      <c r="E131" s="349" t="str">
        <f>IF($N$4&lt;&gt;"",$N$4,"")</f>
        <v>Längd (mm)</v>
      </c>
      <c r="F131" s="348" t="s">
        <v>78</v>
      </c>
      <c r="G131" s="349" t="str">
        <f>IF($N$4&lt;&gt;"",$N$4,"")</f>
        <v>Längd (mm)</v>
      </c>
      <c r="H131" s="348" t="s">
        <v>78</v>
      </c>
      <c r="I131" s="349" t="str">
        <f>IF($N$4&lt;&gt;"",$N$4,"")</f>
        <v>Längd (mm)</v>
      </c>
      <c r="J131" s="348" t="s">
        <v>78</v>
      </c>
      <c r="K131" s="349" t="str">
        <f>IF($N$4&lt;&gt;"",$N$4,"")</f>
        <v>Längd (mm)</v>
      </c>
      <c r="L131" s="348" t="s">
        <v>78</v>
      </c>
      <c r="M131" s="349" t="str">
        <f>IF($N$4&lt;&gt;"",$N$4,"")</f>
        <v>Längd (mm)</v>
      </c>
      <c r="P131" s="526"/>
    </row>
    <row r="132" spans="1:16" ht="23.25" customHeight="1" x14ac:dyDescent="0.25">
      <c r="A132" s="195">
        <v>1</v>
      </c>
      <c r="B132" s="366"/>
      <c r="C132" s="366"/>
      <c r="D132" s="366"/>
      <c r="E132" s="366"/>
      <c r="F132" s="366"/>
      <c r="G132" s="366"/>
      <c r="H132" s="366"/>
      <c r="I132" s="366"/>
      <c r="J132" s="366"/>
      <c r="K132" s="366"/>
      <c r="L132" s="366"/>
      <c r="M132" s="366"/>
      <c r="P132" s="526"/>
    </row>
    <row r="133" spans="1:16" ht="23.25" customHeight="1" x14ac:dyDescent="0.25">
      <c r="A133" s="195">
        <v>2</v>
      </c>
      <c r="B133" s="366"/>
      <c r="C133" s="366"/>
      <c r="D133" s="366"/>
      <c r="E133" s="366"/>
      <c r="F133" s="366"/>
      <c r="G133" s="366"/>
      <c r="H133" s="366"/>
      <c r="I133" s="366"/>
      <c r="J133" s="366"/>
      <c r="K133" s="366"/>
      <c r="L133" s="366"/>
      <c r="M133" s="366"/>
      <c r="P133" s="526"/>
    </row>
    <row r="134" spans="1:16" ht="23.25" customHeight="1" x14ac:dyDescent="0.25">
      <c r="A134" s="195">
        <v>3</v>
      </c>
      <c r="B134" s="366"/>
      <c r="C134" s="366"/>
      <c r="D134" s="366"/>
      <c r="E134" s="366"/>
      <c r="F134" s="366"/>
      <c r="G134" s="366"/>
      <c r="H134" s="366"/>
      <c r="I134" s="366"/>
      <c r="J134" s="366"/>
      <c r="K134" s="366"/>
      <c r="L134" s="366"/>
      <c r="M134" s="366"/>
    </row>
    <row r="135" spans="1:16" ht="23.25" customHeight="1" x14ac:dyDescent="0.25">
      <c r="A135" s="195">
        <v>4</v>
      </c>
      <c r="B135" s="366"/>
      <c r="C135" s="366"/>
      <c r="D135" s="366"/>
      <c r="E135" s="366"/>
      <c r="F135" s="366"/>
      <c r="G135" s="366"/>
      <c r="H135" s="366"/>
      <c r="I135" s="366"/>
      <c r="J135" s="366"/>
      <c r="K135" s="366"/>
      <c r="L135" s="366"/>
      <c r="M135" s="366"/>
    </row>
    <row r="136" spans="1:16" ht="23.25" customHeight="1" x14ac:dyDescent="0.25">
      <c r="A136" s="195">
        <v>5</v>
      </c>
      <c r="B136" s="366"/>
      <c r="C136" s="366"/>
      <c r="D136" s="366"/>
      <c r="E136" s="366"/>
      <c r="F136" s="366"/>
      <c r="G136" s="366"/>
      <c r="H136" s="366"/>
      <c r="I136" s="366"/>
      <c r="J136" s="366"/>
      <c r="K136" s="366"/>
      <c r="L136" s="366"/>
      <c r="M136" s="366"/>
    </row>
    <row r="137" spans="1:16" ht="23.25" customHeight="1" x14ac:dyDescent="0.25">
      <c r="A137" s="195">
        <v>6</v>
      </c>
      <c r="B137" s="366"/>
      <c r="C137" s="366"/>
      <c r="D137" s="366"/>
      <c r="E137" s="366"/>
      <c r="F137" s="366"/>
      <c r="G137" s="366"/>
      <c r="H137" s="366"/>
      <c r="I137" s="366"/>
      <c r="J137" s="366"/>
      <c r="K137" s="366"/>
      <c r="L137" s="366"/>
      <c r="M137" s="366"/>
    </row>
    <row r="138" spans="1:16" ht="23.25" customHeight="1" x14ac:dyDescent="0.25">
      <c r="A138" s="195">
        <v>7</v>
      </c>
      <c r="B138" s="366"/>
      <c r="C138" s="366"/>
      <c r="D138" s="366"/>
      <c r="E138" s="366"/>
      <c r="F138" s="366"/>
      <c r="G138" s="366"/>
      <c r="H138" s="366"/>
      <c r="I138" s="366"/>
      <c r="J138" s="366"/>
      <c r="K138" s="366"/>
      <c r="L138" s="366"/>
      <c r="M138" s="366"/>
    </row>
    <row r="139" spans="1:16" ht="23.25" customHeight="1" x14ac:dyDescent="0.25">
      <c r="A139" s="195">
        <v>8</v>
      </c>
      <c r="B139" s="366"/>
      <c r="C139" s="366"/>
      <c r="D139" s="366"/>
      <c r="E139" s="366"/>
      <c r="F139" s="366"/>
      <c r="G139" s="366"/>
      <c r="H139" s="366"/>
      <c r="I139" s="366"/>
      <c r="J139" s="366"/>
      <c r="K139" s="366"/>
      <c r="L139" s="366"/>
      <c r="M139" s="366"/>
    </row>
    <row r="140" spans="1:16" ht="23.25" customHeight="1" x14ac:dyDescent="0.25">
      <c r="A140" s="195">
        <v>9</v>
      </c>
      <c r="B140" s="366"/>
      <c r="C140" s="366"/>
      <c r="D140" s="366"/>
      <c r="E140" s="366"/>
      <c r="F140" s="366"/>
      <c r="G140" s="366"/>
      <c r="H140" s="366"/>
      <c r="I140" s="366"/>
      <c r="J140" s="366"/>
      <c r="K140" s="366"/>
      <c r="L140" s="366"/>
      <c r="M140" s="366"/>
    </row>
    <row r="141" spans="1:16" ht="23.25" customHeight="1" x14ac:dyDescent="0.25">
      <c r="A141" s="195">
        <v>10</v>
      </c>
      <c r="B141" s="366"/>
      <c r="C141" s="366"/>
      <c r="D141" s="366"/>
      <c r="E141" s="366"/>
      <c r="F141" s="366"/>
      <c r="G141" s="366"/>
      <c r="H141" s="366"/>
      <c r="I141" s="366"/>
      <c r="J141" s="366"/>
      <c r="K141" s="366"/>
      <c r="L141" s="366"/>
      <c r="M141" s="366"/>
    </row>
    <row r="142" spans="1:16" ht="23.25" customHeight="1" x14ac:dyDescent="0.25"/>
    <row r="143" spans="1:16" ht="23.25" customHeight="1" x14ac:dyDescent="0.25"/>
    <row r="144" spans="1:16"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sheetData>
  <sheetProtection sheet="1"/>
  <mergeCells count="57">
    <mergeCell ref="G8:M8"/>
    <mergeCell ref="G53:M53"/>
    <mergeCell ref="G98:M98"/>
    <mergeCell ref="J10:K10"/>
    <mergeCell ref="L10:M10"/>
    <mergeCell ref="F55:G55"/>
    <mergeCell ref="H55:I55"/>
    <mergeCell ref="F40:G40"/>
    <mergeCell ref="H40:I40"/>
    <mergeCell ref="F25:G25"/>
    <mergeCell ref="B10:C10"/>
    <mergeCell ref="D10:E10"/>
    <mergeCell ref="F10:G10"/>
    <mergeCell ref="H10:I10"/>
    <mergeCell ref="B130:C130"/>
    <mergeCell ref="D130:E130"/>
    <mergeCell ref="F130:G130"/>
    <mergeCell ref="H130:I130"/>
    <mergeCell ref="B70:C70"/>
    <mergeCell ref="D70:E70"/>
    <mergeCell ref="H25:I25"/>
    <mergeCell ref="B25:C25"/>
    <mergeCell ref="D25:E25"/>
    <mergeCell ref="B55:C55"/>
    <mergeCell ref="D55:E55"/>
    <mergeCell ref="B40:C40"/>
    <mergeCell ref="J130:K130"/>
    <mergeCell ref="L130:M130"/>
    <mergeCell ref="J25:K25"/>
    <mergeCell ref="L25:M25"/>
    <mergeCell ref="J40:K40"/>
    <mergeCell ref="L40:M40"/>
    <mergeCell ref="J85:K85"/>
    <mergeCell ref="L85:M85"/>
    <mergeCell ref="J55:K55"/>
    <mergeCell ref="L55:M55"/>
    <mergeCell ref="J115:K115"/>
    <mergeCell ref="L115:M115"/>
    <mergeCell ref="D40:E40"/>
    <mergeCell ref="J70:K70"/>
    <mergeCell ref="L70:M70"/>
    <mergeCell ref="J100:K100"/>
    <mergeCell ref="L100:M100"/>
    <mergeCell ref="H100:I100"/>
    <mergeCell ref="F70:G70"/>
    <mergeCell ref="H70:I70"/>
    <mergeCell ref="H85:I85"/>
    <mergeCell ref="B115:C115"/>
    <mergeCell ref="D115:E115"/>
    <mergeCell ref="F115:G115"/>
    <mergeCell ref="H115:I115"/>
    <mergeCell ref="B85:C85"/>
    <mergeCell ref="D85:E85"/>
    <mergeCell ref="B100:C100"/>
    <mergeCell ref="D100:E100"/>
    <mergeCell ref="F100:G100"/>
    <mergeCell ref="F85:G85"/>
  </mergeCells>
  <phoneticPr fontId="57" type="noConversion"/>
  <conditionalFormatting sqref="C11">
    <cfRule type="expression" dxfId="517" priority="54" stopIfTrue="1">
      <formula>$C$11="Vikt (g)"</formula>
    </cfRule>
  </conditionalFormatting>
  <conditionalFormatting sqref="E11">
    <cfRule type="expression" dxfId="516" priority="53" stopIfTrue="1">
      <formula>$E$11="Vikt (g)"</formula>
    </cfRule>
  </conditionalFormatting>
  <conditionalFormatting sqref="G11">
    <cfRule type="expression" dxfId="515" priority="52" stopIfTrue="1">
      <formula>$G$11="Vikt (g)"</formula>
    </cfRule>
  </conditionalFormatting>
  <conditionalFormatting sqref="I11">
    <cfRule type="expression" dxfId="514" priority="51" stopIfTrue="1">
      <formula>$I$11="Vikt (g)"</formula>
    </cfRule>
  </conditionalFormatting>
  <conditionalFormatting sqref="K11">
    <cfRule type="expression" dxfId="513" priority="50" stopIfTrue="1">
      <formula>$K$11="Vikt (g)"</formula>
    </cfRule>
  </conditionalFormatting>
  <conditionalFormatting sqref="M11">
    <cfRule type="expression" dxfId="512" priority="49" stopIfTrue="1">
      <formula>$M$11="Vikt (g)"</formula>
    </cfRule>
  </conditionalFormatting>
  <conditionalFormatting sqref="C26">
    <cfRule type="expression" dxfId="511" priority="48" stopIfTrue="1">
      <formula>C26="Vikt (g)"</formula>
    </cfRule>
  </conditionalFormatting>
  <conditionalFormatting sqref="E26">
    <cfRule type="expression" dxfId="510" priority="47" stopIfTrue="1">
      <formula>E26="Vikt (g)"</formula>
    </cfRule>
  </conditionalFormatting>
  <conditionalFormatting sqref="G26">
    <cfRule type="expression" dxfId="509" priority="46" stopIfTrue="1">
      <formula>G26="Vikt (g)"</formula>
    </cfRule>
  </conditionalFormatting>
  <conditionalFormatting sqref="I26">
    <cfRule type="expression" dxfId="508" priority="45" stopIfTrue="1">
      <formula>I26="Vikt (g)"</formula>
    </cfRule>
  </conditionalFormatting>
  <conditionalFormatting sqref="K26">
    <cfRule type="expression" dxfId="507" priority="44" stopIfTrue="1">
      <formula>K26="Vikt (g)"</formula>
    </cfRule>
  </conditionalFormatting>
  <conditionalFormatting sqref="M26">
    <cfRule type="expression" dxfId="506" priority="43" stopIfTrue="1">
      <formula>M26="Vikt (g)"</formula>
    </cfRule>
  </conditionalFormatting>
  <conditionalFormatting sqref="C41">
    <cfRule type="expression" dxfId="505" priority="42" stopIfTrue="1">
      <formula>C41="Vikt (g)"</formula>
    </cfRule>
  </conditionalFormatting>
  <conditionalFormatting sqref="E41">
    <cfRule type="expression" dxfId="504" priority="41" stopIfTrue="1">
      <formula>E41="Vikt (g)"</formula>
    </cfRule>
  </conditionalFormatting>
  <conditionalFormatting sqref="G41">
    <cfRule type="expression" dxfId="503" priority="40" stopIfTrue="1">
      <formula>G41="Vikt (g)"</formula>
    </cfRule>
  </conditionalFormatting>
  <conditionalFormatting sqref="I41">
    <cfRule type="expression" dxfId="502" priority="39" stopIfTrue="1">
      <formula>I41="Vikt (g)"</formula>
    </cfRule>
  </conditionalFormatting>
  <conditionalFormatting sqref="K41">
    <cfRule type="expression" dxfId="501" priority="38" stopIfTrue="1">
      <formula>K41="Vikt (g)"</formula>
    </cfRule>
  </conditionalFormatting>
  <conditionalFormatting sqref="M41">
    <cfRule type="expression" dxfId="500" priority="37" stopIfTrue="1">
      <formula>M41="Vikt (g)"</formula>
    </cfRule>
  </conditionalFormatting>
  <conditionalFormatting sqref="C56">
    <cfRule type="expression" dxfId="499" priority="36" stopIfTrue="1">
      <formula>C56="Vikt (g)"</formula>
    </cfRule>
  </conditionalFormatting>
  <conditionalFormatting sqref="E56">
    <cfRule type="expression" dxfId="498" priority="35" stopIfTrue="1">
      <formula>E56="Vikt (g)"</formula>
    </cfRule>
  </conditionalFormatting>
  <conditionalFormatting sqref="G56">
    <cfRule type="expression" dxfId="497" priority="34" stopIfTrue="1">
      <formula>G56="Vikt (g)"</formula>
    </cfRule>
  </conditionalFormatting>
  <conditionalFormatting sqref="I56">
    <cfRule type="expression" dxfId="496" priority="33" stopIfTrue="1">
      <formula>I56="Vikt (g)"</formula>
    </cfRule>
  </conditionalFormatting>
  <conditionalFormatting sqref="K56">
    <cfRule type="expression" dxfId="495" priority="32" stopIfTrue="1">
      <formula>K56="Vikt (g)"</formula>
    </cfRule>
  </conditionalFormatting>
  <conditionalFormatting sqref="M56">
    <cfRule type="expression" dxfId="494" priority="31" stopIfTrue="1">
      <formula>M56="Vikt (g)"</formula>
    </cfRule>
  </conditionalFormatting>
  <conditionalFormatting sqref="C71">
    <cfRule type="expression" dxfId="493" priority="30" stopIfTrue="1">
      <formula>C71="Vikt (g)"</formula>
    </cfRule>
  </conditionalFormatting>
  <conditionalFormatting sqref="E71">
    <cfRule type="expression" dxfId="492" priority="29" stopIfTrue="1">
      <formula>E71="Vikt (g)"</formula>
    </cfRule>
  </conditionalFormatting>
  <conditionalFormatting sqref="G71">
    <cfRule type="expression" dxfId="491" priority="28" stopIfTrue="1">
      <formula>G71="Vikt (g)"</formula>
    </cfRule>
  </conditionalFormatting>
  <conditionalFormatting sqref="I71">
    <cfRule type="expression" dxfId="490" priority="27" stopIfTrue="1">
      <formula>I71="Vikt (g)"</formula>
    </cfRule>
  </conditionalFormatting>
  <conditionalFormatting sqref="K71">
    <cfRule type="expression" dxfId="489" priority="26" stopIfTrue="1">
      <formula>K71="Vikt (g)"</formula>
    </cfRule>
  </conditionalFormatting>
  <conditionalFormatting sqref="M71">
    <cfRule type="expression" dxfId="488" priority="25" stopIfTrue="1">
      <formula>M71="Vikt (g)"</formula>
    </cfRule>
  </conditionalFormatting>
  <conditionalFormatting sqref="C86">
    <cfRule type="expression" dxfId="487" priority="24" stopIfTrue="1">
      <formula>C86="Vikt (g)"</formula>
    </cfRule>
  </conditionalFormatting>
  <conditionalFormatting sqref="E86">
    <cfRule type="expression" dxfId="486" priority="23" stopIfTrue="1">
      <formula>E86="Vikt (g)"</formula>
    </cfRule>
  </conditionalFormatting>
  <conditionalFormatting sqref="G86">
    <cfRule type="expression" dxfId="485" priority="22" stopIfTrue="1">
      <formula>G86="Vikt (g)"</formula>
    </cfRule>
  </conditionalFormatting>
  <conditionalFormatting sqref="I86">
    <cfRule type="expression" dxfId="484" priority="21" stopIfTrue="1">
      <formula>I86="Vikt (g)"</formula>
    </cfRule>
  </conditionalFormatting>
  <conditionalFormatting sqref="K86">
    <cfRule type="expression" dxfId="483" priority="20" stopIfTrue="1">
      <formula>K86="Vikt (g)"</formula>
    </cfRule>
  </conditionalFormatting>
  <conditionalFormatting sqref="M86">
    <cfRule type="expression" dxfId="482" priority="19" stopIfTrue="1">
      <formula>M86="Vikt (g)"</formula>
    </cfRule>
  </conditionalFormatting>
  <conditionalFormatting sqref="C101">
    <cfRule type="expression" dxfId="481" priority="18" stopIfTrue="1">
      <formula>C101="Vikt (g)"</formula>
    </cfRule>
  </conditionalFormatting>
  <conditionalFormatting sqref="E101">
    <cfRule type="expression" dxfId="480" priority="17" stopIfTrue="1">
      <formula>E101="Vikt (g)"</formula>
    </cfRule>
  </conditionalFormatting>
  <conditionalFormatting sqref="G101">
    <cfRule type="expression" dxfId="479" priority="16" stopIfTrue="1">
      <formula>G101="Vikt (g)"</formula>
    </cfRule>
  </conditionalFormatting>
  <conditionalFormatting sqref="I101">
    <cfRule type="expression" dxfId="478" priority="15" stopIfTrue="1">
      <formula>I101="Vikt (g)"</formula>
    </cfRule>
  </conditionalFormatting>
  <conditionalFormatting sqref="K101">
    <cfRule type="expression" dxfId="477" priority="14" stopIfTrue="1">
      <formula>K101="Vikt (g)"</formula>
    </cfRule>
  </conditionalFormatting>
  <conditionalFormatting sqref="M101">
    <cfRule type="expression" dxfId="476" priority="13" stopIfTrue="1">
      <formula>M101="Vikt (g)"</formula>
    </cfRule>
  </conditionalFormatting>
  <conditionalFormatting sqref="C116">
    <cfRule type="expression" dxfId="475" priority="12" stopIfTrue="1">
      <formula>C116="Vikt (g)"</formula>
    </cfRule>
  </conditionalFormatting>
  <conditionalFormatting sqref="E116">
    <cfRule type="expression" dxfId="474" priority="11" stopIfTrue="1">
      <formula>E116="Vikt (g)"</formula>
    </cfRule>
  </conditionalFormatting>
  <conditionalFormatting sqref="G116">
    <cfRule type="expression" dxfId="473" priority="10" stopIfTrue="1">
      <formula>G116="Vikt (g)"</formula>
    </cfRule>
  </conditionalFormatting>
  <conditionalFormatting sqref="I116">
    <cfRule type="expression" dxfId="472" priority="9" stopIfTrue="1">
      <formula>I116="Vikt (g)"</formula>
    </cfRule>
  </conditionalFormatting>
  <conditionalFormatting sqref="K116">
    <cfRule type="expression" dxfId="471" priority="8" stopIfTrue="1">
      <formula>K116="Vikt (g)"</formula>
    </cfRule>
  </conditionalFormatting>
  <conditionalFormatting sqref="M116">
    <cfRule type="expression" dxfId="470" priority="7" stopIfTrue="1">
      <formula>M116="Vikt (g)"</formula>
    </cfRule>
  </conditionalFormatting>
  <conditionalFormatting sqref="C131">
    <cfRule type="expression" dxfId="469" priority="6" stopIfTrue="1">
      <formula>C131="Vikt (g)"</formula>
    </cfRule>
  </conditionalFormatting>
  <conditionalFormatting sqref="E131">
    <cfRule type="expression" dxfId="468" priority="5" stopIfTrue="1">
      <formula>E131="Vikt (g)"</formula>
    </cfRule>
  </conditionalFormatting>
  <conditionalFormatting sqref="G131">
    <cfRule type="expression" dxfId="467" priority="4" stopIfTrue="1">
      <formula>G131="Vikt (g)"</formula>
    </cfRule>
  </conditionalFormatting>
  <conditionalFormatting sqref="I131">
    <cfRule type="expression" dxfId="466" priority="3" stopIfTrue="1">
      <formula>I131="Vikt (g)"</formula>
    </cfRule>
  </conditionalFormatting>
  <conditionalFormatting sqref="K131">
    <cfRule type="expression" dxfId="465" priority="2" stopIfTrue="1">
      <formula>K131="Vikt (g)"</formula>
    </cfRule>
  </conditionalFormatting>
  <conditionalFormatting sqref="M131">
    <cfRule type="expression" dxfId="464" priority="1" stopIfTrue="1">
      <formula>M131="Vikt (g)"</formula>
    </cfRule>
  </conditionalFormatting>
  <dataValidations xWindow="236" yWindow="263" count="40">
    <dataValidation type="custom" showInputMessage="1"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samt FISKART (fältet till vänster) måste ha angetts innan detta fält kan fyllas i_x000a_* Endast siffror får anges" sqref="R11" xr:uid="{00000000-0002-0000-0300-000000000000}">
      <formula1>IF(AND(OR(O11="",O11&lt;=12),R11&lt;&gt;"",R10&lt;&gt;"",$P11&lt;&gt;"",protokollAntalutfisk&lt;&gt;""),AND(ISNUMBER(R11),R11=INT(R11),R11&gt;=0),FALSE)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D67 J82 H82 F82 D82 B82 B67 F67 H67 J67 L67 L82" xr:uid="{00000000-0002-0000-0300-000001000000}">
      <formula1>IF(AND(B56&lt;&gt;"",B66&lt;&gt;"",$C54&lt;&gt;""),AND(ISNUMBER(B67),B67&gt;=fisklängdmin,B67&lt;=fisklängdmax,B67=INT(B67)),FALSE)</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E67 K82 I82 G82 E82 C82 C67 G67 I67 K67 M67 M82" xr:uid="{00000000-0002-0000-0300-000002000000}">
      <formula1>IF(AND(C66&lt;&gt;"",B56&lt;&gt;"",$C54&lt;&gt;""),IF(C57=B57,AND(ISNUMBER(C67),C67&gt;=fisklängdmin,C67&lt;=fisklängdmax,C67=INT(C67)),AND(C57="Vikt (g)",ISNUMBER(C67),C67*10=INT(C67*10),C67/B67^3*10^5&gt;=konditionmin,C67/B67^3*10^5&lt;=konditionmax)),FALSE)</formula1>
    </dataValidation>
    <dataValidation type="custom" showInputMessage="1"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R11" xr:uid="{00000000-0002-0000-0300-000003000000}">
      <formula1>IF(AND(O11&lt;=12,R11&lt;&gt;"",R10&lt;&gt;"",$P11&lt;&gt;"",protokollAntalutfisk&lt;&gt;""),AND(ISNUMBER(R11),R11=INT(R11),R11&gt;=0),FALSE)</formula1>
    </dataValidation>
    <dataValidation type="custom" showInputMessage="1" showErrorMessage="1" errorTitle="Otillåten inmatning!" error="Villkor som måste uppfyllas:_x000a__x000a_* ANTAL UTFISKNINGAR (≥2) i blad PROTOKOLL, FISKART (till vänster) samt antal för Omg. 1 (till vänster) måste ha angetts innan detta fält kan fyllas i_x000a_* Endast siffror får anges_x000a_" promptTitle="Ange endast antal" prompt="av icke längdmätta individer för respektive art_x000a__x000a_Villkor:_x000a__x000a_* ANTAL UTFISKNINGAR (≥2) i blad PROTOKOLL, FISKART (till vänster) samt Antal för Omg. 1 (till vänster) måste ha angetts innan detta fält kan fyllas i_x000a_* Endast siffror får anges" sqref="S11" xr:uid="{00000000-0002-0000-0300-000004000000}">
      <formula1>IF(AND(S11&lt;&gt;"",S10&lt;&gt;"",$P11&lt;&gt;"",R11&lt;&gt;"",protokollAntalutfisk&lt;&gt;""),AND(ISNUMBER(S11),S11=INT(S11),S11&gt;=0,protokollAntalutfisk&gt;=2),FALSE)</formula1>
    </dataValidation>
    <dataValidation type="custom" showInputMessage="1" showErrorMessage="1" errorTitle="Otillåten inmatning!" error="Villkor som måste uppfyllas:_x000a__x000a_* ANTAL UTFISKNINGAR (=3) i blad PROTOKOLL, FISKART (till vänster) &amp; Antal för Omg. 1 &amp; 2 (till vänster) måste ha angetts innan detta fält kan fyllas i_x000a_* Endast siffror får anges" promptTitle="Ange endast antal" prompt="av icke längdmätta individer för respektive art_x000a__x000a_Villkor:_x000a__x000a_* ANTAL UTFISKNINGAR (=3) i blad PROTOKOLL, FISKART (till vänster) samt Antal för Omg. 1 &amp; 2 (till vänster) måste ha angetts innan detta fält kan fyllas i_x000a_* Endast siffror får anges" sqref="T11" xr:uid="{00000000-0002-0000-0300-000005000000}">
      <formula1>IF(AND(T11&lt;&gt;"",T10&lt;&gt;"",$P11&lt;&gt;"",R11&lt;&gt;"",S11&lt;&gt;"",protokollAntalutfisk&lt;&gt;""),AND(ISNUMBER(T11),T11=INT(T11),T11&gt;=0,protokollAntalutfisk=3),FALSE)</formula1>
    </dataValidation>
    <dataValidation type="list" allowBlank="1" showErrorMessage="1" errorTitle="Otillåten inmatning!" error="Artnamnet är felstavat_x000a__x000a_Är du osäker på stavning, använd rullistan" promptTitle="Ange fiskart" prompt="Är du osäker på stavning, använd rullistan" sqref="P11:P27" xr:uid="{00000000-0002-0000-0300-000006000000}">
      <formula1>Lista2</formula1>
    </dataValidation>
    <dataValidation type="list" allowBlank="1" showInputMessage="1" showErrorMessage="1" errorTitle="Otillåten inmatning!" error="Rubriken är felstavad_x000a__x000a_Är du osäker på stavning, använd rullistan" promptTitle="Välj kolumnrubrik" prompt="Använd rullista_x000a__x000a_För att ange rubrik på samtliga motsvarande kolumner, ange rubrik i fält N4 (&quot;Välj kolumnrubrik&quot;)" sqref="C116 E116 G116 I116 K116 M116 C71 E71 G71 I71 K71 M71 C86 E86 G86 I86 K86 M86 C11 E11 G11 I11 K11 M11 C101 C26 E26 G26 I26 K26 E101 G101 I101 K101 M101 M26 C41 E41 G41 I41 K41 M41 C56 E56 G56 I56 K56 M56 C131 E131 G131 I131 K131 M131" xr:uid="{00000000-0002-0000-0300-000007000000}">
      <formula1>Lista1</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T12:T27" xr:uid="{00000000-0002-0000-0300-000008000000}">
      <formula1>IF(AND(T12&lt;&gt;"",T11&lt;&gt;"",$P12&lt;&gt;"",R12&lt;&gt;"",S12&lt;&gt;"",protokollAntalutfisk&lt;&gt;""),AND(ISNUMBER(T12),T12=INT(T12),T12&gt;=0,protokollAntalutfisk=3),FALSE)</formula1>
    </dataValidation>
    <dataValidation type="custom" showErrorMessage="1" errorTitle="Otillåten inmatning!" error="Villkor som måste uppfyllas:_x000a__x000a_* ANTAL UTFISKNINGAR (≥2) i blad PROTOKOLL, FISKART (till vänster) samt antal för Omg. 1 (till vänster) måste ha angetts innan detta fält kan fyllas i_x000a_* Endast siffror får anges_x000a_" promptTitle="Ange endast antal" prompt="av icke längdmätta individer för respektive art_x000a__x000a_Villkor:_x000a__x000a_* ANTAL UTFISKNINGAR (≥2) i blad PROTOKOLL, FISKART (till vänster), Antal för Omg. 1 (till vänster) &amp; FÄLTET OVAN DETTA måste ha angetts innan detta fält kan fyllas i_x000a_* Endast siffror får anges" sqref="S12:S27" xr:uid="{00000000-0002-0000-0300-000009000000}">
      <formula1>IF(AND(S12&lt;&gt;"",S11&lt;&gt;"",$P12&lt;&gt;"",R12&lt;&gt;"",protokollAntalutfisk&lt;&gt;""),AND(ISNUMBER(S12),S12=INT(S12),S12&gt;=0,protokollAntalutfisk&gt;=2),FALSE)</formula1>
    </dataValidation>
    <dataValidation type="custom" showErrorMessage="1" errorTitle="Otillåten inmatning!" error="Villkor som måste uppfyllas:_x000a__x000a_* ANTAL UTFISKNINGAR (=3) i blad PROTOKOLL, FISKART (till vänster) &amp; Antal för Omg. 1 &amp; 2 (till vänster) måste ha angetts innan detta fält kan fyllas i_x000a_* Endast siffror får anges" promptTitle="Ange endast antal" prompt="av icke längdmätta individer för respektive art_x000a__x000a_Villkor:_x000a__x000a_* ANTAL UTFISKNINGAR (=3) i blad PROTOKOLL, FISKART (till vänster), Antal för Omg. 1 &amp; 2 (till vänster) &amp; FÄLTET OVAN måste ha angetts innan detta fält kan fyllas i_x000a_* Endast siffror får anges" sqref="T12:T27" xr:uid="{00000000-0002-0000-0300-00000A000000}">
      <formula1>IF(AND(T12&lt;&gt;"",T11&lt;&gt;"",$P12&lt;&gt;"",R12&lt;&gt;"",S12&lt;&gt;"",protokollAntalutfisk&lt;&gt;""),AND(ISNUMBER(T12),T12=INT(T12),T12&gt;=0,protokollAntalutfisk=3),FALSE)</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S12:S27" xr:uid="{00000000-0002-0000-0300-00000B000000}">
      <formula1>IF(AND(S12&lt;&gt;"",S11&lt;&gt;"",$P12&lt;&gt;"",R12&lt;&gt;"",protokollAntalutfisk&lt;&gt;""),AND(ISNUMBER(S12),S12=INT(S12),S12&gt;=0,protokollAntalutfisk&gt;=2),FALSE)</formula1>
    </dataValidation>
    <dataValidation type="list" allowBlank="1" showInputMessage="1" sqref="G98:M98 G8:M8 G53:M53" xr:uid="{00000000-0002-0000-0300-00000C000000}">
      <formula1>Lista12</formula1>
    </dataValidation>
    <dataValidation type="list" allowBlank="1" showInputMessage="1" showErrorMessage="1" sqref="N4" xr:uid="{00000000-0002-0000-0300-00000D000000}">
      <formula1>Lista1</formula1>
    </dataValidation>
    <dataValidation type="list" showInputMessage="1" showErrorMessage="1" errorTitle="Otillåten inmatning!" error="Endast värdena_x000a__x000a_0+ eller &gt;0+_x000a__x000a_ får anges_x000a__x000a_Använd rullista" promptTitle="Ange ålder (0+/&gt;0+)" prompt="Det är främst laxfiskarna som delas upp med avseende på ålder._x000a__x000a_0+ = Årsyngel (&lt;1 år)_x000a__x000a_&gt;0+ = &quot;äldre än årsyngel&quot;_x000a__x000a_Om en art delas upp med avseende på ålder krävs att arten anges på två rader (till vänster) om individer av båda åldersgrupperna fångats." sqref="Q11:Q27" xr:uid="{00000000-0002-0000-0300-00000E000000}">
      <formula1>Lista8</formula1>
    </dataValidation>
    <dataValidation type="list" showErrorMessage="1" errorTitle="Otillåten inmatning!" error="Artnamnet är felstavat_x000a__x000a_Är du osäker på stavning, använd rullistan" promptTitle="Ange fiskart" prompt="Är du osäker på stavning, använd rullistan" sqref="B10:M10 B25:M25 B40:M40 B55:M55 B70:M70 B85:M85 B100:M100 B115:M115 B130:M130" xr:uid="{00000000-0002-0000-0300-00000F000000}">
      <formula1>Lista2</formula1>
    </dataValidation>
    <dataValidation type="custom" showErrorMessage="1" errorTitle="Otillåten inmatning!" error="Villkor som måste uppfyllas:_x000a__x000a_* Utfiskningsomgång måste först anges i blad PROTOKOLL (H13:I13)_x000a__x000a_* Angivet värde får ej vara större än det som angetts i blad PROTOKOLL_x000a__x000a_* Angivet värde måste vara heltal mellan 1 &amp; 3" promptTitle="Ange utfiskningsomgång (1, 2, 3)" prompt="Villkor:_x000a__x000a_* Utfiskningsomgång måste först anges i blad PROTOKOLL (H13:I13)" sqref="C8 C23 C38 C53 C68 C83 C98 C113 C128" xr:uid="{00000000-0002-0000-0300-000010000000}">
      <formula1>AND(ISNUMBER(C8),C8=INT(C8),C8&gt;0,C8&lt;=3)</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samt FISKART (fältet till vänster) måste ha angetts innan detta fält kan fyllas i_x000a_* Endast siffror får anges" sqref="R12:R27" xr:uid="{00000000-0002-0000-0300-000011000000}">
      <formula1>IF(AND(OR(O12="",O12&lt;=12),R12&lt;&gt;"",R11&lt;&gt;"",$P12&lt;&gt;"",protokollAntalutfisk&lt;&gt;""),AND(ISNUMBER(R12),R12=INT(R12),R12&gt;=0),FALSE)</formula1>
    </dataValidation>
    <dataValidation type="custom" showErrorMessage="1" errorTitle="Otillåten inmatning!" error="Villkor som måste uppfyllas:_x000a__x000a_* ANTAL UTFISKNINGAR i blad PROTOKOLL samt FISKART (fältet till vänster) måste ha angetts innan detta fält kan fyllas i_x000a_* Endast siffror får anges_x000a_* Antalet angivna arter (NR) får ej vara &gt;12" promptTitle="Ange endast antal" prompt="av icke längdmätta individer för respektive art_x000a__x000a_Villkor:_x000a__x000a_* ANTAL UTFISKNINGAR i blad PROTOKOLL, FISKART (fältet till vänster) samt FÄLTET OVAN DETTA måste ha angetts innan detta fält kan fyllas i_x000a_* Endast siffror får anges" sqref="R12:R27" xr:uid="{00000000-0002-0000-0300-000012000000}">
      <formula1>IF(AND(O12&lt;=12,R12&lt;&gt;"",R11&lt;&gt;"",$P12&lt;&gt;"",protokollAntalutfisk&lt;&gt;""),AND(ISNUMBER(R12),R12=INT(R12),R12&gt;=0),FALSE)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3 D13 F13 H13 J13 L13 B73 D73 F73 H73 J73 L73 B88 D88 F88 H88 J88 L88 B103 D103 F103 H103 J103 L103 B118 D118 F118 H118 J118 L118 B28 D28 F28 H28 J28 L28 B43 D43 F43 H43 J43 L43 B58 D58 F58 H58 J58 L58 B133 D133 F133 H133 J133 L133" xr:uid="{00000000-0002-0000-0300-000013000000}">
      <formula1>IF(AND(B10&lt;&gt;"",B12&lt;&gt;"",$C8&lt;&gt;""),AND(ISNUMBER(B13),B13&gt;=Lmin,B13&lt;=Lmax,B13=INT(B13)),FALSE)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4 D14 F14 H14 J14 L14 B74 D74 F74 H74 J74 L74 B89 D89 F89 H89 J89 L89 B104 D104 F104 H104 J104 L104 B119 D119 F119 H119 J119 L119 B29 D29 F29 H29 J29 L29 B44 D44 F44 H44 J44 L44 B59 D59 F59 H59 J59 L59 B134 D134 F134 H134 J134 L134" xr:uid="{00000000-0002-0000-0300-000014000000}">
      <formula1>IF(AND(B10&lt;&gt;"",B13&lt;&gt;"",$C8&lt;&gt;""),AND(ISNUMBER(B14),B14&gt;=Lmin,B14&lt;=Lmax,B14=INT(B14)),FALSE)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5 D15 F15 H15 J15 L15 B75 D75 F75 H75 J75 L75 B90 D90 F90 H90 J90 L90 B105 D105 F105 H105 J105 L105 B120 D120 F120 H120 J120 L120 B30 D30 F30 H30 J30 L30 B45 D45 F45 H45 J45 L45 B60 D60 F60 H60 J60 L60 B135 D135 F135 H135 J135 L135" xr:uid="{00000000-0002-0000-0300-000015000000}">
      <formula1>IF(AND(B10&lt;&gt;"",B14&lt;&gt;"",$C8&lt;&gt;""),AND(ISNUMBER(B15),B15&gt;=Lmin,B15&lt;=Lmax,B15=INT(B15)),FALSE)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6 D16 F16 H16 J16 L16 B76 D76 F76 H76 J76 L76 B91 D91 F91 H91 J91 L91 B106 D106 F106 H106 J106 L106 B121 D121 F121 H121 J121 L121 B31 D31 F31 H31 J31 L31 B46 D46 F46 H46 J46 L46 B61 D61 F61 H61 J61 L61 B136 D136 F136 H136 J136 L136" xr:uid="{00000000-0002-0000-0300-000016000000}">
      <formula1>IF(AND(B10&lt;&gt;"",B15&lt;&gt;"",$C8&lt;&gt;""),AND(ISNUMBER(B16),B16&gt;=Lmin,B16&lt;=Lmax,B16=INT(B16)),FALSE)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7 D17 F17 H17 J17 L17 B77 D77 F77 H77 J77 L77 B92 D92 F92 H92 J92 L92 B107 D107 F107 H107 J107 L107 B122 D122 F122 H122 J122 L122 B32 D32 F32 H32 J32 L32 B47 D47 F47 H47 J47 L47 B62 D62 F62 H62 J62 L62 B137 D137 F137 H137 J137 L137" xr:uid="{00000000-0002-0000-0300-000017000000}">
      <formula1>IF(AND(B10&lt;&gt;"",B16&lt;&gt;"",$C8&lt;&gt;""),AND(ISNUMBER(B17),B17&gt;=Lmin,B17&lt;=Lmax,B17=INT(B17)),FALSE)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8 D18 F18 H18 J18 L18 B78 D78 F78 H78 J78 L78 B93 D93 F93 H93 J93 L93 B108 D108 F108 H108 J108 L108 B123 D123 F123 H123 J123 L123 B33 D33 F33 H33 J33 L33 B48 D48 F48 H48 J48 L48 B63 D63 F63 H63 J63 L63 B138 D138 F138 H138 J138 L138" xr:uid="{00000000-0002-0000-0300-000018000000}">
      <formula1>IF(AND(B10&lt;&gt;"",B17&lt;&gt;"",$C8&lt;&gt;""),AND(ISNUMBER(B18),B18&gt;=Lmin,B18&lt;=Lmax,B18=INT(B18)),FALSE)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19 D19 F19 H19 J19 L19 B79 D79 F79 H79 J79 L79 B94 D94 F94 H94 J94 L94 B109 D109 F109 H109 J109 L109 B124 D124 F124 H124 J124 L124 B34 D34 F34 H34 J34 L34 B49 D49 F49 H49 J49 L49 B64 D64 F64 H64 J64 L64 B139 D139 F139 H139 J139 L139" xr:uid="{00000000-0002-0000-0300-000019000000}">
      <formula1>IF(AND(B10&lt;&gt;"",B18&lt;&gt;"",$C8&lt;&gt;""),AND(ISNUMBER(B19),B19&gt;=Lmin,B19&lt;=Lmax,B19=INT(B19)),FALSE)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20 D20 F20 H20 J20 L20 B80 D80 F80 H80 J80 L80 B95 D95 F95 H95 J95 L95 B110 D110 F110 H110 J110 L110 B125 D125 F125 H125 J125 L125 B35 D35 F35 H35 J35 L35 B50 D50 F50 H50 J50 L50 B65 D65 F65 H65 J65 L65 B140 D140 F140 H140 J140 L140" xr:uid="{00000000-0002-0000-0300-00001A000000}">
      <formula1>IF(AND(B10&lt;&gt;"",B19&lt;&gt;"",$C8&lt;&gt;""),AND(ISNUMBER(B20),B20&gt;=Lmin,B20&lt;=Lmax,B20=INT(B20)),FALSE)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sqref="B21 D21 F21 H21 J21 L21 B81 D81 F81 H81 J81 L81 B96 D96 F96 H96 J96 L96 B111 D111 F111 H111 J111 L111 B126 D126 F126 H126 J126 L126 B36 D36 F36 H36 J36 L36 B51 D51 F51 H51 J51 L51 B66 D66 F66 H66 J66 L66 B141 D141 F141 H141 J141 L141" xr:uid="{00000000-0002-0000-0300-00001B000000}">
      <formula1>IF(AND(B10&lt;&gt;"",B20&lt;&gt;"",$C8&lt;&gt;""),AND(ISNUMBER(B21),B21&gt;=Lmin,B21&lt;=Lmax,B21=INT(B21)),FALSE)</formula1>
    </dataValidation>
    <dataValidation type="custom" showErrorMessage="1" errorTitle="Otillåten inmatning!" error="Villkor som måste uppfyllas:_x000a_* Omgång &amp; Artrubrik måste ha valts först_x000a_* Längd anges som heltal i mm_x000a_* Inga tomma fält får finnas ovan en längdangivelse" promptTitle="Ange längd i hela mm" prompt="Villkor:_x000a_* Omgång &amp; Fiskart måste anges innan detta fält kan fyllas i_x000a_* Inga tomma fält ovan längdangivelse tillåts_x000a_* Endast tal får anges_x000a_* Längd anges i hela mm" sqref="D12 F12 H12 J12 L12 D102 F102 H102 J102 L102 D117 F117 H117 J117 L117 D27 F27 H27 J27 L27 D42 F42 H42 J42 L42 D57 F57 H57 J57 L57 D72 F72 H72 J72 L72 D87 F87 H87 J87 L87 D132 F132 H132 J132 L132" xr:uid="{00000000-0002-0000-0300-00001C000000}">
      <formula1>IF(AND(D10&lt;&gt;"",D11&lt;&gt;"",$C8&lt;&gt;""),AND(ISNUMBER(D12),D12&gt;=Lmin,D12&lt;=Lmax,D12=INT(D12)),FALSE)</formula1>
    </dataValidation>
    <dataValidation type="custom" showInputMessage="1" showErrorMessage="1" errorTitle="Otillåten inmatning!" error="Villkor som måste uppfyllas:_x000a_* Omgång &amp; Artrubrik måste ha valts först_x000a_* Längd anges som heltal i mm_x000a_* Inga tomma fält får finnas ovan en längdangivelse" promptTitle="Ange längd i hela mm" prompt="Villkor:_x000a_* Omgång &amp; Fiskart måste anges innan detta fält kan fyllas i_x000a_* Inga tomma fält ovan längdangivelse tillåts_x000a_* Endast tal får anges_x000a_* Längd anges i hela mm" sqref="B12 B27 B42 B57 B72 B87 B102 B117 B132" xr:uid="{00000000-0002-0000-0300-00001D000000}">
      <formula1>IF(AND(B10&lt;&gt;"",B11&lt;&gt;"",$C8&lt;&gt;""),AND(ISNUMBER(B12),B12&gt;=Lmin,B12&lt;=Lmax,B12=INT(B12)),FALSE)</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promptTitle="Ange värde enl. kolumnrubrik" prompt="Ange Längd eller Vikt (enl. kolumnrubrik)_x000a__x000a_Villkor:_x000a_* Omgång, Fiskart &amp; Längd/vikt-rubrik måste anges innan detta fält kan fyllas i_x000a_* Endast tal får anges_x000a_* Längd anges i hela mm_x000a_* Inga tomma fält ovan längdangivelse_x000a_* Vikt anges i gram med max en decimal" sqref="C12 E12 G12 I12 K12 M12 C27 E27 G27 I27 K27 M27 C42 E42 G42 I42 K42 M42 C57 E57 G57 I57 K57 M57 C72 E72 G72 I72 K72 M72 C87 E87 G87 I87 K87 M87 C102 E102 G102 I102 K102 M102 C117 E117 G117 I117 K117 M117 C132 E132 G132 I132 K132 M132" xr:uid="{00000000-0002-0000-0300-00001E000000}">
      <formula1>AND(ISNUMBER(C12),C11&lt;&gt;"",B10&lt;&gt;"",C11&lt;&gt;"",$C8&lt;&gt;"",IF(C11=B11,AND(C12&gt;=Lmin,C12&lt;=Lmax,C12=INT(C12)),IF(B12&gt;70,AND(C12*10=INT(C12*10),C12/B12^3*10^5&gt;=VLOOKUP(B10,AL,9,FALSE),C12/B12^3*10^5&lt;=VLOOKUP(B10,AL,10,FALSE)),C12&lt;=10)))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3 E13 G13 I13 K13 M13 C28 E28 G28 I28 K28 M28 C43 E43 G43 I43 K43 M43 C58 E58 G58 I58 K58 M58 C73 E73 G73 I73 K73 M73 C88 E88 G88 I88 K88 M88 C103 E103 G103 I103 K103 M103 C118 E118 G118 I118 K118 M118 C133 E133 G133 I133 K133 M133" xr:uid="{00000000-0002-0000-0300-00001F000000}">
      <formula1>AND(ISNUMBER(C13),C12&lt;&gt;"",B10&lt;&gt;"",C11&lt;&gt;"",$C8&lt;&gt;"",IF(C11=B11,AND(C13&gt;=Lmin,C13&lt;=Lmax,C13=INT(C13)),IF(B13&gt;70,AND(C13*10=INT(C13*10),C13/B13^3*10^5&gt;=VLOOKUP(B10,AL,9,FALSE),C13/B13^3*10^5&lt;=VLOOKUP(B10,AL,10,FALSE)),C13&lt;=10)))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4 E14 G14 I14 K14 M14 C29 E29 G29 I29 K29 M29 C44 E44 G44 I44 K44 M44 C59 E59 G59 I59 K59 M59 C74 E74 G74 I74 K74 M74 C89 E89 G89 I89 K89 M89 C104 E104 G104 I104 K104 M104 C119 E119 G119 I119 K119 M119 C134 E134 G134 I134 K134 M134" xr:uid="{00000000-0002-0000-0300-000020000000}">
      <formula1>AND(ISNUMBER(C14),C13&lt;&gt;"",B10&lt;&gt;"",C11&lt;&gt;"",$C8&lt;&gt;"",IF(C11=B11,AND(C14&gt;=Lmin,C14&lt;=Lmax,C14=INT(C14)),IF(B14&gt;70,AND(C14*10=INT(C14*10),C14/B14^3*10^5&gt;=VLOOKUP(B10,AL,9,FALSE),C14/B14^3*10^5&lt;=VLOOKUP(B10,AL,10,FALSE)),C14&lt;=10)))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5 E15 G15 I15 K15 M15 C30 E30 G30 I30 K30 M30 C45 E45 G45 I45 K45 M45 C60 E60 G60 I60 K60 M60 C75 E75 G75 I75 K75 M75 C90 E90 G90 I90 K90 M90 C105 E105 G105 I105 K105 M105 C120 E120 G120 I120 K120 M120 C135 E135 G135 I135 K135 M135" xr:uid="{00000000-0002-0000-0300-000021000000}">
      <formula1>AND(ISNUMBER(C15),C14&lt;&gt;"",B10&lt;&gt;"",C11&lt;&gt;"",$C8&lt;&gt;"",IF(C11=B11,AND(C15&gt;=Lmin,C15&lt;=Lmax,C15=INT(C15)),IF(B15&gt;70,AND(C15*10=INT(C15*10),C15/B15^3*10^5&gt;=VLOOKUP(B10,AL,9,FALSE),C15/B15^3*10^5&lt;=VLOOKUP(B10,AL,10,FALSE)),C15&lt;=10)))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6 E16 G16 I16 K16 M16 C31 E31 G31 I31 K31 M31 C46 E46 G46 I46 K46 M46 C61 E61 G61 I61 K61 M61 C76 E76 G76 I76 K76 M76 C91 E91 G91 I91 K91 M91 C106 E106 G106 I106 K106 M106 C121 E121 G121 I121 K121 M121 C136 E136 G136 I136 K136 M136" xr:uid="{00000000-0002-0000-0300-000022000000}">
      <formula1>AND(ISNUMBER(C16),C15&lt;&gt;"",B10&lt;&gt;"",C11&lt;&gt;"",$C8&lt;&gt;"",IF(C11=B11,AND(C16&gt;=Lmin,C16&lt;=Lmax,C16=INT(C16)),IF(B16&gt;70,AND(C16*10=INT(C16*10),C16/B16^3*10^5&gt;=VLOOKUP(B10,AL,9,FALSE),C16/B16^3*10^5&lt;=VLOOKUP(B10,AL,10,FALSE)),C16&lt;=10)))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7 E17 G17 I17 K17 M17 C32 E32 G32 I32 K32 M32 C47 E47 G47 I47 K47 M47 C62 E62 G62 I62 K62 M62 C77 E77 G77 I77 K77 M77 C92 E92 G92 I92 K92 M92 C107 E107 G107 I107 K107 M107 C122 E122 G122 I122 K122 M122 C137 E137 G137 I137 K137 M137" xr:uid="{00000000-0002-0000-0300-000023000000}">
      <formula1>AND(ISNUMBER(C17),C16&lt;&gt;"",B10&lt;&gt;"",C11&lt;&gt;"",$C8&lt;&gt;"",IF(C11=B11,AND(C17&gt;=Lmin,C17&lt;=Lmax,C17=INT(C17)),IF(B17&gt;70,AND(C17*10=INT(C17*10),C17/B17^3*10^5&gt;=VLOOKUP(B10,AL,9,FALSE),C17/B17^3*10^5&lt;=VLOOKUP(B10,AL,10,FALSE)),C17&lt;=10)))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8 E18 G18 I18 K18 M18 C33 E33 G33 I33 K33 M33 C48 E48 G48 I48 K48 M48 C63 E63 G63 I63 K63 M63 C78 E78 G78 I78 K78 M78 C93 E93 G93 I93 K93 M93 C108 E108 G108 I108 K108 M108 C123 E123 G123 I123 K123 M123 C138 E138 G138 I138 K138 M138" xr:uid="{00000000-0002-0000-0300-000024000000}">
      <formula1>AND(ISNUMBER(C18),C17&lt;&gt;"",B10&lt;&gt;"",C11&lt;&gt;"",$C8&lt;&gt;"",IF(C11=B11,AND(C18&gt;=Lmin,C18&lt;=Lmax,C18=INT(C18)),IF(B18&gt;70,AND(C18*10=INT(C18*10),C18/B18^3*10^5&gt;=VLOOKUP(B10,AL,9,FALSE),C18/B18^3*10^5&lt;=VLOOKUP(B10,AL,10,FALSE)),C18&lt;=10)))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19 E19 G19 I19 K19 M19 C34 E34 G34 I34 K34 M34 C49 E49 G49 I49 K49 M49 C64 E64 G64 I64 K64 M64 C79 E79 G79 I79 K79 M79 C94 E94 G94 I94 K94 M94 C109 E109 G109 I109 K109 M109 C124 E124 G124 I124 K124 M124 C139 E139 G139 I139 K139 M139" xr:uid="{00000000-0002-0000-0300-000025000000}">
      <formula1>AND(ISNUMBER(C19),C18&lt;&gt;"",B10&lt;&gt;"",C11&lt;&gt;"",$C8&lt;&gt;"",IF(C11=B11,AND(C19&gt;=Lmin,C19&lt;=Lmax,C19=INT(C19)),IF(B19&gt;70,AND(C19*10=INT(C19*10),C19/B19^3*10^5&gt;=VLOOKUP(B10,AL,9,FALSE),C19/B19^3*10^5&lt;=VLOOKUP(B10,AL,10,FALSE)),C19&lt;=10)))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20 E20 G20 I20 K20 M20 C35 E35 G35 I35 K35 M35 C50 E50 G50 I50 K50 M50 C65 E65 G65 I65 K65 M65 C80 E80 G80 I80 K80 M80 C95 E95 G95 I95 K95 M95 C110 E110 G110 I110 K110 M110 C125 E125 G125 I125 K125 M125 C140 E140 G140 I140 K140 M140" xr:uid="{00000000-0002-0000-0300-000026000000}">
      <formula1>AND(ISNUMBER(C20),C19&lt;&gt;"",B10&lt;&gt;"",C11&lt;&gt;"",$C8&lt;&gt;"",IF(C11=B11,AND(C20&gt;=Lmin,C20&lt;=Lmax,C20=INT(C20)),IF(B20&gt;70,AND(C20*10=INT(C20*10),C20/B20^3*10^5&gt;=VLOOKUP(B10,AL,9,FALSE),C20/B20^3*10^5&lt;=VLOOKUP(B10,AL,10,FALSE)),C20&lt;=10)))</formula1>
    </dataValidation>
    <dataValidation type="custom" showInputMessage="1" showErrorMessage="1" errorTitle="Otillåten inmatning!" error="Villkor som måste uppfyllas:_x000a_* Omgång, Art- &amp; Kolumnrubrik måste ha valts först_x000a_* Längd anges före vikt (längd = obligatoriskt), som heltal i mm_x000a_* Vikt anges i gram_x000a_* Längd/vikt-förhållandet får inte vara orimligt" sqref="C21 E21 G21 I21 K21 M21 C36 E36 G36 I36 K36 M36 C51 E51 G51 I51 K51 M51 C66 E66 G66 I66 K66 M66 C81 E81 G81 I81 K81 M81 C96 E96 G96 I96 K96 M96 C111 E111 G111 I111 K111 M111 C126 E126 G126 I126 K126 M126 C141 E141 G141 I141 K141 M141" xr:uid="{00000000-0002-0000-0300-000027000000}">
      <formula1>AND(ISNUMBER(C21),C20&lt;&gt;"",B10&lt;&gt;"",C11&lt;&gt;"",$C8&lt;&gt;"",IF(C11=B11,AND(C21&gt;=Lmin,C21&lt;=Lmax,C21=INT(C21)),IF(B21&gt;70,AND(C21*10=INT(C21*10),C21/B21^3*10^5&gt;=VLOOKUP(B10,AL,9,FALSE),C21/B21^3*10^5&lt;=VLOOKUP(B10,AL,10,FALSE)),C21&lt;=10)))</formula1>
    </dataValidation>
  </dataValidations>
  <pageMargins left="0.54" right="0.3" top="0.26" bottom="0.23" header="0.26" footer="0.17"/>
  <pageSetup paperSize="9" scale="73" orientation="portrait" r:id="rId1"/>
  <headerFooter alignWithMargins="0"/>
  <rowBreaks count="2" manualBreakCount="2">
    <brk id="51" max="16383" man="1"/>
    <brk id="96"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56"/>
  <sheetViews>
    <sheetView zoomScaleNormal="100" workbookViewId="0">
      <selection activeCell="B1" sqref="B1"/>
    </sheetView>
  </sheetViews>
  <sheetFormatPr defaultRowHeight="13.2" x14ac:dyDescent="0.25"/>
  <cols>
    <col min="1" max="1" width="32.33203125" customWidth="1"/>
    <col min="2" max="2" width="18" customWidth="1"/>
    <col min="3" max="3" width="26.33203125" customWidth="1"/>
    <col min="4" max="6" width="8.88671875" customWidth="1"/>
    <col min="7" max="7" width="11.33203125" customWidth="1"/>
    <col min="8" max="8" width="11" customWidth="1"/>
    <col min="9" max="9" width="11.109375" customWidth="1"/>
    <col min="10" max="10" width="17.5546875" customWidth="1"/>
    <col min="11" max="11" width="10.88671875" customWidth="1"/>
    <col min="12" max="12" width="8.88671875" customWidth="1"/>
    <col min="13" max="13" width="9" customWidth="1"/>
    <col min="14" max="14" width="9.33203125" customWidth="1"/>
    <col min="15" max="15" width="23.109375" customWidth="1"/>
    <col min="16" max="16" width="19" customWidth="1"/>
    <col min="17" max="17" width="9.109375" style="2" customWidth="1"/>
    <col min="18" max="18" width="12.33203125" style="2" customWidth="1"/>
    <col min="19" max="19" width="12.33203125" style="513" customWidth="1"/>
    <col min="20" max="20" width="9.109375" style="513" customWidth="1"/>
    <col min="21" max="22" width="9.109375" style="2" hidden="1" customWidth="1"/>
    <col min="23" max="23" width="12.33203125" style="2" hidden="1" customWidth="1"/>
    <col min="24" max="26" width="12.33203125" hidden="1" customWidth="1"/>
    <col min="27" max="34" width="9.109375" hidden="1" customWidth="1"/>
    <col min="35" max="35" width="10.109375" hidden="1" customWidth="1"/>
    <col min="36" max="37" width="9.109375" hidden="1" customWidth="1"/>
  </cols>
  <sheetData>
    <row r="1" spans="1:32" ht="17.25" customHeight="1" x14ac:dyDescent="0.3">
      <c r="A1" s="499" t="s">
        <v>1989</v>
      </c>
      <c r="B1" s="484"/>
      <c r="C1" s="457" t="str">
        <f>IF(ProtokollVdrnamn&lt;&gt;"","Vattendrag: "&amp;ProtokollVdrnamn,"Vattendrag: ")</f>
        <v>Vattendrag: Törlan</v>
      </c>
      <c r="D1" s="102"/>
      <c r="E1" s="102"/>
      <c r="F1" s="102"/>
      <c r="G1" s="102"/>
      <c r="I1" s="459" t="s">
        <v>894</v>
      </c>
      <c r="J1" s="509" t="str">
        <f>IF(Prot.Datum&lt;&gt;"",Prot.Datum,"")</f>
        <v>2020-08-19</v>
      </c>
      <c r="K1" s="102"/>
    </row>
    <row r="2" spans="1:32" ht="17.25" customHeight="1" x14ac:dyDescent="0.3">
      <c r="A2" s="499" t="s">
        <v>1994</v>
      </c>
      <c r="B2" s="637"/>
      <c r="C2" s="458" t="str">
        <f>IF(OR(PrLokNa&lt;&gt;"",PrLokNr&lt;&gt;""),"Lokal: "&amp;PrLokNa&amp;" "&amp;PrLokNr,"Lokal:")</f>
        <v xml:space="preserve">Lokal: Ovan bro mot Borrås </v>
      </c>
      <c r="D2" s="455"/>
      <c r="E2" s="455"/>
      <c r="F2" s="455"/>
      <c r="G2" s="455"/>
      <c r="I2" s="460" t="str">
        <f>IF(AND(ProtokollLkoordX&lt;&gt;"",ProtokollLkoordY&lt;&gt;""),"Koordinater: "&amp;ProtokollLkoordX&amp;" - "&amp;ProtokollLkoordY,"Koordinater: ")</f>
        <v>Koordinater: 6325882 - 1294786</v>
      </c>
      <c r="J2" s="510"/>
      <c r="K2" s="455"/>
      <c r="O2" s="136"/>
      <c r="P2" s="213"/>
      <c r="U2"/>
      <c r="W2" s="119" t="s">
        <v>75</v>
      </c>
      <c r="X2" s="119" t="s">
        <v>1984</v>
      </c>
    </row>
    <row r="3" spans="1:32" s="2" customFormat="1" ht="17.25" customHeight="1" x14ac:dyDescent="0.25">
      <c r="A3" s="499" t="s">
        <v>1993</v>
      </c>
      <c r="B3" s="638"/>
      <c r="G3" s="396"/>
      <c r="I3" s="396"/>
      <c r="J3" s="511" t="str">
        <f>IF(B1&lt;&gt;"",IF(SUM($R$6:$R$56)&lt;DCOUNT(Beräkningshjälp!$AF$2:$AH$1082,Beräkningshjälp!$AH$2,W2:W3),"Observera att det finns individer som är mindre än",""),"")</f>
        <v/>
      </c>
      <c r="O3" s="136"/>
      <c r="Q3" s="513" t="str">
        <f>IF(SUM(R6:R56)&gt;0,"Längdfördelning "&amp;B1&amp;IF(VLOOKUP(VLOOKUP(VLOOKUP($B$1,Beräkningshjälp!$N$2:$U$60,7,FALSE),Beräkningshjälp!$M$2:$O$60,3,FALSE),'DATA TILL SLU, LANGDER'!$E$1:$G$121,3,FALSE)="VISSA"," (Observera att inte alla fångade individer har längdmätts)",""),IF(B1&lt;&gt;"","Inga individer av "&amp;B1&amp;" har längdmätts",""))</f>
        <v/>
      </c>
      <c r="R3" s="513"/>
      <c r="S3" s="515" t="e">
        <f>IF(VLOOKUP(B1,Beräkningshjälp!N2:U60,COLUMN(Beräkningshjälp!P1)-COLUMN(Beräkningshjälp!N1)+1,FALSE)&gt;0,VLOOKUP(VLOOKUP(B1,Beräkningshjälp!N2:U60,COLUMN(Beräkningshjälp!U1)-COLUMN(Beräkningshjälp!N1)+1,FALSE),I11:K22,COLUMN(K10)-COLUMN(I10)+1,FALSE),"")</f>
        <v>#N/A</v>
      </c>
      <c r="T3" s="513"/>
      <c r="W3" s="551" t="str">
        <f>IF($W$6&lt;&gt;"",$W$6,"")</f>
        <v/>
      </c>
      <c r="X3" s="352" t="s">
        <v>76</v>
      </c>
    </row>
    <row r="4" spans="1:32" ht="17.25" customHeight="1" x14ac:dyDescent="0.25">
      <c r="A4" s="499" t="s">
        <v>2046</v>
      </c>
      <c r="B4" s="637"/>
      <c r="J4" s="511" t="str">
        <f>IF(B1&lt;&gt;"",IF(SUM($R$6:$R$56)&lt;DCOUNT(Beräkningshjälp!$AF$2:$AH$1082,Beräkningshjälp!$AH$2,W2:W3),"de intervall som visas i diagrammet",""),"")</f>
        <v/>
      </c>
      <c r="P4" s="213"/>
      <c r="Q4" s="513"/>
      <c r="R4" s="513"/>
      <c r="S4" s="515" t="e">
        <f>IF(S3&lt;&gt;"",IF(S3&lt;&gt;"X",IF(ISNUMBER(S3),S3,IF(ISNUMBER(RIGHT(S3,LEN(S3)-1)*1),RIGHT(S3,LEN(S3)-1)*1-1,RIGHT(S3,LEN(S3)-2)*1)),0),"")</f>
        <v>#N/A</v>
      </c>
      <c r="U4"/>
      <c r="V4"/>
      <c r="W4"/>
    </row>
    <row r="5" spans="1:32" x14ac:dyDescent="0.25">
      <c r="J5" s="136"/>
      <c r="K5" s="353"/>
      <c r="O5" s="353"/>
      <c r="Q5" s="396" t="s">
        <v>1996</v>
      </c>
      <c r="R5" s="396" t="s">
        <v>1990</v>
      </c>
      <c r="S5" s="516" t="s">
        <v>1997</v>
      </c>
      <c r="T5" s="516" t="str">
        <f>IF(VLOOKUP("Totalt:",Artuppgifter!C27:M50,5,FALSE)=0,"","Osynlig")</f>
        <v/>
      </c>
      <c r="U5" s="353" t="s">
        <v>1984</v>
      </c>
      <c r="V5" s="353" t="s">
        <v>1984</v>
      </c>
      <c r="W5" s="119" t="s">
        <v>75</v>
      </c>
    </row>
    <row r="6" spans="1:32" x14ac:dyDescent="0.25">
      <c r="A6" s="456" t="s">
        <v>2002</v>
      </c>
      <c r="J6" s="507" t="str">
        <f>IF(MAX(Beräkningshjälp!M2:M60)&gt;12,"Obervera att det fångats fler arter än vad protokollet klarar","")</f>
        <v/>
      </c>
      <c r="K6" s="353"/>
      <c r="Q6" s="2" t="str">
        <f>RIGHT(U6,LEN(U6)-2)&amp;" - "&amp;RIGHT(V6,LEN(V6)-2)</f>
        <v>1 - 5</v>
      </c>
      <c r="R6" s="136">
        <f>IF($B$1&lt;&gt;"",DCOUNT(Beräkningshjälp!$AC$2:$AI$1082,Beräkningshjälp!$AH$2,U5:W6),0)</f>
        <v>0</v>
      </c>
      <c r="S6" s="513">
        <f>IF($B$1&lt;&gt;"",IF(AND($S$4&gt;=RIGHT(U6,LEN(U6)-2)*1,AND($S$4&lt;=RIGHT(V6,LEN(V6)-2)*1)),MAX(T$6:T$56),0),0)</f>
        <v>0</v>
      </c>
      <c r="T6" s="515">
        <f>IF(MAX(R$6:R$56)&lt;10,9,IF(MAX(R$6:R$56)&lt;20,18,IF(MAX(R$6:R$56)&lt;50,45,90)))</f>
        <v>9</v>
      </c>
      <c r="U6" s="443" t="str">
        <f>"&gt;="&amp;IF(B2&lt;&gt;"",B2,1)</f>
        <v>&gt;=1</v>
      </c>
      <c r="V6" s="444" t="str">
        <f>"&lt;="&amp;IF($B$3&lt;&gt;"",$B$3,5)+RIGHT(U6,LEN(U6)-2)*1-1</f>
        <v>&lt;=5</v>
      </c>
      <c r="W6" s="552" t="str">
        <f>IF(B1&lt;&gt;"",VLOOKUP(B1,Beräkningshjälp!N$2:U$60,7,FALSE),"")</f>
        <v/>
      </c>
      <c r="X6" s="353" t="s">
        <v>1984</v>
      </c>
      <c r="Y6" s="353" t="s">
        <v>1984</v>
      </c>
      <c r="Z6" s="119" t="s">
        <v>75</v>
      </c>
      <c r="AC6" s="115" t="s">
        <v>75</v>
      </c>
      <c r="AD6" s="119" t="s">
        <v>1984</v>
      </c>
    </row>
    <row r="7" spans="1:32" x14ac:dyDescent="0.25">
      <c r="A7" s="210" t="s">
        <v>2049</v>
      </c>
      <c r="J7" s="507" t="str">
        <f>IF(MAX(Beräkningshjälp!M2:M60)&gt;12,"att registrera på ett korrekt sätt","")</f>
        <v/>
      </c>
      <c r="Q7" s="2" t="str">
        <f>RIGHT(X7,LEN(X7)-2)&amp;" - "&amp;RIGHT(Y7,LEN(Y7)-2)</f>
        <v>6 - 10</v>
      </c>
      <c r="R7" s="136">
        <f>IF($B$1&lt;&gt;"",DCOUNT(Beräkningshjälp!$AC$2:$AI$1082,Beräkningshjälp!$AH$2,X6:Z7),0)</f>
        <v>0</v>
      </c>
      <c r="S7" s="513">
        <f>IF($B$1&lt;&gt;"",IF(AND($S$4&gt;=RIGHT(X7,LEN(X7)-2)*1,AND($S$4&lt;=RIGHT(Y7,LEN(Y7)-2)*1)),MAX(T$6:T$56),0),0)</f>
        <v>0</v>
      </c>
      <c r="T7" s="515">
        <f t="shared" ref="T7:T56" si="0">IF(MAX(R$6:R$56)&lt;10,9,IF(MAX(R$6:R$56)&lt;20,18,IF(MAX(R$6:R$56)&lt;50,45,90)))</f>
        <v>9</v>
      </c>
      <c r="U7" s="353" t="s">
        <v>1984</v>
      </c>
      <c r="V7" s="353" t="s">
        <v>1984</v>
      </c>
      <c r="W7" s="119" t="s">
        <v>75</v>
      </c>
      <c r="X7" s="442" t="str">
        <f>"&gt;="&amp;RIGHT(V6,LEN(V6)-2)*1+1</f>
        <v>&gt;=6</v>
      </c>
      <c r="Y7" s="445" t="str">
        <f>"&lt;="&amp;IF($B$3&lt;&gt;"",$B$3,5)+RIGHT(X7,LEN(X7)-2)*1-1</f>
        <v>&lt;=10</v>
      </c>
      <c r="Z7" s="551" t="str">
        <f>IF($W$6&lt;&gt;"",$W$6,"")</f>
        <v/>
      </c>
      <c r="AC7" s="115">
        <v>1</v>
      </c>
      <c r="AD7" s="454" t="str">
        <f>IF(AND($I11&lt;&gt;"",$K11&lt;&gt;0),IF(ISNUMBER($K11),"&lt;="&amp;$K11,IF(OR(ISNUMBER(RIGHT($K11,LEN($K11)-2)*1),ISNUMBER(RIGHT($K11,LEN($K11)-1)*1)),$K11,"")),"")</f>
        <v/>
      </c>
      <c r="AE7" s="115" t="s">
        <v>75</v>
      </c>
      <c r="AF7" s="119" t="s">
        <v>1984</v>
      </c>
    </row>
    <row r="8" spans="1:32" x14ac:dyDescent="0.25">
      <c r="A8" s="210" t="s">
        <v>2017</v>
      </c>
      <c r="J8" s="495"/>
      <c r="K8" s="495"/>
      <c r="L8" s="496" t="s">
        <v>1999</v>
      </c>
      <c r="M8" s="495"/>
      <c r="N8" s="496" t="s">
        <v>2000</v>
      </c>
      <c r="O8" s="512">
        <f>'Antal &amp; Längder (vikter)'!G8</f>
        <v>0</v>
      </c>
      <c r="P8" s="513"/>
      <c r="Q8" s="2" t="str">
        <f>RIGHT(U8,LEN(U8)-2)&amp;" - "&amp;RIGHT(V8,LEN(V8)-2)</f>
        <v>11 - 15</v>
      </c>
      <c r="R8" s="136">
        <f>IF($B$1&lt;&gt;"",DCOUNT(Beräkningshjälp!$AC$2:$AI$1082,Beräkningshjälp!$AH$2,U7:W8),0)</f>
        <v>0</v>
      </c>
      <c r="S8" s="513">
        <f>IF($B$1&lt;&gt;"",IF(AND($S$4&gt;=RIGHT(U8,LEN(U8)-2)*1,AND($S$4&lt;=RIGHT(V8,LEN(V8)-2)*1)),MAX(T$6:T$56),0),0)</f>
        <v>0</v>
      </c>
      <c r="T8" s="515">
        <f t="shared" si="0"/>
        <v>9</v>
      </c>
      <c r="U8" s="445" t="str">
        <f>"&gt;="&amp;RIGHT(Y7,LEN(Y7)-2)*1+1</f>
        <v>&gt;=11</v>
      </c>
      <c r="V8" s="444" t="str">
        <f>"&lt;="&amp;IF($B$3&lt;&gt;"",$B$3,5)+RIGHT(U8,LEN(U8)-2)*1-1</f>
        <v>&lt;=15</v>
      </c>
      <c r="W8" s="551" t="str">
        <f>IF($W$6&lt;&gt;"",$W$6,"")</f>
        <v/>
      </c>
      <c r="X8" s="353" t="s">
        <v>1984</v>
      </c>
      <c r="Y8" s="353" t="s">
        <v>1984</v>
      </c>
      <c r="Z8" s="119" t="s">
        <v>75</v>
      </c>
      <c r="AC8" s="115" t="s">
        <v>75</v>
      </c>
      <c r="AD8" s="119" t="s">
        <v>1984</v>
      </c>
      <c r="AE8" s="115">
        <f>AC7+1</f>
        <v>2</v>
      </c>
      <c r="AF8" s="454" t="str">
        <f>IF(AND($I12&lt;&gt;"",$K12&lt;&gt;0),IF(ISNUMBER($K12),"&lt;="&amp;$K12,IF(OR(ISNUMBER(RIGHT($K12,LEN($K12)-2)*1),ISNUMBER(RIGHT($K12,LEN($K12)-1)*1)),$K12,"")),"")</f>
        <v/>
      </c>
    </row>
    <row r="9" spans="1:32" x14ac:dyDescent="0.25">
      <c r="A9" s="210" t="s">
        <v>2003</v>
      </c>
      <c r="J9" s="1113" t="s">
        <v>582</v>
      </c>
      <c r="K9" s="497" t="s">
        <v>2008</v>
      </c>
      <c r="L9" s="497" t="s">
        <v>2010</v>
      </c>
      <c r="M9" s="497" t="s">
        <v>2000</v>
      </c>
      <c r="N9" s="497" t="s">
        <v>2010</v>
      </c>
      <c r="O9" s="512">
        <f>'Antal &amp; Längder (vikter)'!G98</f>
        <v>0</v>
      </c>
      <c r="P9" s="513"/>
      <c r="Q9" s="2" t="str">
        <f>RIGHT(X9,LEN(X9)-2)&amp;" - "&amp;RIGHT(Y9,LEN(Y9)-2)</f>
        <v>16 - 20</v>
      </c>
      <c r="R9" s="136">
        <f>IF($B$1&lt;&gt;"",DCOUNT(Beräkningshjälp!$AC$2:$AI$1082,Beräkningshjälp!$AH$2,X8:Z9),0)</f>
        <v>0</v>
      </c>
      <c r="S9" s="513">
        <f>IF($B$1&lt;&gt;"",IF(AND($S$4&gt;=RIGHT(X9,LEN(X9)-2)*1,AND($S$4&lt;=RIGHT(Y9,LEN(Y9)-2)*1)),MAX(T$6:T$56),0),0)</f>
        <v>0</v>
      </c>
      <c r="T9" s="515">
        <f t="shared" si="0"/>
        <v>9</v>
      </c>
      <c r="U9" s="353" t="s">
        <v>1984</v>
      </c>
      <c r="V9" s="353" t="s">
        <v>1984</v>
      </c>
      <c r="W9" s="119" t="s">
        <v>75</v>
      </c>
      <c r="X9" s="442" t="str">
        <f>"&gt;="&amp;RIGHT(V8,LEN(V8)-2)*1+1</f>
        <v>&gt;=16</v>
      </c>
      <c r="Y9" s="445" t="str">
        <f>"&lt;="&amp;IF($B$3&lt;&gt;"",$B$3,5)+RIGHT(X9,LEN(X9)-2)*1-1</f>
        <v>&lt;=20</v>
      </c>
      <c r="Z9" s="551" t="str">
        <f>IF($W$6&lt;&gt;"",$W$6,"")</f>
        <v/>
      </c>
      <c r="AC9" s="115">
        <f>AE8+1</f>
        <v>3</v>
      </c>
      <c r="AD9" s="454" t="str">
        <f>IF(AND($I13&lt;&gt;"",$K13&lt;&gt;0),IF(ISNUMBER($K13),"&lt;="&amp;$K13,IF(OR(ISNUMBER(RIGHT($K13,LEN($K13)-2)*1),ISNUMBER(RIGHT($K13,LEN($K13)-1)*1)),$K13,"")),"")</f>
        <v/>
      </c>
      <c r="AE9" s="115" t="s">
        <v>75</v>
      </c>
      <c r="AF9" s="119" t="s">
        <v>1984</v>
      </c>
    </row>
    <row r="10" spans="1:32" ht="13.8" thickBot="1" x14ac:dyDescent="0.3">
      <c r="A10" s="210" t="s">
        <v>2004</v>
      </c>
      <c r="I10" s="2"/>
      <c r="J10" s="1114"/>
      <c r="K10" s="498" t="s">
        <v>2009</v>
      </c>
      <c r="L10" s="498" t="s">
        <v>2011</v>
      </c>
      <c r="M10" s="498" t="s">
        <v>2001</v>
      </c>
      <c r="N10" s="498" t="s">
        <v>2011</v>
      </c>
      <c r="O10" s="513" t="s">
        <v>2029</v>
      </c>
      <c r="P10" s="512" t="s">
        <v>2030</v>
      </c>
      <c r="Q10" s="2" t="str">
        <f>RIGHT(U10,LEN(U10)-2)&amp;" - "&amp;RIGHT(V10,LEN(V10)-2)</f>
        <v>21 - 25</v>
      </c>
      <c r="R10" s="136">
        <f>IF($B$1&lt;&gt;"",DCOUNT(Beräkningshjälp!$AC$2:$AI$1082,Beräkningshjälp!$AH$2,U9:W10),0)</f>
        <v>0</v>
      </c>
      <c r="S10" s="513">
        <f>IF($B$1&lt;&gt;"",IF(AND($S$4&gt;=RIGHT(U10,LEN(U10)-2)*1,AND($S$4&lt;=RIGHT(V10,LEN(V10)-2)*1)),MAX(T$6:T$56),0),0)</f>
        <v>0</v>
      </c>
      <c r="T10" s="515">
        <f t="shared" si="0"/>
        <v>9</v>
      </c>
      <c r="U10" s="445" t="str">
        <f>"&gt;="&amp;RIGHT(Y9,LEN(Y9)-2)*1+1</f>
        <v>&gt;=21</v>
      </c>
      <c r="V10" s="444" t="str">
        <f>"&lt;="&amp;IF($B$3&lt;&gt;"",$B$3,5)+RIGHT(U10,LEN(U10)-2)*1-1</f>
        <v>&lt;=25</v>
      </c>
      <c r="W10" s="551" t="str">
        <f>IF($W$6&lt;&gt;"",$W$6,"")</f>
        <v/>
      </c>
      <c r="X10" s="353" t="s">
        <v>1984</v>
      </c>
      <c r="Y10" s="353" t="s">
        <v>1984</v>
      </c>
      <c r="Z10" s="119" t="s">
        <v>75</v>
      </c>
      <c r="AC10" s="115" t="s">
        <v>75</v>
      </c>
      <c r="AD10" s="119" t="s">
        <v>1984</v>
      </c>
      <c r="AE10" s="115">
        <f>AC9+1</f>
        <v>4</v>
      </c>
      <c r="AF10" s="454" t="str">
        <f>IF(AND($I14&lt;&gt;"",$K14&lt;&gt;0),IF(ISNUMBER($K14),"&lt;="&amp;$K14,IF(OR(ISNUMBER(RIGHT($K14,LEN($K14)-2)*1),ISNUMBER(RIGHT($K14,LEN($K14)-1)*1)),$K14,"")),"")</f>
        <v/>
      </c>
    </row>
    <row r="11" spans="1:32" x14ac:dyDescent="0.25">
      <c r="A11" s="210" t="s">
        <v>2019</v>
      </c>
      <c r="I11" s="116">
        <f>IF(AND(COUNT(Beräkningshjälp!U$2:U$60)&gt;0,COUNT(Beräkningshjälp!M$2:M$60)&gt;=ROW(I10)-ROW(I$10)+1),ROW(I10)-ROW(I$10)+1,"")</f>
        <v>1</v>
      </c>
      <c r="J11" s="210" t="str">
        <f>IF(I11&lt;&gt;"",VLOOKUP(I11,Beräkningshjälp!M$1:N$60,COLUMN(Beräkningshjälp!N$1)-COLUMN(Beräkningshjälp!M$1)+1,FALSE),"")</f>
        <v>INGEN FÅNGST</v>
      </c>
      <c r="K11" s="491"/>
      <c r="L11" t="str">
        <f>IF(J11&lt;&gt;"",IF(ROUND((ROW(L10)-ROW(L$10))/2,0)=INT((ROW(L10)-ROW(L$10))/2),IF(DMIN(Beräkningshjälp!$AC$2:$AI$1082,Beräkningshjälp!$AH$2,AC6:AC7)&gt;0,DMIN(Beräkningshjälp!$AC$2:$AI$1082,Beräkningshjälp!$AH$2,AC6:AC7),""),IF(DMIN(Beräkningshjälp!$AC$2:$AI$1082,Beräkningshjälp!$AH$2,AE6:AE7)&gt;0,DMIN(Beräkningshjälp!$AC$2:$AI$1082,Beräkningshjälp!$AH$2,AE6:AE7),"")),"")</f>
        <v/>
      </c>
      <c r="M11" t="str">
        <f>IF(AND(J11&lt;&gt;"",K11&lt;&gt;""),IF(ROUND((ROW(M10)-ROW(M$10))/2,0)=INT((ROW(M10)-ROW(M$10))/2),IF(DMAX(Beräkningshjälp!$AC$2:$AI$1082,Beräkningshjälp!$AH$2,AC6:AD7)=0,"Saknas",DMAX(Beräkningshjälp!$AC$2:$AI$1082,Beräkningshjälp!$AH$2,AC6:AD7)),IF(DMAX(Beräkningshjälp!$AC$2:$AI$1082,Beräkningshjälp!$AH$2,AE6:AF7)=0,"Saknas",DMAX(Beräkningshjälp!$AC$2:$AI$1082,Beräkningshjälp!$AH$2,AE6:AF7))),"")</f>
        <v/>
      </c>
      <c r="N11" t="str">
        <f>IF(J11&lt;&gt;"",IF(ROUND((ROW(N10)-ROW(N$10))/2,0)=INT((ROW(N10)-ROW(N$10))/2),IF(DMAX(Beräkningshjälp!$AC$2:$AI$1082,Beräkningshjälp!$AH$2,AC6:AC7)&gt;0,DMAX(Beräkningshjälp!$AC$2:$AI$1082,Beräkningshjälp!$AH$2,AC6:AC7),""),IF(DMAX(Beräkningshjälp!$AC$2:$AI$1082,Beräkningshjälp!$AH$2,AE6:AE7)&gt;0,DMAX(Beräkningshjälp!$AC$2:$AI$1082,Beräkningshjälp!$AH$2,AE6:AE7),"")),"")</f>
        <v/>
      </c>
      <c r="O11" s="514" t="b">
        <f>IF(J11&lt;&gt;"",IF(AND($O$8&lt;&gt;0,LEFT($O$8,7)="Angivna"),AND(ISNUMBER(SEARCH("max- &amp; minimivärden",$O$8)),ISNUMBER(SEARCH(J11,$O$8)),DCOUNT(Beräkningshjälp!$AG$2:$AH$1082,Beräkningshjälp!$AH$2,AC6:AC7)=2),IF(AND($O$9&lt;&gt;0,LEFT($O$9,7)="Angivna"),AND(ISNUMBER(SEARCH("max- &amp; minimivärden",$O$9)),ISNUMBER(SEARCH(J11,$O$9)),DCOUNT(Beräkningshjälp!$AG$2:$AH$1082,Beräkningshjälp!$AH$2,AC6:AC7)=2),FALSE)),"")</f>
        <v>0</v>
      </c>
      <c r="P11" s="514" t="b">
        <f>IF(J11&lt;&gt;"",IF(AND($O$8&lt;&gt;0,LEFT($O$8,9)="De minsta"),AND(ISNUMBER(SEARCH("medelvikt",$O$8)),ISNUMBER(SEARCH(J11,$O$8))),IF(AND($O$9&lt;&gt;0,LEFT($O$9,7)="De minsta"),AND(ISNUMBER(SEARCH("medelvikt",$O$9)),ISNUMBER(SEARCH(J11,$O$9))),FALSE)),"")</f>
        <v>0</v>
      </c>
      <c r="Q11" s="2" t="str">
        <f>RIGHT(X11,LEN(X11)-2)&amp;" - "&amp;RIGHT(Y11,LEN(Y11)-2)</f>
        <v>26 - 30</v>
      </c>
      <c r="R11" s="136">
        <f>IF($B$1&lt;&gt;"",DCOUNT(Beräkningshjälp!$AC$2:$AI$1082,Beräkningshjälp!$AH$2,X10:Z11),0)</f>
        <v>0</v>
      </c>
      <c r="S11" s="513">
        <f>IF($B$1&lt;&gt;"",IF(AND($S$4&gt;=RIGHT(X11,LEN(X11)-2)*1,AND($S$4&lt;=RIGHT(Y11,LEN(Y11)-2)*1)),MAX(T$6:T$56),0),0)</f>
        <v>0</v>
      </c>
      <c r="T11" s="515">
        <f t="shared" si="0"/>
        <v>9</v>
      </c>
      <c r="U11" s="353" t="s">
        <v>1984</v>
      </c>
      <c r="V11" s="353" t="s">
        <v>1984</v>
      </c>
      <c r="W11" s="119" t="s">
        <v>75</v>
      </c>
      <c r="X11" s="442" t="str">
        <f>"&gt;="&amp;RIGHT(V10,LEN(V10)-2)*1+1</f>
        <v>&gt;=26</v>
      </c>
      <c r="Y11" s="445" t="str">
        <f>"&lt;="&amp;IF($B$3&lt;&gt;"",$B$3,5)+RIGHT(X11,LEN(X11)-2)*1-1</f>
        <v>&lt;=30</v>
      </c>
      <c r="Z11" s="551" t="str">
        <f>IF($W$6&lt;&gt;"",$W$6,"")</f>
        <v/>
      </c>
      <c r="AC11" s="115">
        <f>AE10+1</f>
        <v>5</v>
      </c>
      <c r="AD11" s="454" t="str">
        <f>IF(AND($I15&lt;&gt;"",$K15&lt;&gt;0),IF(ISNUMBER($K15),"&lt;="&amp;$K15,IF(OR(ISNUMBER(RIGHT($K15,LEN($K15)-2)*1),ISNUMBER(RIGHT($K15,LEN($K15)-1)*1)),$K15,"")),"")</f>
        <v/>
      </c>
      <c r="AE11" s="115" t="s">
        <v>75</v>
      </c>
      <c r="AF11" s="119" t="s">
        <v>1984</v>
      </c>
    </row>
    <row r="12" spans="1:32" x14ac:dyDescent="0.25">
      <c r="A12" s="210" t="s">
        <v>2050</v>
      </c>
      <c r="I12" s="116" t="str">
        <f>IF(AND(COUNT(Beräkningshjälp!U$2:U$60)&gt;0,COUNT(Beräkningshjälp!M$2:M$60)&gt;=ROW(I11)-ROW(I$10)+1),ROW(I11)-ROW(I$10)+1,"")</f>
        <v/>
      </c>
      <c r="J12" s="210" t="str">
        <f>IF(I12&lt;&gt;"",VLOOKUP(I12,Beräkningshjälp!M$1:N$60,COLUMN(Beräkningshjälp!N$1)-COLUMN(Beräkningshjälp!M$1)+1,FALSE),"")</f>
        <v/>
      </c>
      <c r="K12" s="491"/>
      <c r="L12" t="str">
        <f>IF(J12&lt;&gt;"",IF(ROUND((ROW(L11)-ROW(L$10))/2,0)=INT((ROW(L11)-ROW(L$10))/2),IF(DMIN(Beräkningshjälp!$AC$2:$AI$1082,Beräkningshjälp!$AH$2,AC7:AC8)&gt;0,DMIN(Beräkningshjälp!$AC$2:$AI$1082,Beräkningshjälp!$AH$2,AC7:AC8),""),IF(DMIN(Beräkningshjälp!$AC$2:$AI$1082,Beräkningshjälp!$AH$2,AE7:AE8)&gt;0,DMIN(Beräkningshjälp!$AC$2:$AI$1082,Beräkningshjälp!$AH$2,AE7:AE8),"")),"")</f>
        <v/>
      </c>
      <c r="M12" t="str">
        <f>IF(AND(J12&lt;&gt;"",K12&lt;&gt;""),IF(ROUND((ROW(M11)-ROW(M$10))/2,0)=INT((ROW(M11)-ROW(M$10))/2),IF(DMAX(Beräkningshjälp!$AC$2:$AI$1082,Beräkningshjälp!$AH$2,AC7:AD8)=0,"Saknas",DMAX(Beräkningshjälp!$AC$2:$AI$1082,Beräkningshjälp!$AH$2,AC7:AD8)),IF(DMAX(Beräkningshjälp!$AC$2:$AI$1082,Beräkningshjälp!$AH$2,AE7:AF8)=0,"Saknas",DMAX(Beräkningshjälp!$AC$2:$AI$1082,Beräkningshjälp!$AH$2,AE7:AF8))),"")</f>
        <v/>
      </c>
      <c r="N12" t="str">
        <f>IF(J12&lt;&gt;"",IF(ROUND((ROW(N11)-ROW(N$10))/2,0)=INT((ROW(N11)-ROW(N$10))/2),IF(DMAX(Beräkningshjälp!$AC$2:$AI$1082,Beräkningshjälp!$AH$2,AC7:AC8)&gt;0,DMAX(Beräkningshjälp!$AC$2:$AI$1082,Beräkningshjälp!$AH$2,AC7:AC8),""),IF(DMAX(Beräkningshjälp!$AC$2:$AI$1082,Beräkningshjälp!$AH$2,AE7:AE8)&gt;0,DMAX(Beräkningshjälp!$AC$2:$AI$1082,Beräkningshjälp!$AH$2,AE7:AE8),"")),"")</f>
        <v/>
      </c>
      <c r="O12" s="514" t="str">
        <f>IF(J12&lt;&gt;"",IF(AND($O$8&lt;&gt;0,LEFT($O$8,7)="Angivna"),AND(ISNUMBER(SEARCH("max- &amp; minimivärden",$O$8)),ISNUMBER(SEARCH(J12,$O$8)),DCOUNT(Beräkningshjälp!$AG$2:$AH$1082,Beräkningshjälp!$AH$2,AE7:AE8)=2),IF(AND($O$9&lt;&gt;0,LEFT($O$9,7)="Angivna"),AND(ISNUMBER(SEARCH("max- &amp; minimivärden",$O$9)),ISNUMBER(SEARCH(J12,$O$9)),DCOUNT(Beräkningshjälp!$AG$2:$AH$1082,Beräkningshjälp!$AH$2,AE7:AE8)=2),FALSE)),"")</f>
        <v/>
      </c>
      <c r="P12" s="514" t="str">
        <f t="shared" ref="P12:P22" si="1">IF(J12&lt;&gt;"",IF(AND($O$8&lt;&gt;0,LEFT($O$8,9)="De minsta"),AND(ISNUMBER(SEARCH("medelvikt",$O$8)),ISNUMBER(SEARCH(J12,$O$8))),IF(AND($O$9&lt;&gt;0,LEFT($O$9,7)="De minsta"),AND(ISNUMBER(SEARCH("medelvikt",$O$9)),ISNUMBER(SEARCH(J12,$O$9))),FALSE)),"")</f>
        <v/>
      </c>
      <c r="Q12" s="2" t="str">
        <f>RIGHT(U12,LEN(U12)-2)&amp;" - "&amp;RIGHT(V12,LEN(V12)-2)</f>
        <v>31 - 35</v>
      </c>
      <c r="R12" s="136">
        <f>IF($B$1&lt;&gt;"",DCOUNT(Beräkningshjälp!$AC$2:$AI$1082,Beräkningshjälp!$AH$2,U11:W12),0)</f>
        <v>0</v>
      </c>
      <c r="S12" s="513">
        <f>IF($B$1&lt;&gt;"",IF(AND($S$4&gt;=RIGHT(U12,LEN(U12)-2)*1,AND($S$4&lt;=RIGHT(V12,LEN(V12)-2)*1)),MAX(T$6:T$56),0),0)</f>
        <v>0</v>
      </c>
      <c r="T12" s="515">
        <f t="shared" si="0"/>
        <v>9</v>
      </c>
      <c r="U12" s="445" t="str">
        <f>"&gt;="&amp;RIGHT(Y11,LEN(Y11)-2)*1+1</f>
        <v>&gt;=31</v>
      </c>
      <c r="V12" s="444" t="str">
        <f>"&lt;="&amp;IF($B$3&lt;&gt;"",$B$3,5)+RIGHT(U12,LEN(U12)-2)*1-1</f>
        <v>&lt;=35</v>
      </c>
      <c r="W12" s="551" t="str">
        <f>IF($W$6&lt;&gt;"",$W$6,"")</f>
        <v/>
      </c>
      <c r="X12" s="353" t="s">
        <v>1984</v>
      </c>
      <c r="Y12" s="353" t="s">
        <v>1984</v>
      </c>
      <c r="Z12" s="119" t="s">
        <v>75</v>
      </c>
      <c r="AC12" s="115" t="s">
        <v>75</v>
      </c>
      <c r="AD12" s="119" t="s">
        <v>1984</v>
      </c>
      <c r="AE12" s="115">
        <f>AC11+1</f>
        <v>6</v>
      </c>
      <c r="AF12" s="454" t="str">
        <f>IF(AND($I16&lt;&gt;"",$K16&lt;&gt;0),IF(ISNUMBER($K16),"&lt;="&amp;$K16,IF(OR(ISNUMBER(RIGHT($K16,LEN($K16)-2)*1),ISNUMBER(RIGHT($K16,LEN($K16)-1)*1)),$K16,"")),"")</f>
        <v/>
      </c>
    </row>
    <row r="13" spans="1:32" x14ac:dyDescent="0.25">
      <c r="A13" s="210" t="s">
        <v>2021</v>
      </c>
      <c r="I13" s="116" t="str">
        <f>IF(AND(COUNT(Beräkningshjälp!U$2:U$60)&gt;0,COUNT(Beräkningshjälp!M$2:M$60)&gt;=ROW(I12)-ROW(I$10)+1),ROW(I12)-ROW(I$10)+1,"")</f>
        <v/>
      </c>
      <c r="J13" s="210" t="str">
        <f>IF(I13&lt;&gt;"",VLOOKUP(I13,Beräkningshjälp!M$1:N$60,COLUMN(Beräkningshjälp!N$1)-COLUMN(Beräkningshjälp!M$1)+1,FALSE),"")</f>
        <v/>
      </c>
      <c r="K13" s="491"/>
      <c r="L13" t="str">
        <f>IF(J13&lt;&gt;"",IF(ROUND((ROW(L12)-ROW(L$10))/2,0)=INT((ROW(L12)-ROW(L$10))/2),IF(DMIN(Beräkningshjälp!$AC$2:$AI$1082,Beräkningshjälp!$AH$2,AC8:AC9)&gt;0,DMIN(Beräkningshjälp!$AC$2:$AI$1082,Beräkningshjälp!$AH$2,AC8:AC9),""),IF(DMIN(Beräkningshjälp!$AC$2:$AI$1082,Beräkningshjälp!$AH$2,AE8:AE9)&gt;0,DMIN(Beräkningshjälp!$AC$2:$AI$1082,Beräkningshjälp!$AH$2,AE8:AE9),"")),"")</f>
        <v/>
      </c>
      <c r="M13" t="str">
        <f>IF(AND(J13&lt;&gt;"",K13&lt;&gt;""),IF(ROUND((ROW(M12)-ROW(M$10))/2,0)=INT((ROW(M12)-ROW(M$10))/2),IF(DMAX(Beräkningshjälp!$AC$2:$AI$1082,Beräkningshjälp!$AH$2,AC8:AD9)=0,"Saknas",DMAX(Beräkningshjälp!$AC$2:$AI$1082,Beräkningshjälp!$AH$2,AC8:AD9)),IF(DMAX(Beräkningshjälp!$AC$2:$AI$1082,Beräkningshjälp!$AH$2,AE8:AF9)=0,"Saknas",DMAX(Beräkningshjälp!$AC$2:$AI$1082,Beräkningshjälp!$AH$2,AE8:AF9))),"")</f>
        <v/>
      </c>
      <c r="N13" t="str">
        <f>IF(J13&lt;&gt;"",IF(ROUND((ROW(N12)-ROW(N$10))/2,0)=INT((ROW(N12)-ROW(N$10))/2),IF(DMAX(Beräkningshjälp!$AC$2:$AI$1082,Beräkningshjälp!$AH$2,AC8:AC9)&gt;0,DMAX(Beräkningshjälp!$AC$2:$AI$1082,Beräkningshjälp!$AH$2,AC8:AC9),""),IF(DMAX(Beräkningshjälp!$AC$2:$AI$1082,Beräkningshjälp!$AH$2,AE8:AE9)&gt;0,DMAX(Beräkningshjälp!$AC$2:$AI$1082,Beräkningshjälp!$AH$2,AE8:AE9),"")),"")</f>
        <v/>
      </c>
      <c r="O13" s="514" t="str">
        <f>IF(J13&lt;&gt;"",IF(AND($O$8&lt;&gt;0,LEFT($O$8,7)="Angivna"),AND(ISNUMBER(SEARCH("max- &amp; minimivärden",$O$8)),ISNUMBER(SEARCH(J13,$O$8)),DCOUNT(Beräkningshjälp!$AG$2:$AH$1082,Beräkningshjälp!$AH$2,AC8:AC9)=2),IF(AND($O$9&lt;&gt;0,LEFT($O$9,7)="Angivna"),AND(ISNUMBER(SEARCH("max- &amp; minimivärden",$O$9)),ISNUMBER(SEARCH(J13,$O$9)),DCOUNT(Beräkningshjälp!$AG$2:$AH$1082,Beräkningshjälp!$AH$2,AC8:AC9)=2),FALSE)),"")</f>
        <v/>
      </c>
      <c r="P13" s="514" t="str">
        <f t="shared" si="1"/>
        <v/>
      </c>
      <c r="Q13" s="2" t="str">
        <f>RIGHT(X13,LEN(X13)-2)&amp;" - "&amp;RIGHT(Y13,LEN(Y13)-2)</f>
        <v>36 - 40</v>
      </c>
      <c r="R13" s="136">
        <f>IF($B$1&lt;&gt;"",DCOUNT(Beräkningshjälp!$AC$2:$AI$1082,Beräkningshjälp!$AH$2,X12:Z13),0)</f>
        <v>0</v>
      </c>
      <c r="S13" s="513">
        <f>IF($B$1&lt;&gt;"",IF(AND($S$4&gt;=RIGHT(X13,LEN(X13)-2)*1,AND($S$4&lt;=RIGHT(Y13,LEN(Y13)-2)*1)),MAX(T$6:T$56),0),0)</f>
        <v>0</v>
      </c>
      <c r="T13" s="515">
        <f t="shared" si="0"/>
        <v>9</v>
      </c>
      <c r="U13" s="353" t="s">
        <v>1984</v>
      </c>
      <c r="V13" s="353" t="s">
        <v>1984</v>
      </c>
      <c r="W13" s="119" t="s">
        <v>75</v>
      </c>
      <c r="X13" s="442" t="str">
        <f>"&gt;="&amp;RIGHT(V12,LEN(V12)-2)*1+1</f>
        <v>&gt;=36</v>
      </c>
      <c r="Y13" s="445" t="str">
        <f>"&lt;="&amp;IF($B$3&lt;&gt;"",$B$3,5)+RIGHT(X13,LEN(X13)-2)*1-1</f>
        <v>&lt;=40</v>
      </c>
      <c r="Z13" s="551" t="str">
        <f>IF($W$6&lt;&gt;"",$W$6,"")</f>
        <v/>
      </c>
      <c r="AC13" s="115">
        <f>AE12+1</f>
        <v>7</v>
      </c>
      <c r="AD13" s="454" t="str">
        <f>IF(AND($I17&lt;&gt;"",$K17&lt;&gt;0),IF(ISNUMBER($K17),"&lt;="&amp;$K17,IF(OR(ISNUMBER(RIGHT($K17,LEN($K17)-2)*1),ISNUMBER(RIGHT($K17,LEN($K17)-1)*1)),$K17,"")),"")</f>
        <v/>
      </c>
      <c r="AE13" s="115" t="s">
        <v>75</v>
      </c>
      <c r="AF13" s="119" t="s">
        <v>1984</v>
      </c>
    </row>
    <row r="14" spans="1:32" x14ac:dyDescent="0.25">
      <c r="A14" s="210" t="s">
        <v>2051</v>
      </c>
      <c r="I14" s="116" t="str">
        <f>IF(AND(COUNT(Beräkningshjälp!U$2:U$60)&gt;0,COUNT(Beräkningshjälp!M$2:M$60)&gt;=ROW(I13)-ROW(I$10)+1),ROW(I13)-ROW(I$10)+1,"")</f>
        <v/>
      </c>
      <c r="J14" s="210" t="str">
        <f>IF(I14&lt;&gt;"",VLOOKUP(I14,Beräkningshjälp!M$1:N$60,COLUMN(Beräkningshjälp!N$1)-COLUMN(Beräkningshjälp!M$1)+1,FALSE),"")</f>
        <v/>
      </c>
      <c r="K14" s="491"/>
      <c r="L14" t="str">
        <f>IF(J14&lt;&gt;"",IF(ROUND((ROW(L13)-ROW(L$10))/2,0)=INT((ROW(L13)-ROW(L$10))/2),IF(DMIN(Beräkningshjälp!$AC$2:$AI$1082,Beräkningshjälp!$AH$2,AC9:AC10)&gt;0,DMIN(Beräkningshjälp!$AC$2:$AI$1082,Beräkningshjälp!$AH$2,AC9:AC10),""),IF(DMIN(Beräkningshjälp!$AC$2:$AI$1082,Beräkningshjälp!$AH$2,AE9:AE10)&gt;0,DMIN(Beräkningshjälp!$AC$2:$AI$1082,Beräkningshjälp!$AH$2,AE9:AE10),"")),"")</f>
        <v/>
      </c>
      <c r="M14" t="str">
        <f>IF(AND(J14&lt;&gt;"",K14&lt;&gt;""),IF(ROUND((ROW(M13)-ROW(M$10))/2,0)=INT((ROW(M13)-ROW(M$10))/2),IF(DMAX(Beräkningshjälp!$AC$2:$AI$1082,Beräkningshjälp!$AH$2,AC9:AD10)=0,"Saknas",DMAX(Beräkningshjälp!$AC$2:$AI$1082,Beräkningshjälp!$AH$2,AC9:AD10)),IF(DMAX(Beräkningshjälp!$AC$2:$AI$1082,Beräkningshjälp!$AH$2,AE9:AF10)=0,"Saknas",DMAX(Beräkningshjälp!$AC$2:$AI$1082,Beräkningshjälp!$AH$2,AE9:AF10))),"")</f>
        <v/>
      </c>
      <c r="N14" t="str">
        <f>IF(J14&lt;&gt;"",IF(ROUND((ROW(N13)-ROW(N$10))/2,0)=INT((ROW(N13)-ROW(N$10))/2),IF(DMAX(Beräkningshjälp!$AC$2:$AI$1082,Beräkningshjälp!$AH$2,AC9:AC10)&gt;0,DMAX(Beräkningshjälp!$AC$2:$AI$1082,Beräkningshjälp!$AH$2,AC9:AC10),""),IF(DMAX(Beräkningshjälp!$AC$2:$AI$1082,Beräkningshjälp!$AH$2,AE9:AE10)&gt;0,DMAX(Beräkningshjälp!$AC$2:$AI$1082,Beräkningshjälp!$AH$2,AE9:AE10),"")),"")</f>
        <v/>
      </c>
      <c r="O14" s="514" t="str">
        <f>IF(J14&lt;&gt;"",IF(AND($O$8&lt;&gt;0,LEFT($O$8,7)="Angivna"),AND(ISNUMBER(SEARCH("max- &amp; minimivärden",$O$8)),ISNUMBER(SEARCH(J14,$O$8)),DCOUNT(Beräkningshjälp!$AG$2:$AH$1082,Beräkningshjälp!$AH$2,AE9:AE10)=2),IF(AND($O$9&lt;&gt;0,LEFT($O$9,7)="Angivna"),AND(ISNUMBER(SEARCH("max- &amp; minimivärden",$O$9)),ISNUMBER(SEARCH(J14,$O$9)),DCOUNT(Beräkningshjälp!$AG$2:$AH$1082,Beräkningshjälp!$AH$2,AE9:AE10)=2),FALSE)),"")</f>
        <v/>
      </c>
      <c r="P14" s="514" t="str">
        <f t="shared" si="1"/>
        <v/>
      </c>
      <c r="Q14" s="2" t="str">
        <f>RIGHT(U14,LEN(U14)-2)&amp;" - "&amp;RIGHT(V14,LEN(V14)-2)</f>
        <v>41 - 45</v>
      </c>
      <c r="R14" s="136">
        <f>IF($B$1&lt;&gt;"",DCOUNT(Beräkningshjälp!$AC$2:$AI$1082,Beräkningshjälp!$AH$2,U13:W14),0)</f>
        <v>0</v>
      </c>
      <c r="S14" s="513">
        <f>IF($B$1&lt;&gt;"",IF(AND($S$4&gt;=RIGHT(U14,LEN(U14)-2)*1,AND($S$4&lt;=RIGHT(V14,LEN(V14)-2)*1)),MAX(T$6:T$56),0),0)</f>
        <v>0</v>
      </c>
      <c r="T14" s="515">
        <f t="shared" si="0"/>
        <v>9</v>
      </c>
      <c r="U14" s="445" t="str">
        <f>"&gt;="&amp;RIGHT(Y13,LEN(Y13)-2)*1+1</f>
        <v>&gt;=41</v>
      </c>
      <c r="V14" s="444" t="str">
        <f>"&lt;="&amp;IF($B$3&lt;&gt;"",$B$3,5)+RIGHT(U14,LEN(U14)-2)*1-1</f>
        <v>&lt;=45</v>
      </c>
      <c r="W14" s="551" t="str">
        <f>IF($W$6&lt;&gt;"",$W$6,"")</f>
        <v/>
      </c>
      <c r="X14" s="353" t="s">
        <v>1984</v>
      </c>
      <c r="Y14" s="353" t="s">
        <v>1984</v>
      </c>
      <c r="Z14" s="119" t="s">
        <v>75</v>
      </c>
      <c r="AC14" s="115" t="s">
        <v>75</v>
      </c>
      <c r="AD14" s="119" t="s">
        <v>1984</v>
      </c>
      <c r="AE14" s="115">
        <f>AC13+1</f>
        <v>8</v>
      </c>
      <c r="AF14" s="454" t="str">
        <f>IF(AND($I18&lt;&gt;"",$K18&lt;&gt;0),IF(ISNUMBER($K18),"&lt;="&amp;$K18,IF(OR(ISNUMBER(RIGHT($K18,LEN($K18)-2)*1),ISNUMBER(RIGHT($K18,LEN($K18)-1)*1)),$K18,"")),"")</f>
        <v/>
      </c>
    </row>
    <row r="15" spans="1:32" x14ac:dyDescent="0.25">
      <c r="A15" s="210" t="s">
        <v>2053</v>
      </c>
      <c r="I15" s="116" t="str">
        <f>IF(AND(COUNT(Beräkningshjälp!U$2:U$60)&gt;0,COUNT(Beräkningshjälp!M$2:M$60)&gt;=ROW(I14)-ROW(I$10)+1),ROW(I14)-ROW(I$10)+1,"")</f>
        <v/>
      </c>
      <c r="J15" s="210" t="str">
        <f>IF(I15&lt;&gt;"",VLOOKUP(I15,Beräkningshjälp!M$1:N$60,COLUMN(Beräkningshjälp!N$1)-COLUMN(Beräkningshjälp!M$1)+1,FALSE),"")</f>
        <v/>
      </c>
      <c r="K15" s="491"/>
      <c r="L15" t="str">
        <f>IF(J15&lt;&gt;"",IF(ROUND((ROW(L14)-ROW(L$10))/2,0)=INT((ROW(L14)-ROW(L$10))/2),IF(DMIN(Beräkningshjälp!$AC$2:$AI$1082,Beräkningshjälp!$AH$2,AC10:AC11)&gt;0,DMIN(Beräkningshjälp!$AC$2:$AI$1082,Beräkningshjälp!$AH$2,AC10:AC11),""),IF(DMIN(Beräkningshjälp!$AC$2:$AI$1082,Beräkningshjälp!$AH$2,AE10:AE11)&gt;0,DMIN(Beräkningshjälp!$AC$2:$AI$1082,Beräkningshjälp!$AH$2,AE10:AE11),"")),"")</f>
        <v/>
      </c>
      <c r="M15" t="str">
        <f>IF(AND(J15&lt;&gt;"",K15&lt;&gt;""),IF(ROUND((ROW(M14)-ROW(M$10))/2,0)=INT((ROW(M14)-ROW(M$10))/2),IF(DMAX(Beräkningshjälp!$AC$2:$AI$1082,Beräkningshjälp!$AH$2,AC10:AD11)=0,"Saknas",DMAX(Beräkningshjälp!$AC$2:$AI$1082,Beräkningshjälp!$AH$2,AC10:AD11)),IF(DMAX(Beräkningshjälp!$AC$2:$AI$1082,Beräkningshjälp!$AH$2,AE10:AF11)=0,"Saknas",DMAX(Beräkningshjälp!$AC$2:$AI$1082,Beräkningshjälp!$AH$2,AE10:AF11))),"")</f>
        <v/>
      </c>
      <c r="N15" t="str">
        <f>IF(J15&lt;&gt;"",IF(ROUND((ROW(N14)-ROW(N$10))/2,0)=INT((ROW(N14)-ROW(N$10))/2),IF(DMAX(Beräkningshjälp!$AC$2:$AI$1082,Beräkningshjälp!$AH$2,AC10:AC11)&gt;0,DMAX(Beräkningshjälp!$AC$2:$AI$1082,Beräkningshjälp!$AH$2,AC10:AC11),""),IF(DMAX(Beräkningshjälp!$AC$2:$AI$1082,Beräkningshjälp!$AH$2,AE10:AE11)&gt;0,DMAX(Beräkningshjälp!$AC$2:$AI$1082,Beräkningshjälp!$AH$2,AE10:AE11),"")),"")</f>
        <v/>
      </c>
      <c r="O15" s="514" t="str">
        <f>IF(J15&lt;&gt;"",IF(AND($O$8&lt;&gt;0,LEFT($O$8,7)="Angivna"),AND(ISNUMBER(SEARCH("max- &amp; minimivärden",$O$8)),ISNUMBER(SEARCH(J15,$O$8)),DCOUNT(Beräkningshjälp!$AG$2:$AH$1082,Beräkningshjälp!$AH$2,AC10:AC11)=2),IF(AND($O$9&lt;&gt;0,LEFT($O$9,7)="Angivna"),AND(ISNUMBER(SEARCH("max- &amp; minimivärden",$O$9)),ISNUMBER(SEARCH(J15,$O$9)),DCOUNT(Beräkningshjälp!$AG$2:$AH$1082,Beräkningshjälp!$AH$2,AC10:AC11)=2),FALSE)),"")</f>
        <v/>
      </c>
      <c r="P15" s="514" t="str">
        <f t="shared" si="1"/>
        <v/>
      </c>
      <c r="Q15" s="2" t="str">
        <f>RIGHT(X15,LEN(X15)-2)&amp;" - "&amp;RIGHT(Y15,LEN(Y15)-2)</f>
        <v>46 - 50</v>
      </c>
      <c r="R15" s="136">
        <f>IF($B$1&lt;&gt;"",DCOUNT(Beräkningshjälp!$AC$2:$AI$1082,Beräkningshjälp!$AH$2,X14:Z15),0)</f>
        <v>0</v>
      </c>
      <c r="S15" s="513">
        <f>IF($B$1&lt;&gt;"",IF(AND($S$4&gt;=RIGHT(X15,LEN(X15)-2)*1,AND($S$4&lt;=RIGHT(Y15,LEN(Y15)-2)*1)),MAX(T$6:T$56),0),0)</f>
        <v>0</v>
      </c>
      <c r="T15" s="515">
        <f t="shared" si="0"/>
        <v>9</v>
      </c>
      <c r="U15" s="353" t="s">
        <v>1984</v>
      </c>
      <c r="V15" s="353" t="s">
        <v>1984</v>
      </c>
      <c r="W15" s="119" t="s">
        <v>75</v>
      </c>
      <c r="X15" s="442" t="str">
        <f>"&gt;="&amp;RIGHT(V14,LEN(V14)-2)*1+1</f>
        <v>&gt;=46</v>
      </c>
      <c r="Y15" s="445" t="str">
        <f>"&lt;="&amp;IF($B$3&lt;&gt;"",$B$3,5)+RIGHT(X15,LEN(X15)-2)*1-1</f>
        <v>&lt;=50</v>
      </c>
      <c r="Z15" s="551" t="str">
        <f>IF($W$6&lt;&gt;"",$W$6,"")</f>
        <v/>
      </c>
      <c r="AC15" s="115">
        <f>AE14+1</f>
        <v>9</v>
      </c>
      <c r="AD15" s="454" t="str">
        <f>IF(AND($I19&lt;&gt;"",$K19&lt;&gt;0),IF(ISNUMBER($K19),"&lt;="&amp;$K19,IF(OR(ISNUMBER(RIGHT($K19,LEN($K19)-2)*1),ISNUMBER(RIGHT($K19,LEN($K19)-1)*1)),$K19,"")),"")</f>
        <v/>
      </c>
      <c r="AE15" s="115" t="s">
        <v>75</v>
      </c>
      <c r="AF15" s="119" t="s">
        <v>1984</v>
      </c>
    </row>
    <row r="16" spans="1:32" x14ac:dyDescent="0.25">
      <c r="A16" s="210" t="s">
        <v>2052</v>
      </c>
      <c r="I16" s="116" t="str">
        <f>IF(AND(COUNT(Beräkningshjälp!U$2:U$60)&gt;0,COUNT(Beräkningshjälp!M$2:M$60)&gt;=ROW(I15)-ROW(I$10)+1),ROW(I15)-ROW(I$10)+1,"")</f>
        <v/>
      </c>
      <c r="J16" s="210" t="str">
        <f>IF(I16&lt;&gt;"",VLOOKUP(I16,Beräkningshjälp!M$1:N$60,COLUMN(Beräkningshjälp!N$1)-COLUMN(Beräkningshjälp!M$1)+1,FALSE),"")</f>
        <v/>
      </c>
      <c r="K16" s="491"/>
      <c r="L16" t="str">
        <f>IF(J16&lt;&gt;"",IF(ROUND((ROW(L15)-ROW(L$10))/2,0)=INT((ROW(L15)-ROW(L$10))/2),IF(DMIN(Beräkningshjälp!$AC$2:$AI$1082,Beräkningshjälp!$AH$2,AC11:AC12)&gt;0,DMIN(Beräkningshjälp!$AC$2:$AI$1082,Beräkningshjälp!$AH$2,AC11:AC12),""),IF(DMIN(Beräkningshjälp!$AC$2:$AI$1082,Beräkningshjälp!$AH$2,AE11:AE12)&gt;0,DMIN(Beräkningshjälp!$AC$2:$AI$1082,Beräkningshjälp!$AH$2,AE11:AE12),"")),"")</f>
        <v/>
      </c>
      <c r="M16" t="str">
        <f>IF(AND(J16&lt;&gt;"",K16&lt;&gt;""),IF(ROUND((ROW(M15)-ROW(M$10))/2,0)=INT((ROW(M15)-ROW(M$10))/2),IF(DMAX(Beräkningshjälp!$AC$2:$AI$1082,Beräkningshjälp!$AH$2,AC11:AD12)=0,"Saknas",DMAX(Beräkningshjälp!$AC$2:$AI$1082,Beräkningshjälp!$AH$2,AC11:AD12)),IF(DMAX(Beräkningshjälp!$AC$2:$AI$1082,Beräkningshjälp!$AH$2,AE11:AF12)=0,"Saknas",DMAX(Beräkningshjälp!$AC$2:$AI$1082,Beräkningshjälp!$AH$2,AE11:AF12))),"")</f>
        <v/>
      </c>
      <c r="N16" t="str">
        <f>IF(J16&lt;&gt;"",IF(ROUND((ROW(N15)-ROW(N$10))/2,0)=INT((ROW(N15)-ROW(N$10))/2),IF(DMAX(Beräkningshjälp!$AC$2:$AI$1082,Beräkningshjälp!$AH$2,AC11:AC12)&gt;0,DMAX(Beräkningshjälp!$AC$2:$AI$1082,Beräkningshjälp!$AH$2,AC11:AC12),""),IF(DMAX(Beräkningshjälp!$AC$2:$AI$1082,Beräkningshjälp!$AH$2,AE11:AE12)&gt;0,DMAX(Beräkningshjälp!$AC$2:$AI$1082,Beräkningshjälp!$AH$2,AE11:AE12),"")),"")</f>
        <v/>
      </c>
      <c r="O16" s="514" t="str">
        <f>IF(J16&lt;&gt;"",IF(AND($O$8&lt;&gt;0,LEFT($O$8,7)="Angivna"),AND(ISNUMBER(SEARCH("max- &amp; minimivärden",$O$8)),ISNUMBER(SEARCH(J16,$O$8)),DCOUNT(Beräkningshjälp!$AG$2:$AH$1082,Beräkningshjälp!$AH$2,AE11:AE12)=2),IF(AND($O$9&lt;&gt;0,LEFT($O$9,7)="Angivna"),AND(ISNUMBER(SEARCH("max- &amp; minimivärden",$O$9)),ISNUMBER(SEARCH(J16,$O$9)),DCOUNT(Beräkningshjälp!$AG$2:$AH$1082,Beräkningshjälp!$AH$2,AE11:AE12)=2),FALSE)),"")</f>
        <v/>
      </c>
      <c r="P16" s="514" t="str">
        <f t="shared" si="1"/>
        <v/>
      </c>
      <c r="Q16" s="2" t="str">
        <f>RIGHT(U16,LEN(U16)-2)&amp;" - "&amp;RIGHT(V16,LEN(V16)-2)</f>
        <v>51 - 55</v>
      </c>
      <c r="R16" s="136">
        <f>IF($B$1&lt;&gt;"",DCOUNT(Beräkningshjälp!$AC$2:$AI$1082,Beräkningshjälp!$AH$2,U15:W16),0)</f>
        <v>0</v>
      </c>
      <c r="S16" s="513">
        <f>IF($B$1&lt;&gt;"",IF(AND($S$4&gt;=RIGHT(U16,LEN(U16)-2)*1,AND($S$4&lt;=RIGHT(V16,LEN(V16)-2)*1)),MAX(T$6:T$56),0),0)</f>
        <v>0</v>
      </c>
      <c r="T16" s="515">
        <f t="shared" si="0"/>
        <v>9</v>
      </c>
      <c r="U16" s="445" t="str">
        <f>"&gt;="&amp;RIGHT(Y15,LEN(Y15)-2)*1+1</f>
        <v>&gt;=51</v>
      </c>
      <c r="V16" s="444" t="str">
        <f>"&lt;="&amp;IF($B$3&lt;&gt;"",$B$3,5)+RIGHT(U16,LEN(U16)-2)*1-1</f>
        <v>&lt;=55</v>
      </c>
      <c r="W16" s="551" t="str">
        <f>IF($W$6&lt;&gt;"",$W$6,"")</f>
        <v/>
      </c>
      <c r="X16" s="353" t="s">
        <v>1984</v>
      </c>
      <c r="Y16" s="353" t="s">
        <v>1984</v>
      </c>
      <c r="Z16" s="119" t="s">
        <v>75</v>
      </c>
      <c r="AC16" s="115" t="s">
        <v>75</v>
      </c>
      <c r="AD16" s="119" t="s">
        <v>1984</v>
      </c>
      <c r="AE16" s="115">
        <f>AC15+1</f>
        <v>10</v>
      </c>
      <c r="AF16" s="454" t="str">
        <f>IF(AND($I20&lt;&gt;"",$K20&lt;&gt;0),IF(ISNUMBER($K20),"&lt;="&amp;$K20,IF(OR(ISNUMBER(RIGHT($K20,LEN($K20)-2)*1),ISNUMBER(RIGHT($K20,LEN($K20)-1)*1)),$K20,"")),"")</f>
        <v/>
      </c>
    </row>
    <row r="17" spans="1:37" x14ac:dyDescent="0.25">
      <c r="A17" s="210" t="s">
        <v>2005</v>
      </c>
      <c r="I17" s="116" t="str">
        <f>IF(AND(COUNT(Beräkningshjälp!U$2:U$60)&gt;0,COUNT(Beräkningshjälp!M$2:M$60)&gt;=ROW(I16)-ROW(I$10)+1),ROW(I16)-ROW(I$10)+1,"")</f>
        <v/>
      </c>
      <c r="J17" s="210" t="str">
        <f>IF(I17&lt;&gt;"",VLOOKUP(I17,Beräkningshjälp!M$1:N$60,COLUMN(Beräkningshjälp!N$1)-COLUMN(Beräkningshjälp!M$1)+1,FALSE),"")</f>
        <v/>
      </c>
      <c r="K17" s="491"/>
      <c r="L17" t="str">
        <f>IF(J17&lt;&gt;"",IF(ROUND((ROW(L16)-ROW(L$10))/2,0)=INT((ROW(L16)-ROW(L$10))/2),IF(DMIN(Beräkningshjälp!$AC$2:$AI$1082,Beräkningshjälp!$AH$2,AC12:AC13)&gt;0,DMIN(Beräkningshjälp!$AC$2:$AI$1082,Beräkningshjälp!$AH$2,AC12:AC13),""),IF(DMIN(Beräkningshjälp!$AC$2:$AI$1082,Beräkningshjälp!$AH$2,AE12:AE13)&gt;0,DMIN(Beräkningshjälp!$AC$2:$AI$1082,Beräkningshjälp!$AH$2,AE12:AE13),"")),"")</f>
        <v/>
      </c>
      <c r="M17" t="str">
        <f>IF(AND(J17&lt;&gt;"",K17&lt;&gt;""),IF(ROUND((ROW(M16)-ROW(M$10))/2,0)=INT((ROW(M16)-ROW(M$10))/2),IF(DMAX(Beräkningshjälp!$AC$2:$AI$1082,Beräkningshjälp!$AH$2,AC12:AD13)=0,"Saknas",DMAX(Beräkningshjälp!$AC$2:$AI$1082,Beräkningshjälp!$AH$2,AC12:AD13)),IF(DMAX(Beräkningshjälp!$AC$2:$AI$1082,Beräkningshjälp!$AH$2,AE12:AF13)=0,"Saknas",DMAX(Beräkningshjälp!$AC$2:$AI$1082,Beräkningshjälp!$AH$2,AE12:AF13))),"")</f>
        <v/>
      </c>
      <c r="N17" t="str">
        <f>IF(J17&lt;&gt;"",IF(ROUND((ROW(N16)-ROW(N$10))/2,0)=INT((ROW(N16)-ROW(N$10))/2),IF(DMAX(Beräkningshjälp!$AC$2:$AI$1082,Beräkningshjälp!$AH$2,AC12:AC13)&gt;0,DMAX(Beräkningshjälp!$AC$2:$AI$1082,Beräkningshjälp!$AH$2,AC12:AC13),""),IF(DMAX(Beräkningshjälp!$AC$2:$AI$1082,Beräkningshjälp!$AH$2,AE12:AE13)&gt;0,DMAX(Beräkningshjälp!$AC$2:$AI$1082,Beräkningshjälp!$AH$2,AE12:AE13),"")),"")</f>
        <v/>
      </c>
      <c r="O17" s="514" t="str">
        <f>IF(J17&lt;&gt;"",IF(AND($O$8&lt;&gt;0,LEFT($O$8,7)="Angivna"),AND(ISNUMBER(SEARCH("max- &amp; minimivärden",$O$8)),ISNUMBER(SEARCH(J17,$O$8)),DCOUNT(Beräkningshjälp!$AG$2:$AH$1082,Beräkningshjälp!$AH$2,AC12:AC13)=2),IF(AND($O$9&lt;&gt;0,LEFT($O$9,7)="Angivna"),AND(ISNUMBER(SEARCH("max- &amp; minimivärden",$O$9)),ISNUMBER(SEARCH(J17,$O$9)),DCOUNT(Beräkningshjälp!$AG$2:$AH$1082,Beräkningshjälp!$AH$2,AC12:AC13)=2),FALSE)),"")</f>
        <v/>
      </c>
      <c r="P17" s="514" t="str">
        <f t="shared" si="1"/>
        <v/>
      </c>
      <c r="Q17" s="2" t="str">
        <f>RIGHT(X17,LEN(X17)-2)&amp;" - "&amp;RIGHT(Y17,LEN(Y17)-2)</f>
        <v>56 - 60</v>
      </c>
      <c r="R17" s="136">
        <f>IF($B$1&lt;&gt;"",DCOUNT(Beräkningshjälp!$AC$2:$AI$1082,Beräkningshjälp!$AH$2,X16:Z17),0)</f>
        <v>0</v>
      </c>
      <c r="S17" s="513">
        <f>IF($B$1&lt;&gt;"",IF(AND($S$4&gt;=RIGHT(X17,LEN(X17)-2)*1,AND($S$4&lt;=RIGHT(Y17,LEN(Y17)-2)*1)),MAX(T$6:T$56),0),0)</f>
        <v>0</v>
      </c>
      <c r="T17" s="515">
        <f t="shared" si="0"/>
        <v>9</v>
      </c>
      <c r="U17" s="353" t="s">
        <v>1984</v>
      </c>
      <c r="V17" s="353" t="s">
        <v>1984</v>
      </c>
      <c r="W17" s="119" t="s">
        <v>75</v>
      </c>
      <c r="X17" s="442" t="str">
        <f>"&gt;="&amp;RIGHT(V16,LEN(V16)-2)*1+1</f>
        <v>&gt;=56</v>
      </c>
      <c r="Y17" s="445" t="str">
        <f>"&lt;="&amp;IF($B$3&lt;&gt;"",$B$3,5)+RIGHT(X17,LEN(X17)-2)*1-1</f>
        <v>&lt;=60</v>
      </c>
      <c r="Z17" s="551" t="str">
        <f>IF($W$6&lt;&gt;"",$W$6,"")</f>
        <v/>
      </c>
      <c r="AC17" s="115">
        <f>AE16+1</f>
        <v>11</v>
      </c>
      <c r="AD17" s="454" t="str">
        <f>IF(AND($I21&lt;&gt;"",$K21&lt;&gt;0),IF(ISNUMBER($K21),"&lt;="&amp;$K21,IF(OR(ISNUMBER(RIGHT($K21,LEN($K21)-2)*1),ISNUMBER(RIGHT($K21,LEN($K21)-1)*1)),$K21,"")),"")</f>
        <v/>
      </c>
      <c r="AE17" s="115" t="s">
        <v>75</v>
      </c>
      <c r="AF17" s="119" t="s">
        <v>1984</v>
      </c>
    </row>
    <row r="18" spans="1:37" x14ac:dyDescent="0.25">
      <c r="I18" s="116" t="str">
        <f>IF(AND(COUNT(Beräkningshjälp!U$2:U$60)&gt;0,COUNT(Beräkningshjälp!M$2:M$60)&gt;=ROW(I17)-ROW(I$10)+1),ROW(I17)-ROW(I$10)+1,"")</f>
        <v/>
      </c>
      <c r="J18" s="210" t="str">
        <f>IF(I18&lt;&gt;"",VLOOKUP(I18,Beräkningshjälp!M$1:N$60,COLUMN(Beräkningshjälp!N$1)-COLUMN(Beräkningshjälp!M$1)+1,FALSE),"")</f>
        <v/>
      </c>
      <c r="K18" s="491"/>
      <c r="L18" t="str">
        <f>IF(J18&lt;&gt;"",IF(ROUND((ROW(L17)-ROW(L$10))/2,0)=INT((ROW(L17)-ROW(L$10))/2),IF(DMIN(Beräkningshjälp!$AC$2:$AI$1082,Beräkningshjälp!$AH$2,AC13:AC14)&gt;0,DMIN(Beräkningshjälp!$AC$2:$AI$1082,Beräkningshjälp!$AH$2,AC13:AC14),""),IF(DMIN(Beräkningshjälp!$AC$2:$AI$1082,Beräkningshjälp!$AH$2,AE13:AE14)&gt;0,DMIN(Beräkningshjälp!$AC$2:$AI$1082,Beräkningshjälp!$AH$2,AE13:AE14),"")),"")</f>
        <v/>
      </c>
      <c r="M18" t="str">
        <f>IF(AND(J18&lt;&gt;"",K18&lt;&gt;""),IF(ROUND((ROW(M17)-ROW(M$10))/2,0)=INT((ROW(M17)-ROW(M$10))/2),IF(DMAX(Beräkningshjälp!$AC$2:$AI$1082,Beräkningshjälp!$AH$2,AC13:AD14)=0,"Saknas",DMAX(Beräkningshjälp!$AC$2:$AI$1082,Beräkningshjälp!$AH$2,AC13:AD14)),IF(DMAX(Beräkningshjälp!$AC$2:$AI$1082,Beräkningshjälp!$AH$2,AE13:AF14)=0,"Saknas",DMAX(Beräkningshjälp!$AC$2:$AI$1082,Beräkningshjälp!$AH$2,AE13:AF14))),"")</f>
        <v/>
      </c>
      <c r="N18" t="str">
        <f>IF(J18&lt;&gt;"",IF(ROUND((ROW(N17)-ROW(N$10))/2,0)=INT((ROW(N17)-ROW(N$10))/2),IF(DMAX(Beräkningshjälp!$AC$2:$AI$1082,Beräkningshjälp!$AH$2,AC13:AC14)&gt;0,DMAX(Beräkningshjälp!$AC$2:$AI$1082,Beräkningshjälp!$AH$2,AC13:AC14),""),IF(DMAX(Beräkningshjälp!$AC$2:$AI$1082,Beräkningshjälp!$AH$2,AE13:AE14)&gt;0,DMAX(Beräkningshjälp!$AC$2:$AI$1082,Beräkningshjälp!$AH$2,AE13:AE14),"")),"")</f>
        <v/>
      </c>
      <c r="O18" s="514" t="str">
        <f>IF(J18&lt;&gt;"",IF(AND($O$8&lt;&gt;0,LEFT($O$8,7)="Angivna"),AND(ISNUMBER(SEARCH("max- &amp; minimivärden",$O$8)),ISNUMBER(SEARCH(J18,$O$8)),DCOUNT(Beräkningshjälp!$AG$2:$AH$1082,Beräkningshjälp!$AH$2,AE13:AE14)=2),IF(AND($O$9&lt;&gt;0,LEFT($O$9,7)="Angivna"),AND(ISNUMBER(SEARCH("max- &amp; minimivärden",$O$9)),ISNUMBER(SEARCH(J18,$O$9)),DCOUNT(Beräkningshjälp!$AG$2:$AH$1082,Beräkningshjälp!$AH$2,AE13:AE14)=2),FALSE)),"")</f>
        <v/>
      </c>
      <c r="P18" s="514" t="str">
        <f t="shared" si="1"/>
        <v/>
      </c>
      <c r="Q18" s="2" t="str">
        <f>RIGHT(U18,LEN(U18)-2)&amp;" - "&amp;RIGHT(V18,LEN(V18)-2)</f>
        <v>61 - 65</v>
      </c>
      <c r="R18" s="136">
        <f>IF($B$1&lt;&gt;"",DCOUNT(Beräkningshjälp!$AC$2:$AI$1082,Beräkningshjälp!$AH$2,U17:W18),0)</f>
        <v>0</v>
      </c>
      <c r="S18" s="513">
        <f>IF($B$1&lt;&gt;"",IF(AND($S$4&gt;=RIGHT(U18,LEN(U18)-2)*1,AND($S$4&lt;=RIGHT(V18,LEN(V18)-2)*1)),MAX(T$6:T$56),0),0)</f>
        <v>0</v>
      </c>
      <c r="T18" s="515">
        <f t="shared" si="0"/>
        <v>9</v>
      </c>
      <c r="U18" s="445" t="str">
        <f>"&gt;="&amp;RIGHT(Y17,LEN(Y17)-2)*1+1</f>
        <v>&gt;=61</v>
      </c>
      <c r="V18" s="444" t="str">
        <f>"&lt;="&amp;IF($B$3&lt;&gt;"",$B$3,5)+RIGHT(U18,LEN(U18)-2)*1-1</f>
        <v>&lt;=65</v>
      </c>
      <c r="W18" s="551" t="str">
        <f>IF($W$6&lt;&gt;"",$W$6,"")</f>
        <v/>
      </c>
      <c r="X18" s="353" t="s">
        <v>1984</v>
      </c>
      <c r="Y18" s="353" t="s">
        <v>1984</v>
      </c>
      <c r="Z18" s="119" t="s">
        <v>75</v>
      </c>
      <c r="AC18" s="115" t="s">
        <v>75</v>
      </c>
      <c r="AD18" s="119" t="s">
        <v>1984</v>
      </c>
      <c r="AE18" s="115">
        <f>AC17+1</f>
        <v>12</v>
      </c>
      <c r="AF18" s="454" t="str">
        <f>IF(AND($I22&lt;&gt;"",$K22&lt;&gt;0),IF(ISNUMBER($K22),"&lt;="&amp;$K22,IF(OR(ISNUMBER(RIGHT($K22,LEN($K22)-2)*1),ISNUMBER(RIGHT($K22,LEN($K22)-1)*1)),$K22,"")),"")</f>
        <v/>
      </c>
    </row>
    <row r="19" spans="1:37" x14ac:dyDescent="0.25">
      <c r="A19" s="210" t="s">
        <v>2018</v>
      </c>
      <c r="I19" s="116" t="str">
        <f>IF(AND(COUNT(Beräkningshjälp!U$2:U$60)&gt;0,COUNT(Beräkningshjälp!M$2:M$60)&gt;=ROW(I18)-ROW(I$10)+1),ROW(I18)-ROW(I$10)+1,"")</f>
        <v/>
      </c>
      <c r="J19" s="210" t="str">
        <f>IF(I19&lt;&gt;"",VLOOKUP(I19,Beräkningshjälp!M$1:N$60,COLUMN(Beräkningshjälp!N$1)-COLUMN(Beräkningshjälp!M$1)+1,FALSE),"")</f>
        <v/>
      </c>
      <c r="K19" s="491"/>
      <c r="L19" t="str">
        <f>IF(J19&lt;&gt;"",IF(ROUND((ROW(L18)-ROW(L$10))/2,0)=INT((ROW(L18)-ROW(L$10))/2),IF(DMIN(Beräkningshjälp!$AC$2:$AI$1082,Beräkningshjälp!$AH$2,AC14:AC15)&gt;0,DMIN(Beräkningshjälp!$AC$2:$AI$1082,Beräkningshjälp!$AH$2,AC14:AC15),""),IF(DMIN(Beräkningshjälp!$AC$2:$AI$1082,Beräkningshjälp!$AH$2,AE14:AE15)&gt;0,DMIN(Beräkningshjälp!$AC$2:$AI$1082,Beräkningshjälp!$AH$2,AE14:AE15),"")),"")</f>
        <v/>
      </c>
      <c r="M19" t="str">
        <f>IF(AND(J19&lt;&gt;"",K19&lt;&gt;""),IF(ROUND((ROW(M18)-ROW(M$10))/2,0)=INT((ROW(M18)-ROW(M$10))/2),IF(DMAX(Beräkningshjälp!$AC$2:$AI$1082,Beräkningshjälp!$AH$2,AC14:AD15)=0,"Saknas",DMAX(Beräkningshjälp!$AC$2:$AI$1082,Beräkningshjälp!$AH$2,AC14:AD15)),IF(DMAX(Beräkningshjälp!$AC$2:$AI$1082,Beräkningshjälp!$AH$2,AE14:AF15)=0,"Saknas",DMAX(Beräkningshjälp!$AC$2:$AI$1082,Beräkningshjälp!$AH$2,AE14:AF15))),"")</f>
        <v/>
      </c>
      <c r="N19" t="str">
        <f>IF(J19&lt;&gt;"",IF(ROUND((ROW(N18)-ROW(N$10))/2,0)=INT((ROW(N18)-ROW(N$10))/2),IF(DMAX(Beräkningshjälp!$AC$2:$AI$1082,Beräkningshjälp!$AH$2,AC14:AC15)&gt;0,DMAX(Beräkningshjälp!$AC$2:$AI$1082,Beräkningshjälp!$AH$2,AC14:AC15),""),IF(DMAX(Beräkningshjälp!$AC$2:$AI$1082,Beräkningshjälp!$AH$2,AE14:AE15)&gt;0,DMAX(Beräkningshjälp!$AC$2:$AI$1082,Beräkningshjälp!$AH$2,AE14:AE15),"")),"")</f>
        <v/>
      </c>
      <c r="O19" s="514" t="str">
        <f>IF(J19&lt;&gt;"",IF(AND($O$8&lt;&gt;0,LEFT($O$8,7)="Angivna"),AND(ISNUMBER(SEARCH("max- &amp; minimivärden",$O$8)),ISNUMBER(SEARCH(J19,$O$8)),DCOUNT(Beräkningshjälp!$AG$2:$AH$1082,Beräkningshjälp!$AH$2,AC14:AC15)=2),IF(AND($O$9&lt;&gt;0,LEFT($O$9,7)="Angivna"),AND(ISNUMBER(SEARCH("max- &amp; minimivärden",$O$9)),ISNUMBER(SEARCH(J19,$O$9)),DCOUNT(Beräkningshjälp!$AG$2:$AH$1082,Beräkningshjälp!$AH$2,AC14:AC15)=2),FALSE)),"")</f>
        <v/>
      </c>
      <c r="P19" s="514" t="str">
        <f t="shared" si="1"/>
        <v/>
      </c>
      <c r="Q19" s="2" t="str">
        <f>RIGHT(X19,LEN(X19)-2)&amp;" - "&amp;RIGHT(Y19,LEN(Y19)-2)</f>
        <v>66 - 70</v>
      </c>
      <c r="R19" s="136">
        <f>IF($B$1&lt;&gt;"",DCOUNT(Beräkningshjälp!$AC$2:$AI$1082,Beräkningshjälp!$AH$2,X18:Z19),0)</f>
        <v>0</v>
      </c>
      <c r="S19" s="513">
        <f>IF($B$1&lt;&gt;"",IF(AND($S$4&gt;=RIGHT(X19,LEN(X19)-2)*1,AND($S$4&lt;=RIGHT(Y19,LEN(Y19)-2)*1)),MAX(T$6:T$56),0),0)</f>
        <v>0</v>
      </c>
      <c r="T19" s="515">
        <f t="shared" si="0"/>
        <v>9</v>
      </c>
      <c r="U19" s="353" t="s">
        <v>1984</v>
      </c>
      <c r="V19" s="353" t="s">
        <v>1984</v>
      </c>
      <c r="W19" s="119" t="s">
        <v>75</v>
      </c>
      <c r="X19" s="442" t="str">
        <f>"&gt;="&amp;RIGHT(V18,LEN(V18)-2)*1+1</f>
        <v>&gt;=66</v>
      </c>
      <c r="Y19" s="445" t="str">
        <f>"&lt;="&amp;IF($B$3&lt;&gt;"",$B$3,5)+RIGHT(X19,LEN(X19)-2)*1-1</f>
        <v>&lt;=70</v>
      </c>
      <c r="Z19" s="551" t="str">
        <f>IF($W$6&lt;&gt;"",$W$6,"")</f>
        <v/>
      </c>
    </row>
    <row r="20" spans="1:37" x14ac:dyDescent="0.25">
      <c r="A20" s="210" t="s">
        <v>2020</v>
      </c>
      <c r="I20" s="116" t="str">
        <f>IF(AND(COUNT(Beräkningshjälp!U$2:U$60)&gt;0,COUNT(Beräkningshjälp!M$2:M$60)&gt;=ROW(I19)-ROW(I$10)+1),ROW(I19)-ROW(I$10)+1,"")</f>
        <v/>
      </c>
      <c r="J20" s="210" t="str">
        <f>IF(I20&lt;&gt;"",VLOOKUP(I20,Beräkningshjälp!M$1:N$60,COLUMN(Beräkningshjälp!N$1)-COLUMN(Beräkningshjälp!M$1)+1,FALSE),"")</f>
        <v/>
      </c>
      <c r="K20" s="491"/>
      <c r="L20" t="str">
        <f>IF(J20&lt;&gt;"",IF(ROUND((ROW(L19)-ROW(L$10))/2,0)=INT((ROW(L19)-ROW(L$10))/2),IF(DMIN(Beräkningshjälp!$AC$2:$AI$1082,Beräkningshjälp!$AH$2,AC15:AC16)&gt;0,DMIN(Beräkningshjälp!$AC$2:$AI$1082,Beräkningshjälp!$AH$2,AC15:AC16),""),IF(DMIN(Beräkningshjälp!$AC$2:$AI$1082,Beräkningshjälp!$AH$2,AE15:AE16)&gt;0,DMIN(Beräkningshjälp!$AC$2:$AI$1082,Beräkningshjälp!$AH$2,AE15:AE16),"")),"")</f>
        <v/>
      </c>
      <c r="M20" t="str">
        <f>IF(AND(J20&lt;&gt;"",K20&lt;&gt;""),IF(ROUND((ROW(M19)-ROW(M$10))/2,0)=INT((ROW(M19)-ROW(M$10))/2),IF(DMAX(Beräkningshjälp!$AC$2:$AI$1082,Beräkningshjälp!$AH$2,AC15:AD16)=0,"Saknas",DMAX(Beräkningshjälp!$AC$2:$AI$1082,Beräkningshjälp!$AH$2,AC15:AD16)),IF(DMAX(Beräkningshjälp!$AC$2:$AI$1082,Beräkningshjälp!$AH$2,AE15:AF16)=0,"Saknas",DMAX(Beräkningshjälp!$AC$2:$AI$1082,Beräkningshjälp!$AH$2,AE15:AF16))),"")</f>
        <v/>
      </c>
      <c r="N20" t="str">
        <f>IF(J20&lt;&gt;"",IF(ROUND((ROW(N19)-ROW(N$10))/2,0)=INT((ROW(N19)-ROW(N$10))/2),IF(DMAX(Beräkningshjälp!$AC$2:$AI$1082,Beräkningshjälp!$AH$2,AC15:AC16)&gt;0,DMAX(Beräkningshjälp!$AC$2:$AI$1082,Beräkningshjälp!$AH$2,AC15:AC16),""),IF(DMAX(Beräkningshjälp!$AC$2:$AI$1082,Beräkningshjälp!$AH$2,AE15:AE16)&gt;0,DMAX(Beräkningshjälp!$AC$2:$AI$1082,Beräkningshjälp!$AH$2,AE15:AE16),"")),"")</f>
        <v/>
      </c>
      <c r="O20" s="514" t="str">
        <f>IF(J20&lt;&gt;"",IF(AND($O$8&lt;&gt;0,LEFT($O$8,7)="Angivna"),AND(ISNUMBER(SEARCH("max- &amp; minimivärden",$O$8)),ISNUMBER(SEARCH(J20,$O$8)),DCOUNT(Beräkningshjälp!$AG$2:$AH$1082,Beräkningshjälp!$AH$2,AE15:AE16)=2),IF(AND($O$9&lt;&gt;0,LEFT($O$9,7)="Angivna"),AND(ISNUMBER(SEARCH("max- &amp; minimivärden",$O$9)),ISNUMBER(SEARCH(J20,$O$9)),DCOUNT(Beräkningshjälp!$AG$2:$AH$1082,Beräkningshjälp!$AH$2,AE15:AE16)=2),FALSE)),"")</f>
        <v/>
      </c>
      <c r="P20" s="514" t="str">
        <f t="shared" si="1"/>
        <v/>
      </c>
      <c r="Q20" s="2" t="str">
        <f>RIGHT(U20,LEN(U20)-2)&amp;" - "&amp;RIGHT(V20,LEN(V20)-2)</f>
        <v>71 - 75</v>
      </c>
      <c r="R20" s="136">
        <f>IF($B$1&lt;&gt;"",DCOUNT(Beräkningshjälp!$AC$2:$AI$1082,Beräkningshjälp!$AH$2,U19:W20),0)</f>
        <v>0</v>
      </c>
      <c r="S20" s="513">
        <f>IF($B$1&lt;&gt;"",IF(AND($S$4&gt;=RIGHT(U20,LEN(U20)-2)*1,AND($S$4&lt;=RIGHT(V20,LEN(V20)-2)*1)),MAX(T$6:T$56),0),0)</f>
        <v>0</v>
      </c>
      <c r="T20" s="515">
        <f t="shared" si="0"/>
        <v>9</v>
      </c>
      <c r="U20" s="445" t="str">
        <f>"&gt;="&amp;RIGHT(Y19,LEN(Y19)-2)*1+1</f>
        <v>&gt;=71</v>
      </c>
      <c r="V20" s="444" t="str">
        <f>"&lt;="&amp;IF($B$3&lt;&gt;"",$B$3,5)+RIGHT(U20,LEN(U20)-2)*1-1</f>
        <v>&lt;=75</v>
      </c>
      <c r="W20" s="551" t="str">
        <f>IF($W$6&lt;&gt;"",$W$6,"")</f>
        <v/>
      </c>
      <c r="X20" s="353" t="s">
        <v>1984</v>
      </c>
      <c r="Y20" s="353" t="s">
        <v>1984</v>
      </c>
      <c r="Z20" s="119" t="s">
        <v>75</v>
      </c>
    </row>
    <row r="21" spans="1:37" x14ac:dyDescent="0.25">
      <c r="A21" s="210" t="s">
        <v>2006</v>
      </c>
      <c r="I21" s="116" t="str">
        <f>IF(AND(COUNT(Beräkningshjälp!U$2:U$60)&gt;0,COUNT(Beräkningshjälp!M$2:M$60)&gt;=ROW(I20)-ROW(I$10)+1),ROW(I20)-ROW(I$10)+1,"")</f>
        <v/>
      </c>
      <c r="J21" s="210" t="str">
        <f>IF(I21&lt;&gt;"",VLOOKUP(I21,Beräkningshjälp!M$1:N$60,COLUMN(Beräkningshjälp!N$1)-COLUMN(Beräkningshjälp!M$1)+1,FALSE),"")</f>
        <v/>
      </c>
      <c r="K21" s="491"/>
      <c r="L21" t="str">
        <f>IF(J21&lt;&gt;"",IF(ROUND((ROW(L20)-ROW(L$10))/2,0)=INT((ROW(L20)-ROW(L$10))/2),IF(DMIN(Beräkningshjälp!$AC$2:$AI$1082,Beräkningshjälp!$AH$2,AC16:AC17)&gt;0,DMIN(Beräkningshjälp!$AC$2:$AI$1082,Beräkningshjälp!$AH$2,AC16:AC17),""),IF(DMIN(Beräkningshjälp!$AC$2:$AI$1082,Beräkningshjälp!$AH$2,AE16:AE17)&gt;0,DMIN(Beräkningshjälp!$AC$2:$AI$1082,Beräkningshjälp!$AH$2,AE16:AE17),"")),"")</f>
        <v/>
      </c>
      <c r="M21" t="str">
        <f>IF(AND(J21&lt;&gt;"",K21&lt;&gt;""),IF(ROUND((ROW(M20)-ROW(M$10))/2,0)=INT((ROW(M20)-ROW(M$10))/2),IF(DMAX(Beräkningshjälp!$AC$2:$AI$1082,Beräkningshjälp!$AH$2,AC16:AD17)=0,"Saknas",DMAX(Beräkningshjälp!$AC$2:$AI$1082,Beräkningshjälp!$AH$2,AC16:AD17)),IF(DMAX(Beräkningshjälp!$AC$2:$AI$1082,Beräkningshjälp!$AH$2,AE16:AF17)=0,"Saknas",DMAX(Beräkningshjälp!$AC$2:$AI$1082,Beräkningshjälp!$AH$2,AE16:AF17))),"")</f>
        <v/>
      </c>
      <c r="N21" t="str">
        <f>IF(J21&lt;&gt;"",IF(ROUND((ROW(N20)-ROW(N$10))/2,0)=INT((ROW(N20)-ROW(N$10))/2),IF(DMAX(Beräkningshjälp!$AC$2:$AI$1082,Beräkningshjälp!$AH$2,AC16:AC17)&gt;0,DMAX(Beräkningshjälp!$AC$2:$AI$1082,Beräkningshjälp!$AH$2,AC16:AC17),""),IF(DMAX(Beräkningshjälp!$AC$2:$AI$1082,Beräkningshjälp!$AH$2,AE16:AE17)&gt;0,DMAX(Beräkningshjälp!$AC$2:$AI$1082,Beräkningshjälp!$AH$2,AE16:AE17),"")),"")</f>
        <v/>
      </c>
      <c r="O21" s="514" t="str">
        <f>IF(J21&lt;&gt;"",IF(AND($O$8&lt;&gt;0,LEFT($O$8,7)="Angivna"),AND(ISNUMBER(SEARCH("max- &amp; minimivärden",$O$8)),ISNUMBER(SEARCH(J21,$O$8)),DCOUNT(Beräkningshjälp!$AG$2:$AH$1082,Beräkningshjälp!$AH$2,AC16:AC17)=2),IF(AND($O$9&lt;&gt;0,LEFT($O$9,7)="Angivna"),AND(ISNUMBER(SEARCH("max- &amp; minimivärden",$O$9)),ISNUMBER(SEARCH(J21,$O$9)),DCOUNT(Beräkningshjälp!$AG$2:$AH$1082,Beräkningshjälp!$AH$2,AC16:AC17)=2),FALSE)),"")</f>
        <v/>
      </c>
      <c r="P21" s="514" t="str">
        <f t="shared" si="1"/>
        <v/>
      </c>
      <c r="Q21" s="2" t="str">
        <f>RIGHT(X21,LEN(X21)-2)&amp;" - "&amp;RIGHT(Y21,LEN(Y21)-2)</f>
        <v>76 - 80</v>
      </c>
      <c r="R21" s="136">
        <f>IF($B$1&lt;&gt;"",DCOUNT(Beräkningshjälp!$AC$2:$AI$1082,Beräkningshjälp!$AH$2,X20:Z21),0)</f>
        <v>0</v>
      </c>
      <c r="S21" s="513">
        <f>IF($B$1&lt;&gt;"",IF(AND($S$4&gt;=RIGHT(X21,LEN(X21)-2)*1,AND($S$4&lt;=RIGHT(Y21,LEN(Y21)-2)*1)),MAX(T$6:T$56),0),0)</f>
        <v>0</v>
      </c>
      <c r="T21" s="515">
        <f t="shared" si="0"/>
        <v>9</v>
      </c>
      <c r="U21" s="353" t="s">
        <v>1984</v>
      </c>
      <c r="V21" s="353" t="s">
        <v>1984</v>
      </c>
      <c r="W21" s="119" t="s">
        <v>75</v>
      </c>
      <c r="X21" s="442" t="str">
        <f>"&gt;="&amp;RIGHT(V20,LEN(V20)-2)*1+1</f>
        <v>&gt;=76</v>
      </c>
      <c r="Y21" s="445" t="str">
        <f>"&lt;="&amp;IF($B$3&lt;&gt;"",$B$3,5)+RIGHT(X21,LEN(X21)-2)*1-1</f>
        <v>&lt;=80</v>
      </c>
      <c r="Z21" s="551" t="str">
        <f>IF($W$6&lt;&gt;"",$W$6,"")</f>
        <v/>
      </c>
    </row>
    <row r="22" spans="1:37" x14ac:dyDescent="0.25">
      <c r="A22" s="210" t="s">
        <v>2007</v>
      </c>
      <c r="D22" s="353"/>
      <c r="I22" s="116" t="str">
        <f>IF(AND(COUNT(Beräkningshjälp!U$2:U$60)&gt;0,COUNT(Beräkningshjälp!M$2:M$60)&gt;=ROW(I21)-ROW(I$10)+1),ROW(I21)-ROW(I$10)+1,"")</f>
        <v/>
      </c>
      <c r="J22" s="210" t="str">
        <f>IF(I22&lt;&gt;"",VLOOKUP(I22,Beräkningshjälp!M$1:N$60,COLUMN(Beräkningshjälp!N$1)-COLUMN(Beräkningshjälp!M$1)+1,FALSE),"")</f>
        <v/>
      </c>
      <c r="K22" s="491"/>
      <c r="L22" t="str">
        <f>IF(J22&lt;&gt;"",IF(ROUND((ROW(L21)-ROW(L$10))/2,0)=INT((ROW(L21)-ROW(L$10))/2),IF(DMIN(Beräkningshjälp!$AC$2:$AI$1082,Beräkningshjälp!$AH$2,AC17:AC18)&gt;0,DMIN(Beräkningshjälp!$AC$2:$AI$1082,Beräkningshjälp!$AH$2,AC17:AC18),""),IF(DMIN(Beräkningshjälp!$AC$2:$AI$1082,Beräkningshjälp!$AH$2,AE17:AE18)&gt;0,DMIN(Beräkningshjälp!$AC$2:$AI$1082,Beräkningshjälp!$AH$2,AE17:AE18),"")),"")</f>
        <v/>
      </c>
      <c r="M22" t="str">
        <f>IF(AND(J22&lt;&gt;"",K22&lt;&gt;""),IF(ROUND((ROW(M21)-ROW(M$10))/2,0)=INT((ROW(M21)-ROW(M$10))/2),IF(DMAX(Beräkningshjälp!$AC$2:$AI$1082,Beräkningshjälp!$AH$2,AC17:AD18)=0,"Saknas",DMAX(Beräkningshjälp!$AC$2:$AI$1082,Beräkningshjälp!$AH$2,AC17:AD18)),IF(DMAX(Beräkningshjälp!$AC$2:$AI$1082,Beräkningshjälp!$AH$2,AE17:AF18)=0,"Saknas",DMAX(Beräkningshjälp!$AC$2:$AI$1082,Beräkningshjälp!$AH$2,AE17:AF18))),"")</f>
        <v/>
      </c>
      <c r="N22" t="str">
        <f>IF(J22&lt;&gt;"",IF(ROUND((ROW(N21)-ROW(N$10))/2,0)=INT((ROW(N21)-ROW(N$10))/2),IF(DMAX(Beräkningshjälp!$AC$2:$AI$1082,Beräkningshjälp!$AH$2,AC17:AC18)&gt;0,DMAX(Beräkningshjälp!$AC$2:$AI$1082,Beräkningshjälp!$AH$2,AC17:AC18),""),IF(DMAX(Beräkningshjälp!$AC$2:$AI$1082,Beräkningshjälp!$AH$2,AE17:AE18)&gt;0,DMAX(Beräkningshjälp!$AC$2:$AI$1082,Beräkningshjälp!$AH$2,AE17:AE18),"")),"")</f>
        <v/>
      </c>
      <c r="O22" s="514" t="str">
        <f>IF(J22&lt;&gt;"",IF(AND($O$8&lt;&gt;0,LEFT($O$8,7)="Angivna"),AND(ISNUMBER(SEARCH("max- &amp; minimivärden",$O$8)),ISNUMBER(SEARCH(J22,$O$8)),DCOUNT(Beräkningshjälp!$AG$2:$AH$1082,Beräkningshjälp!$AH$2,AE17:AE18)=2),IF(AND($O$9&lt;&gt;0,LEFT($O$9,7)="Angivna"),AND(ISNUMBER(SEARCH("max- &amp; minimivärden",$O$9)),ISNUMBER(SEARCH(J22,$O$9)),DCOUNT(Beräkningshjälp!$AG$2:$AH$1082,Beräkningshjälp!$AH$2,AE17:AE18)=2),FALSE)),"")</f>
        <v/>
      </c>
      <c r="P22" s="514" t="str">
        <f t="shared" si="1"/>
        <v/>
      </c>
      <c r="Q22" s="2" t="str">
        <f>RIGHT(U22,LEN(U22)-2)&amp;" - "&amp;RIGHT(V22,LEN(V22)-2)</f>
        <v>81 - 85</v>
      </c>
      <c r="R22" s="136">
        <f>IF($B$1&lt;&gt;"",DCOUNT(Beräkningshjälp!$AC$2:$AI$1082,Beräkningshjälp!$AH$2,U21:W22),0)</f>
        <v>0</v>
      </c>
      <c r="S22" s="513">
        <f>IF($B$1&lt;&gt;"",IF(AND($S$4&gt;=RIGHT(U22,LEN(U22)-2)*1,AND($S$4&lt;=RIGHT(V22,LEN(V22)-2)*1)),MAX(T$6:T$56),0),0)</f>
        <v>0</v>
      </c>
      <c r="T22" s="515">
        <f t="shared" si="0"/>
        <v>9</v>
      </c>
      <c r="U22" s="445" t="str">
        <f>"&gt;="&amp;RIGHT(Y21,LEN(Y21)-2)*1+1</f>
        <v>&gt;=81</v>
      </c>
      <c r="V22" s="444" t="str">
        <f>"&lt;="&amp;IF($B$3&lt;&gt;"",$B$3,5)+RIGHT(U22,LEN(U22)-2)*1-1</f>
        <v>&lt;=85</v>
      </c>
      <c r="W22" s="551" t="str">
        <f>IF($W$6&lt;&gt;"",$W$6,"")</f>
        <v/>
      </c>
      <c r="X22" s="353" t="s">
        <v>1984</v>
      </c>
      <c r="Y22" s="353" t="s">
        <v>1984</v>
      </c>
      <c r="Z22" s="119" t="s">
        <v>75</v>
      </c>
    </row>
    <row r="23" spans="1:37" x14ac:dyDescent="0.25">
      <c r="A23" s="353"/>
      <c r="D23" s="353"/>
      <c r="I23" s="2"/>
      <c r="J23" s="2"/>
      <c r="K23" s="136"/>
      <c r="L23" s="2"/>
      <c r="M23" s="2"/>
      <c r="N23" s="2"/>
      <c r="Q23" s="2" t="str">
        <f>RIGHT(X23,LEN(X23)-2)&amp;" - "&amp;RIGHT(Y23,LEN(Y23)-2)</f>
        <v>86 - 90</v>
      </c>
      <c r="R23" s="136">
        <f>IF($B$1&lt;&gt;"",DCOUNT(Beräkningshjälp!$AC$2:$AI$1082,Beräkningshjälp!$AH$2,X22:Z23),0)</f>
        <v>0</v>
      </c>
      <c r="S23" s="513">
        <f>IF($B$1&lt;&gt;"",IF(AND($S$4&gt;=RIGHT(X23,LEN(X23)-2)*1,AND($S$4&lt;=RIGHT(Y23,LEN(Y23)-2)*1)),MAX(T$6:T$56),0),0)</f>
        <v>0</v>
      </c>
      <c r="T23" s="515">
        <f t="shared" si="0"/>
        <v>9</v>
      </c>
      <c r="U23" s="353" t="s">
        <v>1984</v>
      </c>
      <c r="V23" s="353" t="s">
        <v>1984</v>
      </c>
      <c r="W23" s="119" t="s">
        <v>75</v>
      </c>
      <c r="X23" s="442" t="str">
        <f>"&gt;="&amp;RIGHT(V22,LEN(V22)-2)*1+1</f>
        <v>&gt;=86</v>
      </c>
      <c r="Y23" s="445" t="str">
        <f>"&lt;="&amp;IF($B$3&lt;&gt;"",$B$3,5)+RIGHT(X23,LEN(X23)-2)*1-1</f>
        <v>&lt;=90</v>
      </c>
      <c r="Z23" s="551" t="str">
        <f>IF($W$6&lt;&gt;"",$W$6,"")</f>
        <v/>
      </c>
      <c r="AB23" s="115" t="s">
        <v>462</v>
      </c>
      <c r="AC23" t="s">
        <v>75</v>
      </c>
      <c r="AD23" t="s">
        <v>1984</v>
      </c>
      <c r="AE23" s="115" t="s">
        <v>1983</v>
      </c>
      <c r="AF23" s="115" t="s">
        <v>1983</v>
      </c>
    </row>
    <row r="24" spans="1:37" x14ac:dyDescent="0.25">
      <c r="A24" s="507" t="str">
        <f>IF(COUNTIF(A27:A50,"Icke längdmätta ej uppdelade 0+/&gt;0+")&gt;0,"Ej längdmätta individer saknar  uppdelning ","")</f>
        <v/>
      </c>
      <c r="B24" s="2"/>
      <c r="D24" s="353"/>
      <c r="Q24" s="2" t="str">
        <f>RIGHT(U24,LEN(U24)-2)&amp;" - "&amp;RIGHT(V24,LEN(V24)-2)</f>
        <v>91 - 95</v>
      </c>
      <c r="R24" s="136">
        <f>IF($B$1&lt;&gt;"",DCOUNT(Beräkningshjälp!$AC$2:$AI$1082,Beräkningshjälp!$AH$2,U23:W24),0)</f>
        <v>0</v>
      </c>
      <c r="S24" s="513">
        <f>IF($B$1&lt;&gt;"",IF(AND($S$4&gt;=RIGHT(U24,LEN(U24)-2)*1,AND($S$4&lt;=RIGHT(V24,LEN(V24)-2)*1)),MAX(T$6:T$56),0),0)</f>
        <v>0</v>
      </c>
      <c r="T24" s="515">
        <f t="shared" si="0"/>
        <v>9</v>
      </c>
      <c r="U24" s="445" t="str">
        <f>"&gt;="&amp;RIGHT(Y23,LEN(Y23)-2)*1+1</f>
        <v>&gt;=91</v>
      </c>
      <c r="V24" s="444" t="str">
        <f>"&lt;="&amp;IF($B$3&lt;&gt;"",$B$3,5)+RIGHT(U24,LEN(U24)-2)*1-1</f>
        <v>&lt;=95</v>
      </c>
      <c r="W24" s="551" t="str">
        <f>IF($W$6&lt;&gt;"",$W$6,"")</f>
        <v/>
      </c>
      <c r="X24" s="353" t="s">
        <v>1984</v>
      </c>
      <c r="Y24" s="353" t="s">
        <v>1984</v>
      </c>
      <c r="Z24" s="119" t="s">
        <v>75</v>
      </c>
      <c r="AB24" s="439" t="str">
        <f>IF($B27&lt;&gt;"",IF(ISNUMBER(VLOOKUP($B27,Artlista_alla,4,FALSE)),"0+",""),"")</f>
        <v/>
      </c>
      <c r="AC24" s="440">
        <f>$B27</f>
        <v>1</v>
      </c>
      <c r="AD24" s="441" t="str">
        <f>IF(OR(VLOOKUP(AC24,$I$11:$M$22,3,FALSE)="X",AND(COUNTIF($B$27:$B$50,$B27)=2,VLOOKUP(AC24,$I$11:$M$22,3,FALSE)=0)),IF($B27=$B28,0,"&lt;10000"),IF(AND($B27&lt;&gt;"",$B27=$B26,$B27&lt;&gt;$B28),IF(ISNUMBER(VLOOKUP($B27,$I$11:$M$22,3,FALSE)),"&gt;"&amp;VLOOKUP($B27,$I$11:$M$22,3,FALSE),IF(ISNUMBER(RIGHT(VLOOKUP($B27,$I$11:$M$22,3,FALSE),LEN(VLOOKUP($B27,$I$11:$M$22,3,FALSE))-1)*1),"&gt;="&amp;RIGHT(VLOOKUP($B27,$I$11:$M$22,3,FALSE),LEN(VLOOKUP($B27,$I$11:$M$22,3,FALSE))-1),"&gt;"&amp;RIGHT(VLOOKUP($B27,$I$11:$M$22,3,FALSE),LEN(VLOOKUP($B27,$I$11:$M$22,3,FALSE))-2))),IF(AND($B27&lt;&gt;"",$B27=$B28,$B27&lt;&gt;$B26),IF(ISNUMBER(VLOOKUP($B27,$I$11:$M$22,3,FALSE)),"&lt;=","")&amp;VLOOKUP($B27,$I$11:$M$22,3,FALSE),"&lt;10000")))</f>
        <v>&lt;10000</v>
      </c>
      <c r="AE24" s="352" t="s">
        <v>1995</v>
      </c>
      <c r="AF24" s="115">
        <v>2</v>
      </c>
      <c r="AG24" s="115" t="s">
        <v>462</v>
      </c>
      <c r="AH24" t="s">
        <v>75</v>
      </c>
      <c r="AI24" t="s">
        <v>1984</v>
      </c>
      <c r="AJ24" s="115" t="s">
        <v>1983</v>
      </c>
      <c r="AK24" s="115" t="s">
        <v>1983</v>
      </c>
    </row>
    <row r="25" spans="1:37" x14ac:dyDescent="0.25">
      <c r="A25" s="507" t="str">
        <f>IF(COUNTIF(A27:A50,"Icke längdmätta ej uppdelade 0+/&gt;0+")&gt;0,"i 0+/&gt;0+, se blad 'Antal &amp; Längder (vikter)'","")</f>
        <v/>
      </c>
      <c r="B25" s="2"/>
      <c r="C25" s="353"/>
      <c r="D25" s="353"/>
      <c r="Q25" s="2" t="str">
        <f>RIGHT(X25,LEN(X25)-2)&amp;" - "&amp;RIGHT(Y25,LEN(Y25)-2)</f>
        <v>96 - 100</v>
      </c>
      <c r="R25" s="136">
        <f>IF($B$1&lt;&gt;"",DCOUNT(Beräkningshjälp!$AC$2:$AI$1082,Beräkningshjälp!$AH$2,X24:Z25),0)</f>
        <v>0</v>
      </c>
      <c r="S25" s="513">
        <f>IF($B$1&lt;&gt;"",IF(AND($S$4&gt;=RIGHT(X25,LEN(X25)-2)*1,AND($S$4&lt;=RIGHT(Y25,LEN(Y25)-2)*1)),MAX(T$6:T$56),0),0)</f>
        <v>0</v>
      </c>
      <c r="T25" s="515">
        <f t="shared" si="0"/>
        <v>9</v>
      </c>
      <c r="U25" s="353" t="s">
        <v>1984</v>
      </c>
      <c r="V25" s="353" t="s">
        <v>1984</v>
      </c>
      <c r="W25" s="119" t="s">
        <v>75</v>
      </c>
      <c r="X25" s="442" t="str">
        <f>"&gt;="&amp;RIGHT(V24,LEN(V24)-2)*1+1</f>
        <v>&gt;=96</v>
      </c>
      <c r="Y25" s="445" t="str">
        <f>"&lt;="&amp;IF($B$3&lt;&gt;"",$B$3,5)+RIGHT(X25,LEN(X25)-2)*1-1</f>
        <v>&lt;=100</v>
      </c>
      <c r="Z25" s="551" t="str">
        <f>IF($W$6&lt;&gt;"",$W$6,"")</f>
        <v/>
      </c>
      <c r="AB25" s="115" t="s">
        <v>462</v>
      </c>
      <c r="AC25" t="s">
        <v>75</v>
      </c>
      <c r="AD25" t="s">
        <v>1984</v>
      </c>
      <c r="AE25" s="115" t="s">
        <v>1983</v>
      </c>
      <c r="AF25" s="115" t="s">
        <v>1983</v>
      </c>
      <c r="AG25" s="439" t="str">
        <f>IF($B28&lt;&gt;"",IF(ISNUMBER(VLOOKUP($B28,Artlista_alla,4,FALSE)),"0+",""),"")</f>
        <v/>
      </c>
      <c r="AH25" s="440" t="str">
        <f>$B28</f>
        <v/>
      </c>
      <c r="AI25" s="441" t="str">
        <f>IF(OR(VLOOKUP(AH25,$I$11:$M$22,3,FALSE)="X",AND(COUNTIF($B$27:$B$50,$B28)=2,VLOOKUP(AH25,$I$11:$M$22,3,FALSE)=0)),IF($B28=$B29,0,"&lt;10000"),IF(AND($B28&lt;&gt;"",$B28=$B27,$B28&lt;&gt;$B29),IF(ISNUMBER(VLOOKUP($B28,$I$11:$M$22,3,FALSE)),"&gt;"&amp;VLOOKUP($B28,$I$11:$M$22,3,FALSE),IF(ISNUMBER(RIGHT(VLOOKUP($B28,$I$11:$M$22,3,FALSE),LEN(VLOOKUP($B28,$I$11:$M$22,3,FALSE))-1)*1),"&gt;="&amp;RIGHT(VLOOKUP($B28,$I$11:$M$22,3,FALSE),LEN(VLOOKUP($B28,$I$11:$M$22,3,FALSE))-1),"&gt;"&amp;RIGHT(VLOOKUP($B28,$I$11:$M$22,3,FALSE),LEN(VLOOKUP($B28,$I$11:$M$22,3,FALSE))-2))),IF(AND($B28&lt;&gt;"",$B28=$B29,$B28&lt;&gt;$B27),IF(ISNUMBER(VLOOKUP($B28,$I$11:$M$22,3,FALSE)),"&lt;=","")&amp;VLOOKUP($B28,$I$11:$M$22,3,FALSE),"&lt;10000")))</f>
        <v>&lt;10000</v>
      </c>
      <c r="AJ25" s="352" t="s">
        <v>1995</v>
      </c>
      <c r="AK25" s="115">
        <v>2</v>
      </c>
    </row>
    <row r="26" spans="1:37" ht="42.6" thickBot="1" x14ac:dyDescent="0.3">
      <c r="A26" s="501" t="str">
        <f>"Antal sidor vid utskrift: "&amp;IF(COUNT(B37:M37)&gt;0,IF(COUNT(B45:N45)&gt;0,3,2),1)</f>
        <v>Antal sidor vid utskrift: 1</v>
      </c>
      <c r="B26" s="515" t="s">
        <v>1991</v>
      </c>
      <c r="C26" s="451" t="s">
        <v>1988</v>
      </c>
      <c r="D26" s="453" t="s">
        <v>2041</v>
      </c>
      <c r="E26" s="453" t="s">
        <v>2042</v>
      </c>
      <c r="F26" s="453" t="s">
        <v>2043</v>
      </c>
      <c r="G26" s="453" t="s">
        <v>2044</v>
      </c>
      <c r="H26" s="453" t="s">
        <v>1992</v>
      </c>
      <c r="I26" s="453" t="s">
        <v>2022</v>
      </c>
      <c r="J26" s="453" t="s">
        <v>2023</v>
      </c>
      <c r="K26" s="453" t="s">
        <v>1998</v>
      </c>
      <c r="L26" s="452" t="s">
        <v>2016</v>
      </c>
      <c r="M26" s="452" t="str">
        <f>IF(Protokoll!$H$13=3,"p3-värde",IF(Protokoll!$H$13=2,"p2-värde",""))</f>
        <v/>
      </c>
      <c r="N26" s="452" t="str">
        <f>"Ev. eget   p1-värde"</f>
        <v>Ev. eget   p1-värde</v>
      </c>
      <c r="O26" s="487"/>
      <c r="P26" s="1"/>
      <c r="Q26" s="2" t="str">
        <f>RIGHT(U26,LEN(U26)-2)&amp;" - "&amp;RIGHT(V26,LEN(V26)-2)</f>
        <v>101 - 105</v>
      </c>
      <c r="R26" s="136">
        <f>IF($B$1&lt;&gt;"",DCOUNT(Beräkningshjälp!$AC$2:$AI$1082,Beräkningshjälp!$AH$2,U25:W26),0)</f>
        <v>0</v>
      </c>
      <c r="S26" s="513">
        <f>IF($B$1&lt;&gt;"",IF(AND($S$4&gt;=RIGHT(U26,LEN(U26)-2)*1,AND($S$4&lt;=RIGHT(V26,LEN(V26)-2)*1)),MAX(T$6:T$56),0),0)</f>
        <v>0</v>
      </c>
      <c r="T26" s="515">
        <f t="shared" si="0"/>
        <v>9</v>
      </c>
      <c r="U26" s="445" t="str">
        <f>"&gt;="&amp;RIGHT(Y25,LEN(Y25)-2)*1+1</f>
        <v>&gt;=101</v>
      </c>
      <c r="V26" s="444" t="str">
        <f>"&lt;="&amp;IF($B$3&lt;&gt;"",$B$3,5)+RIGHT(U26,LEN(U26)-2)*1-1</f>
        <v>&lt;=105</v>
      </c>
      <c r="W26" s="551" t="str">
        <f>IF($W$6&lt;&gt;"",$W$6,"")</f>
        <v/>
      </c>
      <c r="X26" s="353" t="s">
        <v>1984</v>
      </c>
      <c r="Y26" s="353" t="s">
        <v>1984</v>
      </c>
      <c r="Z26" s="119" t="s">
        <v>75</v>
      </c>
      <c r="AB26" s="439" t="str">
        <f>IF($B29&lt;&gt;"",IF(ISNUMBER(VLOOKUP($B29,Artlista_alla,4,FALSE)),"0+",""),"")</f>
        <v/>
      </c>
      <c r="AC26" s="440" t="str">
        <f>$B29</f>
        <v/>
      </c>
      <c r="AD26" s="441" t="str">
        <f>IF(OR(VLOOKUP(AC26,$I$11:$M$22,3,FALSE)="X",AND(COUNTIF($B$27:$B$50,$B29)=2,VLOOKUP(AC26,$I$11:$M$22,3,FALSE)=0)),IF($B29=$B30,0,"&lt;10000"),IF(AND($B29&lt;&gt;"",$B29=$B28,$B29&lt;&gt;$B30),IF(ISNUMBER(VLOOKUP($B29,$I$11:$M$22,3,FALSE)),"&gt;"&amp;VLOOKUP($B29,$I$11:$M$22,3,FALSE),IF(ISNUMBER(RIGHT(VLOOKUP($B29,$I$11:$M$22,3,FALSE),LEN(VLOOKUP($B29,$I$11:$M$22,3,FALSE))-1)*1),"&gt;="&amp;RIGHT(VLOOKUP($B29,$I$11:$M$22,3,FALSE),LEN(VLOOKUP($B29,$I$11:$M$22,3,FALSE))-1),"&gt;"&amp;RIGHT(VLOOKUP($B29,$I$11:$M$22,3,FALSE),LEN(VLOOKUP($B29,$I$11:$M$22,3,FALSE))-2))),IF(AND($B29&lt;&gt;"",$B29=$B30,$B29&lt;&gt;$B28),IF(ISNUMBER(VLOOKUP($B29,$I$11:$M$22,3,FALSE)),"&lt;=","")&amp;VLOOKUP($B29,$I$11:$M$22,3,FALSE),"&lt;10000")))</f>
        <v>&lt;10000</v>
      </c>
      <c r="AE26" s="352" t="s">
        <v>1995</v>
      </c>
      <c r="AF26" s="115">
        <v>2</v>
      </c>
      <c r="AG26" s="115" t="s">
        <v>462</v>
      </c>
      <c r="AH26" t="s">
        <v>75</v>
      </c>
      <c r="AI26" t="s">
        <v>1984</v>
      </c>
      <c r="AJ26" s="115" t="s">
        <v>1983</v>
      </c>
      <c r="AK26" s="115" t="s">
        <v>1983</v>
      </c>
    </row>
    <row r="27" spans="1:37" ht="13.8" thickBot="1" x14ac:dyDescent="0.3">
      <c r="A27" s="508" t="str">
        <f>IF(VLOOKUP(B27,Beräkningshjälp!$M$2:$U$60,4,FALSE)&gt;0,IF(ROUND((ROW(B26)-ROW(B$26))/2,0)=INT((ROW(B26)-ROW(B$26))/2),IF(DCOUNTA('Antal &amp; Längder (vikter)'!$O$10:$T$27,'Antal &amp; Längder (vikter)'!$Q$10,AC23:AC24)&lt;&gt;DCOUNT('Antal &amp; Längder (vikter)'!$O$10:$T$27,'Antal &amp; Längder (vikter)'!$R$10,AC23:AC24),"Icke längdmätta ej uppdelade 0+/&gt;0+",IF(AND(DCOUNT(Beräkningshjälp!$AB$2:$AI$1082,Beräkningshjälp!$AH$2,AC23:AC24)&gt;0,COUNTIF(B$27:B$50,B27)=1,VLOOKUP(B27,I$11:K$22,3,FALSE)=0),"Ange gräns 0+/&gt;0+ i fält K"&amp;10+B27&amp;" ovan","")),IF(DCOUNTA('Antal &amp; Längder (vikter)'!$O$10:$T$27,'Antal &amp; Längder (vikter)'!$Q$10,AH23:AH24)&lt;&gt;DCOUNT('Antal &amp; Längder (vikter)'!$O$10:$T$27,'Antal &amp; Längder (vikter)'!$R$10,AH23:AH24),"Icke längdmätta ej uppdelade 0+/&gt;0+",IF(AND(DCOUNT(Beräkningshjälp!$AB$2:$AI$1082,Beräkningshjälp!$AH$2,Artuppgifter!AH23:AH24)&gt;0,COUNTIF(B$27:B$50,B27)=1,VLOOKUP(B27,I$11:K$22,3,FALSE)=0),"Ange gräns 0+/&gt;0+ i fält K"&amp;10+B27&amp;" ovan",""))),"")</f>
        <v/>
      </c>
      <c r="B27" s="515">
        <f>IF(I11&lt;&gt;"",I11,"")</f>
        <v>1</v>
      </c>
      <c r="C27" s="447" t="str">
        <f t="shared" ref="C27" si="2">IF(B27&lt;&gt;"",VLOOKUP(B27,I$11:M$22,COLUMN(J$10)-COLUMN(I$10)+1,FALSE)&amp;IF(B27=B26," &gt;0+",IF(B27=B28," 0+","")),IF(AND(B26&lt;&gt;"",B26&lt;&gt;"Totalt:"),"Totalt:",""))</f>
        <v>INGEN FÅNGST</v>
      </c>
      <c r="D27" s="447">
        <f>IF(B27&lt;&gt;"",IF(ROUND((ROW(C26)-ROW(C$26))/2,0)=INT((ROW(D26)-ROW(D$26))/2),DCOUNT(Beräkningshjälp!$AC$2:$AI$1082,Beräkningshjälp!AH$2,AC23:AE24)-DCOUNT(Beräkningshjälp!$AC$2:$AI$1082,Beräkningshjälp!AH$2,AC23:AF24)+IF(VLOOKUP(B27,Beräkningshjälp!$M$2:$U$60,4,FALSE)&gt;0,IF(B27=B28,DSUM('Antal &amp; Längder (vikter)'!$O$10:$T$27,'Antal &amp; Längder (vikter)'!$R$10,AB23:AC24),DSUM('Antal &amp; Längder (vikter)'!$O$10:$T$27,'Antal &amp; Längder (vikter)'!$R$10,AC23:AC24)-IF(B27=B26,DSUM('Antal &amp; Längder (vikter)'!$O$10:$T$27,'Antal &amp; Längder (vikter)'!$R$10,AB23:AC24),0)),DSUM('Antal &amp; Längder (vikter)'!$O$10:$T$27,'Antal &amp; Längder (vikter)'!$R$10,AC23:AC24)),DCOUNT(Beräkningshjälp!$AC$2:$AI$1082,Beräkningshjälp!AH$2,AH23:AJ24)-DCOUNT(Beräkningshjälp!$AC$2:$AI$1082,Beräkningshjälp!AH$2,AH23:AK24)+IF(VLOOKUP(B27,Beräkningshjälp!$M$2:$U$60,4,FALSE)&gt;0,IF(B27=B28,DSUM('Antal &amp; Längder (vikter)'!$O$10:$T$27,'Antal &amp; Längder (vikter)'!$R$10,AG23:AH24),DSUM('Antal &amp; Längder (vikter)'!$O$10:$T$27,'Antal &amp; Längder (vikter)'!$R$10,AH23:AH24)-IF(B27=B26,DSUM('Antal &amp; Längder (vikter)'!$O$10:$T$27,'Antal &amp; Längder (vikter)'!$R$10,AG23:AH24),0)),DSUM('Antal &amp; Längder (vikter)'!$O$10:$T$27,'Antal &amp; Längder (vikter)'!$R$10,AH23:AH24))),IF(C27="Totalt:",SUM(D$26:D26),""))</f>
        <v>0</v>
      </c>
      <c r="E27" s="447" t="str">
        <f>IF(AND(B27&lt;&gt;"",protokollAntalutfisk&gt;1),IF(ROUND((ROW(C26)-ROW(C$26))/2,0)=INT((ROW(D26)-ROW(D$26))/2),DCOUNT(Beräkningshjälp!$AC$2:$AI$1082,Beräkningshjälp!AH$2,AC23:AF24)+IF(VLOOKUP(B27,Beräkningshjälp!$M$2:$U$60,4,FALSE)&gt;0,IF(B27=B28,DSUM('Antal &amp; Längder (vikter)'!$O$10:$T$27,'Antal &amp; Längder (vikter)'!$S$10,AB23:AC24),DSUM('Antal &amp; Längder (vikter)'!$O$10:$T$27,'Antal &amp; Längder (vikter)'!$S$10,AC23:AC24)-IF(B27=B26,DSUM('Antal &amp; Längder (vikter)'!$O$10:$T$27,'Antal &amp; Längder (vikter)'!$S$10,AB23:AC24),0)),DSUM('Antal &amp; Längder (vikter)'!$O$10:$T$27,'Antal &amp; Längder (vikter)'!$S$10,AC23:AC24)),DCOUNT(Beräkningshjälp!$AC$2:$AI$1082,Beräkningshjälp!AH$2,AH23:AK24)+IF(VLOOKUP(B27,Beräkningshjälp!$M$2:$U$60,4,FALSE)&gt;0,IF(B27=B28,DSUM('Antal &amp; Längder (vikter)'!$O$10:$T$27,'Antal &amp; Längder (vikter)'!$S$10,AG23:AH24),DSUM('Antal &amp; Längder (vikter)'!$O$10:$T$27,'Antal &amp; Längder (vikter)'!$S$10,AH23:AH24)-IF(B27=B26,DSUM('Antal &amp; Längder (vikter)'!$O$10:$T$27,'Antal &amp; Längder (vikter)'!$S$10,AG23:AH24),0)),DSUM('Antal &amp; Längder (vikter)'!$O$10:$T$27,'Antal &amp; Längder (vikter)'!$S$10,AH23:AH24))),IF(C27="Totalt:",SUM(E$26:E26),""))</f>
        <v/>
      </c>
      <c r="F27" s="447" t="str">
        <f>IF(AND(B27&lt;&gt;"",protokollAntalutfisk&gt;2),IF(ROUND((ROW(C26)-ROW(C$26))/2,0)=INT((ROW(D26)-ROW(D$26))/2),DCOUNT(Beräkningshjälp!$AC$2:$AI$1082,Beräkningshjälp!AH$2,AC23:AD24)-DCOUNT(Beräkningshjälp!$AC$2:$AI$1082,Beräkningshjälp!AH$2,AC23:AE24)+IF(VLOOKUP(B27,Beräkningshjälp!$M$2:$U$60,4,FALSE)&gt;0,IF(B27=B28,DSUM('Antal &amp; Längder (vikter)'!$O$10:$T$27,'Antal &amp; Längder (vikter)'!$T$10,AB23:AC24),DSUM('Antal &amp; Längder (vikter)'!$O$10:$T$27,'Antal &amp; Längder (vikter)'!$T$10,AC23:AC24)-IF(B27=B26,DSUM('Antal &amp; Längder (vikter)'!$O$10:$T$27,'Antal &amp; Längder (vikter)'!$T$10,AB23:AC24),0)),DSUM('Antal &amp; Längder (vikter)'!$O$10:$T$27,'Antal &amp; Längder (vikter)'!$T$10,AC23:AC24)),DCOUNT(Beräkningshjälp!$AC$2:$AI$1082,Beräkningshjälp!AH$2,AH23:AI24)-DCOUNT(Beräkningshjälp!$AC$2:$AI$1082,Beräkningshjälp!AH$2,AH23:AJ24)+IF(VLOOKUP(B27,Beräkningshjälp!$M$2:$U$60,4,FALSE)&gt;0,DSUM('Antal &amp; Längder (vikter)'!$O$10:$T$27,'Antal &amp; Längder (vikter)'!$T$10,AH23:AH24)-IF(B27=B26,DSUM('Antal &amp; Längder (vikter)'!$O$10:$T$27,'Antal &amp; Längder (vikter)'!$T$10,AG23:AH24),0),DSUM('Antal &amp; Längder (vikter)'!$O$10:$T$27,'Antal &amp; Längder (vikter)'!$T$10,AH23:AH24))),IF(C27="Totalt:",SUM(F$26:F26),""))</f>
        <v/>
      </c>
      <c r="G27" s="447">
        <f t="shared" ref="G27" si="3">IF(C27&lt;&gt;"",SUM(D27:F27),"")</f>
        <v>0</v>
      </c>
      <c r="H27" s="450">
        <f>IF(AND(C27&lt;&gt;"Totalt:",SUM(G27)&gt;0),IF(Protokoll!$H$13=3,IF(OR(K27="AREA",K27="EST",N27&lt;&gt;""),IF(K27="AREA",G27,G27/((L27+L27*(1-L27))*(1-L27)+L27)),IF(OR(AND(L27&gt;=0.25,D27=E27,E27=F27),AND(L27&gt;=0.25,F27&gt;=D27)),IF(ISNUMBER(VLOOKUP(C27,Beräkningshjälp!$A$3:$E$42,2,FALSE)),G27/(VLOOKUP(C27,Beräkningshjälp!$A$3:$E$42,2,FALSE)/((L27+L27*(1-L27))*(1-L27)+L27)),G27),(6*(2*D27+E27)^2-(3*(2*D27+E27)*(D27+E27+F27))-(D27+E27+F27)^2+(D27+E27+F27)*(((D27+E27+F27)^2)+6*(2*D27+E27)*(D27+E27+F27)-3*(2*D27+E27)^2)^0.5)/(18*(D27-F27)))),IF(Protokoll!$H$13=2,IF(OR(K27="EST",N27&lt;&gt;""),G27/(L27+L27*(1-L27)),IF(E27&gt;=D27,IF(ISNUMBER(VLOOKUP(C27,Beräkningshjälp!$A$3:$E$42,2,FALSE)),G27/(VLOOKUP(C27,Beräkningshjälp!$A$3:$E$42,2,FALSE)/(L27+L27*(1-L27))),G27),IF(K27="AREA",G27,D27^2/(D27-E27)))),IF(OR(K27="EST",N27&lt;&gt;""),IF(N27&lt;&gt;"",G27/N27,IF(ISNUMBER(VLOOKUP(C27,Beräkningshjälp!$A$3:$E$42,2,FALSE)),G27/VLOOKUP(C27,Beräkningshjälp!$A$3:$E$42,2,FALSE),G27)),G27))),IF(C27="Totalt:",SUM(H26:H$26),IF(AND(G27&lt;&gt;"",G27=0),0,"")))</f>
        <v>0</v>
      </c>
      <c r="I27" s="492">
        <f>IF(Protokoll!$AC$19&lt;&gt;"",IF(COUNT(H27)&gt;0,H27/Protokoll!$AC$19*100,""),"")</f>
        <v>0</v>
      </c>
      <c r="J27" s="464" t="str">
        <f>IF(B27&lt;&gt;"",IF(H27&lt;&gt;"",IF(K27="ZIPP",IF(Protokoll!$H$13=3,(1.96*((H27*(1-(1-L27)^3)*(1-L27)^3)/((1-(1-L27)^3)^2-9*L27^2*(1-L27)^2))^0.5)/('DATA TILL SLU'!$Q$7/100),IF(Protokoll!$H$13=2,(1.96*D27*E27*(D27+E27)^0.5/(D27-E27)^2)/('DATA TILL SLU'!$Q$7/100),"")),"-"),""),"")</f>
        <v>-</v>
      </c>
      <c r="K27" s="448" t="str">
        <f>IF(AND(D27&gt;0,G27&gt;0,B27&lt;&gt;""),IF(Protokoll!$H$13=3,IF(OR(AND(D27&gt;=E27,E27&gt;F27),AND(D27&gt;E27,E27&gt;=F27),AND(D27&lt;=E27,D27&gt;F27,D27&gt;F27),AND(D27&gt;=E27,D27&gt;=F27,E27&lt;&gt;F27)),IF((3*(2*D27+E27)-D27-E27-F27-((D27+E27+F27)^2+6*(2*D27+E27)*(D27+E27+F27)-3*(2*D27+E27)^2)^0.5)/(4*D27+2*E27)&gt;=0.25,IF(N27="","ZIPP","EST"),IF(OR(ISNUMBER(VLOOKUP(C27,Beräkningshjälp!$A$3:$E$42,2,FALSE)),N27&lt;&gt;""),"EST","AREA")),IF(OR(ISNUMBER(VLOOKUP(C27,Beräkningshjälp!$A$3:$E$42,2,FALSE)),N27&lt;&gt;""),"EST","AREA")),IF(Protokoll!$H$13=2,IF((D27-E27)/D27&gt;=0.25,IF(N27="","ZIPP","EST"),IF(OR(ISNUMBER(VLOOKUP(C27,Beräkningshjälp!$A$3:$E$42,2,FALSE)),N27&lt;&gt;""),"EST","AREA")),IF(OR(ISNUMBER(VLOOKUP(C27,Beräkningshjälp!$A$3:$E$42,2,FALSE)),N27&lt;&gt;""),"EST","AREA"))),IF(AND(G27&gt;0,B27&lt;&gt;""),IF(OR(ISNUMBER(VLOOKUP(C27,Beräkningshjälp!$A$3:$E$42,2,FALSE)),N27&lt;&gt;""),"EST","AREA"),""))</f>
        <v/>
      </c>
      <c r="L27" s="449" t="str">
        <f>IF(AND(K27&lt;&gt;"",B27&lt;&gt;""),IF(Protokoll!$H$13=3,IF(N27&lt;&gt;"",N27,IF(K27="ZIPP",(3*(2*D27+E27)-D27-E27-F27-((D27+E27+F27)^2+6*(2*D27+E27)*(D27+E27+F27)-3*(2*D27+E27)^2)^0.5)/(4*D27+2*E27),IF(ISNUMBER(VLOOKUP(C27,Beräkningshjälp!$A$3:$E$42,2,FALSE)),VLOOKUP(C27,Beräkningshjälp!$A$3:$E$42,2,FALSE),IF(B27&lt;&gt;"","-","")))),IF(Protokoll!$H$13=2,IF(N27&lt;&gt;"",N27,IF(K27="ZIPP",(D27-E27)/D27,IF(ISNUMBER(VLOOKUP(C27,Beräkningshjälp!$A$3:$E$42,2,FALSE)),VLOOKUP(C27,Beräkningshjälp!$A$3:$E$42,2,FALSE),IF(B27&lt;&gt;"","-","")))),IF(N27&lt;&gt;"",N27,IF(ISNUMBER(VLOOKUP(C27,Beräkningshjälp!$A$3:$E$42,2,FALSE)),VLOOKUP(C27,Beräkningshjälp!$A$3:$E$42,2,FALSE),IF(B27&lt;&gt;"","-",""))))),"")</f>
        <v/>
      </c>
      <c r="M27" s="449" t="str">
        <f>IF(B27&lt;&gt;"",IF(OR(G27=0,K27="AREA",Protokoll!$H$13="",Protokoll!$H$13=1),"",2*L27-L27^2+IF(Protokoll!$H$13=3,L27*(1-(2*L27-L27^2)),0)),"")</f>
        <v/>
      </c>
      <c r="N27" s="502"/>
      <c r="O27" s="461"/>
      <c r="P27" s="461"/>
      <c r="Q27" s="2" t="str">
        <f>RIGHT(X27,LEN(X27)-2)&amp;" - "&amp;RIGHT(Y27,LEN(Y27)-2)</f>
        <v>106 - 110</v>
      </c>
      <c r="R27" s="136">
        <f>IF($B$1&lt;&gt;"",DCOUNT(Beräkningshjälp!$AC$2:$AI$1082,Beräkningshjälp!$AH$2,X26:Z27),0)</f>
        <v>0</v>
      </c>
      <c r="S27" s="513">
        <f>IF($B$1&lt;&gt;"",IF(AND($S$4&gt;=RIGHT(X27,LEN(X27)-2)*1,AND($S$4&lt;=RIGHT(Y27,LEN(Y27)-2)*1)),MAX(T$6:T$56),0),0)</f>
        <v>0</v>
      </c>
      <c r="T27" s="515">
        <f t="shared" si="0"/>
        <v>9</v>
      </c>
      <c r="U27" s="353" t="s">
        <v>1984</v>
      </c>
      <c r="V27" s="353" t="s">
        <v>1984</v>
      </c>
      <c r="W27" s="119" t="s">
        <v>75</v>
      </c>
      <c r="X27" s="442" t="str">
        <f>"&gt;="&amp;RIGHT(V26,LEN(V26)-2)*1+1</f>
        <v>&gt;=106</v>
      </c>
      <c r="Y27" s="445" t="str">
        <f>"&lt;="&amp;IF($B$3&lt;&gt;"",$B$3,5)+RIGHT(X27,LEN(X27)-2)*1-1</f>
        <v>&lt;=110</v>
      </c>
      <c r="Z27" s="551" t="str">
        <f>IF($W$6&lt;&gt;"",$W$6,"")</f>
        <v/>
      </c>
      <c r="AB27" s="115" t="s">
        <v>462</v>
      </c>
      <c r="AC27" t="s">
        <v>75</v>
      </c>
      <c r="AD27" t="s">
        <v>1984</v>
      </c>
      <c r="AE27" s="115" t="s">
        <v>1983</v>
      </c>
      <c r="AF27" s="115" t="s">
        <v>1983</v>
      </c>
      <c r="AG27" s="439" t="str">
        <f>IF($B30&lt;&gt;"",IF(ISNUMBER(VLOOKUP($B30,Artlista_alla,4,FALSE)),"0+",""),"")</f>
        <v/>
      </c>
      <c r="AH27" s="440" t="str">
        <f>$B30</f>
        <v/>
      </c>
      <c r="AI27" s="441" t="str">
        <f>IF(OR(VLOOKUP(AH27,$I$11:$M$22,3,FALSE)="X",AND(COUNTIF($B$27:$B$50,$B30)=2,VLOOKUP(AH27,$I$11:$M$22,3,FALSE)=0)),IF($B30=$B31,0,"&lt;10000"),IF(AND($B30&lt;&gt;"",$B30=$B29,$B30&lt;&gt;$B31),IF(ISNUMBER(VLOOKUP($B30,$I$11:$M$22,3,FALSE)),"&gt;"&amp;VLOOKUP($B30,$I$11:$M$22,3,FALSE),IF(ISNUMBER(RIGHT(VLOOKUP($B30,$I$11:$M$22,3,FALSE),LEN(VLOOKUP($B30,$I$11:$M$22,3,FALSE))-1)*1),"&gt;="&amp;RIGHT(VLOOKUP($B30,$I$11:$M$22,3,FALSE),LEN(VLOOKUP($B30,$I$11:$M$22,3,FALSE))-1),"&gt;"&amp;RIGHT(VLOOKUP($B30,$I$11:$M$22,3,FALSE),LEN(VLOOKUP($B30,$I$11:$M$22,3,FALSE))-2))),IF(AND($B30&lt;&gt;"",$B30=$B31,$B30&lt;&gt;$B29),IF(ISNUMBER(VLOOKUP($B30,$I$11:$M$22,3,FALSE)),"&lt;=","")&amp;VLOOKUP($B30,$I$11:$M$22,3,FALSE),"&lt;10000")))</f>
        <v>&lt;10000</v>
      </c>
      <c r="AJ27" s="352" t="s">
        <v>1995</v>
      </c>
      <c r="AK27" s="115">
        <v>2</v>
      </c>
    </row>
    <row r="28" spans="1:37" ht="13.8" thickBot="1" x14ac:dyDescent="0.3">
      <c r="A28" s="508" t="str">
        <f>IF(VLOOKUP(B28,Beräkningshjälp!$M$2:$U$60,4,FALSE)&gt;0,IF(ROUND((ROW(B27)-ROW(B$26))/2,0)=INT((ROW(B27)-ROW(B$26))/2),IF(DCOUNTA('Antal &amp; Längder (vikter)'!$O$10:$T$27,'Antal &amp; Längder (vikter)'!$Q$10,AC24:AC25)&lt;&gt;DCOUNT('Antal &amp; Längder (vikter)'!$O$10:$T$27,'Antal &amp; Längder (vikter)'!$R$10,AC24:AC25),"Icke längdmätta ej uppdelade 0+/&gt;0+",IF(AND(DCOUNT(Beräkningshjälp!$AB$2:$AI$1082,Beräkningshjälp!$AH$2,AC24:AC25)&gt;0,COUNTIF(B$27:B$50,B28)=1,VLOOKUP(B28,I$11:K$22,3,FALSE)=0),"Ange gräns 0+/&gt;0+ i fält K"&amp;10+B28&amp;" ovan","")),IF(DCOUNTA('Antal &amp; Längder (vikter)'!$O$10:$T$27,'Antal &amp; Längder (vikter)'!$Q$10,AH24:AH25)&lt;&gt;DCOUNT('Antal &amp; Längder (vikter)'!$O$10:$T$27,'Antal &amp; Längder (vikter)'!$R$10,AH24:AH25),"Icke längdmätta ej uppdelade 0+/&gt;0+",IF(AND(DCOUNT(Beräkningshjälp!$AB$2:$AI$1082,Beräkningshjälp!$AH$2,Artuppgifter!AH24:AH25)&gt;0,COUNTIF(B$27:B$50,B28)=1,VLOOKUP(B28,I$11:K$22,3,FALSE)=0),"Ange gräns 0+/&gt;0+ i fält K"&amp;10+B28&amp;" ovan",""))),"")</f>
        <v/>
      </c>
      <c r="B28" s="515" t="str">
        <f>IF(B27&lt;&gt;"",IF(AND(COUNTIF(B$26:B27,B27)=1,VLOOKUP(B27,Artlista_alla,4,FALSE)&gt;0,VLOOKUP(B27,I$11:M$22,3,FALSE)&gt;0,IF((ROW()-ROW($B$26))/2=INT((ROW()-ROW($B$26))/2),IF(ISNUMBER(DCOUNTA(Omätta,B27,AC23:AC24)),IF(DCOUNTA(Omätta,B27,AC23:AC24)&gt;0,AND(DCOUNTA(Omätta,AB23,AC23:AC24)&gt;0,DCOUNTA(Omätta,AB23,AC23:AC24)=DCOUNTA(Omätta,AC23,AC23:AC24)),TRUE),FALSE),IF(ISNUMBER(DCOUNTA(Omätta,B27,AH23:AH24)),IF(DCOUNTA(Omätta,B27,AH23:AH24)&gt;0,AND(DCOUNTA(Omätta,AG23,AH23:AH24)&gt;0,DCOUNTA(Omätta,AG23,AH23:AH24)=DCOUNTA(Omätta,AH23,AH23:AH24)),TRUE),FALSE))),B27,IF(COUNTIF(I$11:I$22,B27+1)&gt;0,B27+1,"")),"")</f>
        <v/>
      </c>
      <c r="C28" s="447" t="str">
        <f t="shared" ref="C28:C50" si="4">IF(B28&lt;&gt;"",VLOOKUP(B28,I$11:M$22,COLUMN(J$10)-COLUMN(I$10)+1,FALSE)&amp;IF(B28=B27," &gt;0+",IF(B28=B29," 0+","")),IF(AND(B27&lt;&gt;"",B27&lt;&gt;"Totalt:"),"Totalt:",""))</f>
        <v>Totalt:</v>
      </c>
      <c r="D28" s="447">
        <f>IF(B28&lt;&gt;"",IF(ROUND((ROW(C27)-ROW(C$26))/2,0)=INT((ROW(D27)-ROW(D$26))/2),DCOUNT(Beräkningshjälp!$AC$2:$AI$1082,Beräkningshjälp!AH$2,AC24:AE25)-DCOUNT(Beräkningshjälp!$AC$2:$AI$1082,Beräkningshjälp!AH$2,AC24:AF25)+IF(VLOOKUP(B28,Beräkningshjälp!$M$2:$U$60,4,FALSE)&gt;0,IF(B28=B29,DSUM('Antal &amp; Längder (vikter)'!$O$10:$T$27,'Antal &amp; Längder (vikter)'!$R$10,AB24:AC25),DSUM('Antal &amp; Längder (vikter)'!$O$10:$T$27,'Antal &amp; Längder (vikter)'!$R$10,AC24:AC25)-IF(B28=B27,DSUM('Antal &amp; Längder (vikter)'!$O$10:$T$27,'Antal &amp; Längder (vikter)'!$R$10,AB24:AC25),0)),DSUM('Antal &amp; Längder (vikter)'!$O$10:$T$27,'Antal &amp; Längder (vikter)'!$R$10,AC24:AC25)),DCOUNT(Beräkningshjälp!$AC$2:$AI$1082,Beräkningshjälp!AH$2,AH24:AJ25)-DCOUNT(Beräkningshjälp!$AC$2:$AI$1082,Beräkningshjälp!AH$2,AH24:AK25)+IF(VLOOKUP(B28,Beräkningshjälp!$M$2:$U$60,4,FALSE)&gt;0,IF(B28=B29,DSUM('Antal &amp; Längder (vikter)'!$O$10:$T$27,'Antal &amp; Längder (vikter)'!$R$10,AG24:AH25),DSUM('Antal &amp; Längder (vikter)'!$O$10:$T$27,'Antal &amp; Längder (vikter)'!$R$10,AH24:AH25)-IF(B28=B27,DSUM('Antal &amp; Längder (vikter)'!$O$10:$T$27,'Antal &amp; Längder (vikter)'!$R$10,AG24:AH25),0)),DSUM('Antal &amp; Längder (vikter)'!$O$10:$T$27,'Antal &amp; Längder (vikter)'!$R$10,AH24:AH25))),IF(C28="Totalt:",SUM(D$26:D27),""))</f>
        <v>0</v>
      </c>
      <c r="E28" s="447">
        <f>IF(AND(B28&lt;&gt;"",protokollAntalutfisk&gt;1),IF(ROUND((ROW(C27)-ROW(C$26))/2,0)=INT((ROW(D27)-ROW(D$26))/2),DCOUNT(Beräkningshjälp!$AC$2:$AI$1082,Beräkningshjälp!AH$2,AC24:AF25)+IF(VLOOKUP(B28,Beräkningshjälp!$M$2:$U$60,4,FALSE)&gt;0,IF(B28=B29,DSUM('Antal &amp; Längder (vikter)'!$O$10:$T$27,'Antal &amp; Längder (vikter)'!$S$10,AB24:AC25),DSUM('Antal &amp; Längder (vikter)'!$O$10:$T$27,'Antal &amp; Längder (vikter)'!$S$10,AC24:AC25)-IF(B28=B27,DSUM('Antal &amp; Längder (vikter)'!$O$10:$T$27,'Antal &amp; Längder (vikter)'!$S$10,AB24:AC25),0)),DSUM('Antal &amp; Längder (vikter)'!$O$10:$T$27,'Antal &amp; Längder (vikter)'!$S$10,AC24:AC25)),DCOUNT(Beräkningshjälp!$AC$2:$AI$1082,Beräkningshjälp!AH$2,AH24:AK25)+IF(VLOOKUP(B28,Beräkningshjälp!$M$2:$U$60,4,FALSE)&gt;0,IF(B28=B29,DSUM('Antal &amp; Längder (vikter)'!$O$10:$T$27,'Antal &amp; Längder (vikter)'!$S$10,AG24:AH25),DSUM('Antal &amp; Längder (vikter)'!$O$10:$T$27,'Antal &amp; Längder (vikter)'!$S$10,AH24:AH25)-IF(B28=B27,DSUM('Antal &amp; Längder (vikter)'!$O$10:$T$27,'Antal &amp; Längder (vikter)'!$S$10,AG24:AH25),0)),DSUM('Antal &amp; Längder (vikter)'!$O$10:$T$27,'Antal &amp; Längder (vikter)'!$S$10,AH24:AH25))),IF(C28="Totalt:",SUM(E$26:E27),""))</f>
        <v>0</v>
      </c>
      <c r="F28" s="447">
        <f>IF(AND(B28&lt;&gt;"",protokollAntalutfisk&gt;2),IF(ROUND((ROW(C27)-ROW(C$26))/2,0)=INT((ROW(D27)-ROW(D$26))/2),DCOUNT(Beräkningshjälp!$AC$2:$AI$1082,Beräkningshjälp!AH$2,AC24:AD25)-DCOUNT(Beräkningshjälp!$AC$2:$AI$1082,Beräkningshjälp!AH$2,AC24:AE25)+IF(VLOOKUP(B28,Beräkningshjälp!$M$2:$U$60,4,FALSE)&gt;0,IF(B28=B29,DSUM('Antal &amp; Längder (vikter)'!$O$10:$T$27,'Antal &amp; Längder (vikter)'!$T$10,AB24:AC25),DSUM('Antal &amp; Längder (vikter)'!$O$10:$T$27,'Antal &amp; Längder (vikter)'!$T$10,AC24:AC25)-IF(B28=B27,DSUM('Antal &amp; Längder (vikter)'!$O$10:$T$27,'Antal &amp; Längder (vikter)'!$T$10,AB24:AC25),0)),DSUM('Antal &amp; Längder (vikter)'!$O$10:$T$27,'Antal &amp; Längder (vikter)'!$T$10,AC24:AC25)),DCOUNT(Beräkningshjälp!$AC$2:$AI$1082,Beräkningshjälp!AH$2,AH24:AI25)-DCOUNT(Beräkningshjälp!$AC$2:$AI$1082,Beräkningshjälp!AH$2,AH24:AJ25)+IF(VLOOKUP(B28,Beräkningshjälp!$M$2:$U$60,4,FALSE)&gt;0,DSUM('Antal &amp; Längder (vikter)'!$O$10:$T$27,'Antal &amp; Längder (vikter)'!$T$10,AH24:AH25)-IF(B28=B27,DSUM('Antal &amp; Längder (vikter)'!$O$10:$T$27,'Antal &amp; Längder (vikter)'!$T$10,AG24:AH25),0),DSUM('Antal &amp; Längder (vikter)'!$O$10:$T$27,'Antal &amp; Längder (vikter)'!$T$10,AH24:AH25))),IF(C28="Totalt:",SUM(F$26:F27),""))</f>
        <v>0</v>
      </c>
      <c r="G28" s="447">
        <f t="shared" ref="G28:G50" si="5">IF(C28&lt;&gt;"",SUM(D28:F28),"")</f>
        <v>0</v>
      </c>
      <c r="H28" s="450">
        <f>IF(AND(C28&lt;&gt;"Totalt:",SUM(G28)&gt;0),IF(Protokoll!$H$13=3,IF(OR(K28="AREA",K28="EST",N28&lt;&gt;""),IF(K28="AREA",G28,G28/((L28+L28*(1-L28))*(1-L28)+L28)),IF(OR(AND(L28&gt;=0.25,D28=E28,E28=F28),AND(L28&gt;=0.25,F28&gt;=D28)),IF(ISNUMBER(VLOOKUP(C28,Beräkningshjälp!$A$3:$E$42,2,FALSE)),G28/(VLOOKUP(C28,Beräkningshjälp!$A$3:$E$42,2,FALSE)/((L28+L28*(1-L28))*(1-L28)+L28)),G28),(6*(2*D28+E28)^2-(3*(2*D28+E28)*(D28+E28+F28))-(D28+E28+F28)^2+(D28+E28+F28)*(((D28+E28+F28)^2)+6*(2*D28+E28)*(D28+E28+F28)-3*(2*D28+E28)^2)^0.5)/(18*(D28-F28)))),IF(Protokoll!$H$13=2,IF(OR(K28="EST",N28&lt;&gt;""),G28/(L28+L28*(1-L28)),IF(E28&gt;=D28,IF(ISNUMBER(VLOOKUP(C28,Beräkningshjälp!$A$3:$E$42,2,FALSE)),G28/(VLOOKUP(C28,Beräkningshjälp!$A$3:$E$42,2,FALSE)/(L28+L28*(1-L28))),G28),IF(K28="AREA",G28,D28^2/(D28-E28)))),IF(OR(K28="EST",N28&lt;&gt;""),IF(N28&lt;&gt;"",G28/N28,IF(ISNUMBER(VLOOKUP(C28,Beräkningshjälp!$A$3:$E$42,2,FALSE)),G28/VLOOKUP(C28,Beräkningshjälp!$A$3:$E$42,2,FALSE),G28)),G28))),IF(C28="Totalt:",SUM(H$26:H27),IF(AND(G28&lt;&gt;"",G28=0),0,"")))</f>
        <v>0</v>
      </c>
      <c r="I28" s="492">
        <f>IF(Protokoll!$AC$19&lt;&gt;"",IF(COUNT(H28)&gt;0,H28/Protokoll!$AC$19*100,""),"")</f>
        <v>0</v>
      </c>
      <c r="J28" s="464" t="str">
        <f>IF(B28&lt;&gt;"",IF(H28&lt;&gt;"",IF(K28="ZIPP",IF(Protokoll!$H$13=3,(1.96*((H28*(1-(1-L28)^3)*(1-L28)^3)/((1-(1-L28)^3)^2-9*L28^2*(1-L28)^2))^0.5)/('DATA TILL SLU'!$Q$7/100),IF(Protokoll!$H$13=2,(1.96*D28*E28*(D28+E28)^0.5/(D28-E28)^2)/('DATA TILL SLU'!$Q$7/100),"")),"-"),""),"")</f>
        <v/>
      </c>
      <c r="K28" s="448" t="str">
        <f>IF(AND(D28&gt;0,G28&gt;0,B28&lt;&gt;""),IF(Protokoll!$H$13=3,IF(OR(AND(D28&gt;=E28,E28&gt;F28),AND(D28&gt;E28,E28&gt;=F28),AND(D28&lt;=E28,D28&gt;F28,D28&gt;F28),AND(D28&gt;=E28,D28&gt;=F28,E28&lt;&gt;F28)),IF((3*(2*D28+E28)-D28-E28-F28-((D28+E28+F28)^2+6*(2*D28+E28)*(D28+E28+F28)-3*(2*D28+E28)^2)^0.5)/(4*D28+2*E28)&gt;=0.25,IF(N28="","ZIPP","EST"),IF(OR(ISNUMBER(VLOOKUP(C28,Beräkningshjälp!$A$3:$E$42,2,FALSE)),N28&lt;&gt;""),"EST","AREA")),IF(OR(ISNUMBER(VLOOKUP(C28,Beräkningshjälp!$A$3:$E$42,2,FALSE)),N28&lt;&gt;""),"EST","AREA")),IF(Protokoll!$H$13=2,IF((D28-E28)/D28&gt;=0.25,IF(N28="","ZIPP","EST"),IF(OR(ISNUMBER(VLOOKUP(C28,Beräkningshjälp!$A$3:$E$42,2,FALSE)),N28&lt;&gt;""),"EST","AREA")),IF(OR(ISNUMBER(VLOOKUP(C28,Beräkningshjälp!$A$3:$E$42,2,FALSE)),N28&lt;&gt;""),"EST","AREA"))),IF(AND(G28&gt;0,B28&lt;&gt;""),IF(OR(ISNUMBER(VLOOKUP(C28,Beräkningshjälp!$A$3:$E$42,2,FALSE)),N28&lt;&gt;""),"EST","AREA"),""))</f>
        <v/>
      </c>
      <c r="L28" s="449" t="str">
        <f>IF(AND(K28&lt;&gt;"",B28&lt;&gt;""),IF(Protokoll!$H$13=3,IF(N28&lt;&gt;"",N28,IF(K28="ZIPP",(3*(2*D28+E28)-D28-E28-F28-((D28+E28+F28)^2+6*(2*D28+E28)*(D28+E28+F28)-3*(2*D28+E28)^2)^0.5)/(4*D28+2*E28),IF(ISNUMBER(VLOOKUP(C28,Beräkningshjälp!$A$3:$E$42,2,FALSE)),VLOOKUP(C28,Beräkningshjälp!$A$3:$E$42,2,FALSE),IF(B28&lt;&gt;"","-","")))),IF(Protokoll!$H$13=2,IF(N28&lt;&gt;"",N28,IF(K28="ZIPP",(D28-E28)/D28,IF(ISNUMBER(VLOOKUP(C28,Beräkningshjälp!$A$3:$E$42,2,FALSE)),VLOOKUP(C28,Beräkningshjälp!$A$3:$E$42,2,FALSE),IF(B28&lt;&gt;"","-","")))),IF(N28&lt;&gt;"",N28,IF(ISNUMBER(VLOOKUP(C28,Beräkningshjälp!$A$3:$E$42,2,FALSE)),VLOOKUP(C28,Beräkningshjälp!$A$3:$E$42,2,FALSE),IF(B28&lt;&gt;"","-",""))))),"")</f>
        <v/>
      </c>
      <c r="M28" s="449" t="str">
        <f>IF(B28&lt;&gt;"",IF(OR(G28=0,K28="AREA",Protokoll!$H$13="",Protokoll!$H$13=1),"",2*L28-L28^2+IF(Protokoll!$H$13=3,L28*(1-(2*L28-L28^2)),0)),"")</f>
        <v/>
      </c>
      <c r="N28" s="502"/>
      <c r="O28" s="461"/>
      <c r="P28" s="461"/>
      <c r="Q28" s="2" t="str">
        <f>RIGHT(U28,LEN(U28)-2)&amp;" - "&amp;RIGHT(V28,LEN(V28)-2)</f>
        <v>111 - 115</v>
      </c>
      <c r="R28" s="136">
        <f>IF($B$1&lt;&gt;"",DCOUNT(Beräkningshjälp!$AC$2:$AI$1082,Beräkningshjälp!$AH$2,U27:W28),0)</f>
        <v>0</v>
      </c>
      <c r="S28" s="513">
        <f>IF($B$1&lt;&gt;"",IF(AND($S$4&gt;=RIGHT(U28,LEN(U28)-2)*1,AND($S$4&lt;=RIGHT(V28,LEN(V28)-2)*1)),MAX(T$6:T$56),0),0)</f>
        <v>0</v>
      </c>
      <c r="T28" s="515">
        <f t="shared" si="0"/>
        <v>9</v>
      </c>
      <c r="U28" s="445" t="str">
        <f>"&gt;="&amp;RIGHT(Y27,LEN(Y27)-2)*1+1</f>
        <v>&gt;=111</v>
      </c>
      <c r="V28" s="444" t="str">
        <f>"&lt;="&amp;IF($B$3&lt;&gt;"",$B$3,5)+RIGHT(U28,LEN(U28)-2)*1-1</f>
        <v>&lt;=115</v>
      </c>
      <c r="W28" s="551" t="str">
        <f>IF($W$6&lt;&gt;"",$W$6,"")</f>
        <v/>
      </c>
      <c r="X28" s="353" t="s">
        <v>1984</v>
      </c>
      <c r="Y28" s="353" t="s">
        <v>1984</v>
      </c>
      <c r="Z28" s="119" t="s">
        <v>75</v>
      </c>
      <c r="AB28" s="439" t="str">
        <f>IF($B31&lt;&gt;"",IF(ISNUMBER(VLOOKUP($B31,Artlista_alla,4,FALSE)),"0+",""),"")</f>
        <v/>
      </c>
      <c r="AC28" s="440" t="str">
        <f>$B31</f>
        <v/>
      </c>
      <c r="AD28" s="441" t="str">
        <f>IF(OR(VLOOKUP(AC28,$I$11:$M$22,3,FALSE)="X",AND(COUNTIF($B$27:$B$50,$B31)=2,VLOOKUP(AC28,$I$11:$M$22,3,FALSE)=0)),IF($B31=$B32,0,"&lt;10000"),IF(AND($B31&lt;&gt;"",$B31=$B30,$B31&lt;&gt;$B32),IF(ISNUMBER(VLOOKUP($B31,$I$11:$M$22,3,FALSE)),"&gt;"&amp;VLOOKUP($B31,$I$11:$M$22,3,FALSE),IF(ISNUMBER(RIGHT(VLOOKUP($B31,$I$11:$M$22,3,FALSE),LEN(VLOOKUP($B31,$I$11:$M$22,3,FALSE))-1)*1),"&gt;="&amp;RIGHT(VLOOKUP($B31,$I$11:$M$22,3,FALSE),LEN(VLOOKUP($B31,$I$11:$M$22,3,FALSE))-1),"&gt;"&amp;RIGHT(VLOOKUP($B31,$I$11:$M$22,3,FALSE),LEN(VLOOKUP($B31,$I$11:$M$22,3,FALSE))-2))),IF(AND($B31&lt;&gt;"",$B31=$B32,$B31&lt;&gt;$B30),IF(ISNUMBER(VLOOKUP($B31,$I$11:$M$22,3,FALSE)),"&lt;=","")&amp;VLOOKUP($B31,$I$11:$M$22,3,FALSE),"&lt;10000")))</f>
        <v>&lt;10000</v>
      </c>
      <c r="AE28" s="352" t="s">
        <v>1995</v>
      </c>
      <c r="AF28" s="115">
        <v>2</v>
      </c>
      <c r="AG28" s="115" t="s">
        <v>462</v>
      </c>
      <c r="AH28" t="s">
        <v>75</v>
      </c>
      <c r="AI28" t="s">
        <v>1984</v>
      </c>
      <c r="AJ28" s="115" t="s">
        <v>1983</v>
      </c>
      <c r="AK28" s="115" t="s">
        <v>1983</v>
      </c>
    </row>
    <row r="29" spans="1:37" ht="13.8" thickBot="1" x14ac:dyDescent="0.3">
      <c r="A29" s="508" t="str">
        <f>IF(VLOOKUP(B29,Beräkningshjälp!$M$2:$U$60,4,FALSE)&gt;0,IF(ROUND((ROW(B28)-ROW(B$26))/2,0)=INT((ROW(B28)-ROW(B$26))/2),IF(DCOUNTA('Antal &amp; Längder (vikter)'!$O$10:$T$27,'Antal &amp; Längder (vikter)'!$Q$10,AC25:AC26)&lt;&gt;DCOUNT('Antal &amp; Längder (vikter)'!$O$10:$T$27,'Antal &amp; Längder (vikter)'!$R$10,AC25:AC26),"Icke längdmätta ej uppdelade 0+/&gt;0+",IF(AND(DCOUNT(Beräkningshjälp!$AB$2:$AI$1082,Beräkningshjälp!$AH$2,AC25:AC26)&gt;0,COUNTIF(B$27:B$50,B29)=1,VLOOKUP(B29,I$11:K$22,3,FALSE)=0),"Ange gräns 0+/&gt;0+ i fält K"&amp;10+B29&amp;" ovan","")),IF(DCOUNTA('Antal &amp; Längder (vikter)'!$O$10:$T$27,'Antal &amp; Längder (vikter)'!$Q$10,AH25:AH26)&lt;&gt;DCOUNT('Antal &amp; Längder (vikter)'!$O$10:$T$27,'Antal &amp; Längder (vikter)'!$R$10,AH25:AH26),"Icke längdmätta ej uppdelade 0+/&gt;0+",IF(AND(DCOUNT(Beräkningshjälp!$AB$2:$AI$1082,Beräkningshjälp!$AH$2,Artuppgifter!AH25:AH26)&gt;0,COUNTIF(B$27:B$50,B29)=1,VLOOKUP(B29,I$11:K$22,3,FALSE)=0),"Ange gräns 0+/&gt;0+ i fält K"&amp;10+B29&amp;" ovan",""))),"")</f>
        <v/>
      </c>
      <c r="B29" s="515" t="str">
        <f>IF(B28&lt;&gt;"",IF(AND(COUNTIF(B$26:B28,B28)=1,VLOOKUP(B28,Artlista_alla,4,FALSE)&gt;0,VLOOKUP(B28,I$11:M$22,3,FALSE)&gt;0,IF((ROW()-ROW($B$26))/2=INT((ROW()-ROW($B$26))/2),IF(ISNUMBER(DCOUNTA(Omätta,B28,AC24:AC25)),IF(DCOUNTA(Omätta,B28,AC24:AC25)&gt;0,AND(DCOUNTA(Omätta,AB24,AC24:AC25)&gt;0,DCOUNTA(Omätta,AB24,AC24:AC25)=DCOUNTA(Omätta,AC24,AC24:AC25)),TRUE),FALSE),IF(ISNUMBER(DCOUNTA(Omätta,B28,AH24:AH25)),IF(DCOUNTA(Omätta,B28,AH24:AH25)&gt;0,AND(DCOUNTA(Omätta,AG24,AH24:AH25)&gt;0,DCOUNTA(Omätta,AG24,AH24:AH25)=DCOUNTA(Omätta,AH24,AH24:AH25)),TRUE),FALSE))),B28,IF(COUNTIF(I$11:I$22,B28+1)&gt;0,B28+1,"")),"")</f>
        <v/>
      </c>
      <c r="C29" s="447" t="str">
        <f t="shared" si="4"/>
        <v/>
      </c>
      <c r="D29" s="447" t="str">
        <f>IF(B29&lt;&gt;"",IF(ROUND((ROW(C28)-ROW(C$26))/2,0)=INT((ROW(D28)-ROW(D$26))/2),DCOUNT(Beräkningshjälp!$AC$2:$AI$1082,Beräkningshjälp!AH$2,AC25:AE26)-DCOUNT(Beräkningshjälp!$AC$2:$AI$1082,Beräkningshjälp!AH$2,AC25:AF26)+IF(VLOOKUP(B29,Beräkningshjälp!$M$2:$U$60,4,FALSE)&gt;0,IF(B29=B30,DSUM('Antal &amp; Längder (vikter)'!$O$10:$T$27,'Antal &amp; Längder (vikter)'!$R$10,AB25:AC26),DSUM('Antal &amp; Längder (vikter)'!$O$10:$T$27,'Antal &amp; Längder (vikter)'!$R$10,AC25:AC26)-IF(B29=B28,DSUM('Antal &amp; Längder (vikter)'!$O$10:$T$27,'Antal &amp; Längder (vikter)'!$R$10,AB25:AC26),0)),DSUM('Antal &amp; Längder (vikter)'!$O$10:$T$27,'Antal &amp; Längder (vikter)'!$R$10,AC25:AC26)),DCOUNT(Beräkningshjälp!$AC$2:$AI$1082,Beräkningshjälp!AH$2,AH25:AJ26)-DCOUNT(Beräkningshjälp!$AC$2:$AI$1082,Beräkningshjälp!AH$2,AH25:AK26)+IF(VLOOKUP(B29,Beräkningshjälp!$M$2:$U$60,4,FALSE)&gt;0,IF(B29=B30,DSUM('Antal &amp; Längder (vikter)'!$O$10:$T$27,'Antal &amp; Längder (vikter)'!$R$10,AG25:AH26),DSUM('Antal &amp; Längder (vikter)'!$O$10:$T$27,'Antal &amp; Längder (vikter)'!$R$10,AH25:AH26)-IF(B29=B28,DSUM('Antal &amp; Längder (vikter)'!$O$10:$T$27,'Antal &amp; Längder (vikter)'!$R$10,AG25:AH26),0)),DSUM('Antal &amp; Längder (vikter)'!$O$10:$T$27,'Antal &amp; Längder (vikter)'!$R$10,AH25:AH26))),IF(C29="Totalt:",SUM(D$26:D28),""))</f>
        <v/>
      </c>
      <c r="E29" s="447" t="str">
        <f>IF(AND(B29&lt;&gt;"",protokollAntalutfisk&gt;1),IF(ROUND((ROW(C28)-ROW(C$26))/2,0)=INT((ROW(D28)-ROW(D$26))/2),DCOUNT(Beräkningshjälp!$AC$2:$AI$1082,Beräkningshjälp!AH$2,AC25:AF26)+IF(VLOOKUP(B29,Beräkningshjälp!$M$2:$U$60,4,FALSE)&gt;0,IF(B29=B30,DSUM('Antal &amp; Längder (vikter)'!$O$10:$T$27,'Antal &amp; Längder (vikter)'!$S$10,AB25:AC26),DSUM('Antal &amp; Längder (vikter)'!$O$10:$T$27,'Antal &amp; Längder (vikter)'!$S$10,AC25:AC26)-IF(B29=B28,DSUM('Antal &amp; Längder (vikter)'!$O$10:$T$27,'Antal &amp; Längder (vikter)'!$S$10,AB25:AC26),0)),DSUM('Antal &amp; Längder (vikter)'!$O$10:$T$27,'Antal &amp; Längder (vikter)'!$S$10,AC25:AC26)),DCOUNT(Beräkningshjälp!$AC$2:$AI$1082,Beräkningshjälp!AH$2,AH25:AK26)+IF(VLOOKUP(B29,Beräkningshjälp!$M$2:$U$60,4,FALSE)&gt;0,IF(B29=B30,DSUM('Antal &amp; Längder (vikter)'!$O$10:$T$27,'Antal &amp; Längder (vikter)'!$S$10,AG25:AH26),DSUM('Antal &amp; Längder (vikter)'!$O$10:$T$27,'Antal &amp; Längder (vikter)'!$S$10,AH25:AH26)-IF(B29=B28,DSUM('Antal &amp; Längder (vikter)'!$O$10:$T$27,'Antal &amp; Längder (vikter)'!$S$10,AG25:AH26),0)),DSUM('Antal &amp; Längder (vikter)'!$O$10:$T$27,'Antal &amp; Längder (vikter)'!$S$10,AH25:AH26))),IF(C29="Totalt:",SUM(E$26:E28),""))</f>
        <v/>
      </c>
      <c r="F29" s="447" t="str">
        <f>IF(AND(B29&lt;&gt;"",protokollAntalutfisk&gt;2),IF(ROUND((ROW(C28)-ROW(C$26))/2,0)=INT((ROW(D28)-ROW(D$26))/2),DCOUNT(Beräkningshjälp!$AC$2:$AI$1082,Beräkningshjälp!AH$2,AC25:AD26)-DCOUNT(Beräkningshjälp!$AC$2:$AI$1082,Beräkningshjälp!AH$2,AC25:AE26)+IF(VLOOKUP(B29,Beräkningshjälp!$M$2:$U$60,4,FALSE)&gt;0,IF(B29=B30,DSUM('Antal &amp; Längder (vikter)'!$O$10:$T$27,'Antal &amp; Längder (vikter)'!$T$10,AB25:AC26),DSUM('Antal &amp; Längder (vikter)'!$O$10:$T$27,'Antal &amp; Längder (vikter)'!$T$10,AC25:AC26)-IF(B29=B28,DSUM('Antal &amp; Längder (vikter)'!$O$10:$T$27,'Antal &amp; Längder (vikter)'!$T$10,AB25:AC26),0)),DSUM('Antal &amp; Längder (vikter)'!$O$10:$T$27,'Antal &amp; Längder (vikter)'!$T$10,AC25:AC26)),DCOUNT(Beräkningshjälp!$AC$2:$AI$1082,Beräkningshjälp!AH$2,AH25:AI26)-DCOUNT(Beräkningshjälp!$AC$2:$AI$1082,Beräkningshjälp!AH$2,AH25:AJ26)+IF(VLOOKUP(B29,Beräkningshjälp!$M$2:$U$60,4,FALSE)&gt;0,DSUM('Antal &amp; Längder (vikter)'!$O$10:$T$27,'Antal &amp; Längder (vikter)'!$T$10,AH25:AH26)-IF(B29=B28,DSUM('Antal &amp; Längder (vikter)'!$O$10:$T$27,'Antal &amp; Längder (vikter)'!$T$10,AG25:AH26),0),DSUM('Antal &amp; Längder (vikter)'!$O$10:$T$27,'Antal &amp; Längder (vikter)'!$T$10,AH25:AH26))),IF(C29="Totalt:",SUM(F$26:F28),""))</f>
        <v/>
      </c>
      <c r="G29" s="447" t="str">
        <f t="shared" si="5"/>
        <v/>
      </c>
      <c r="H29" s="450" t="str">
        <f>IF(AND(C29&lt;&gt;"Totalt:",SUM(G29)&gt;0),IF(Protokoll!$H$13=3,IF(OR(K29="AREA",K29="EST",N29&lt;&gt;""),IF(K29="AREA",G29,G29/((L29+L29*(1-L29))*(1-L29)+L29)),IF(OR(AND(L29&gt;=0.25,D29=E29,E29=F29),AND(L29&gt;=0.25,F29&gt;=D29)),IF(ISNUMBER(VLOOKUP(C29,Beräkningshjälp!$A$3:$E$42,2,FALSE)),G29/(VLOOKUP(C29,Beräkningshjälp!$A$3:$E$42,2,FALSE)/((L29+L29*(1-L29))*(1-L29)+L29)),G29),(6*(2*D29+E29)^2-(3*(2*D29+E29)*(D29+E29+F29))-(D29+E29+F29)^2+(D29+E29+F29)*(((D29+E29+F29)^2)+6*(2*D29+E29)*(D29+E29+F29)-3*(2*D29+E29)^2)^0.5)/(18*(D29-F29)))),IF(Protokoll!$H$13=2,IF(OR(K29="EST",N29&lt;&gt;""),G29/(L29+L29*(1-L29)),IF(E29&gt;=D29,IF(ISNUMBER(VLOOKUP(C29,Beräkningshjälp!$A$3:$E$42,2,FALSE)),G29/(VLOOKUP(C29,Beräkningshjälp!$A$3:$E$42,2,FALSE)/(L29+L29*(1-L29))),G29),IF(K29="AREA",G29,D29^2/(D29-E29)))),IF(OR(K29="EST",N29&lt;&gt;""),IF(N29&lt;&gt;"",G29/N29,IF(ISNUMBER(VLOOKUP(C29,Beräkningshjälp!$A$3:$E$42,2,FALSE)),G29/VLOOKUP(C29,Beräkningshjälp!$A$3:$E$42,2,FALSE),G29)),G29))),IF(C29="Totalt:",SUM(H$26:H28),IF(AND(G29&lt;&gt;"",G29=0),0,"")))</f>
        <v/>
      </c>
      <c r="I29" s="492" t="str">
        <f>IF(Protokoll!$AC$19&lt;&gt;"",IF(COUNT(H29)&gt;0,H29/Protokoll!$AC$19*100,""),"")</f>
        <v/>
      </c>
      <c r="J29" s="464" t="str">
        <f>IF(B29&lt;&gt;"",IF(H29&lt;&gt;"",IF(K29="ZIPP",IF(Protokoll!$H$13=3,(1.96*((H29*(1-(1-L29)^3)*(1-L29)^3)/((1-(1-L29)^3)^2-9*L29^2*(1-L29)^2))^0.5)/('DATA TILL SLU'!$Q$7/100),IF(Protokoll!$H$13=2,(1.96*D29*E29*(D29+E29)^0.5/(D29-E29)^2)/('DATA TILL SLU'!$Q$7/100),"")),"-"),""),"")</f>
        <v/>
      </c>
      <c r="K29" s="448" t="str">
        <f>IF(AND(D29&gt;0,G29&gt;0,B29&lt;&gt;""),IF(Protokoll!$H$13=3,IF(OR(AND(D29&gt;=E29,E29&gt;F29),AND(D29&gt;E29,E29&gt;=F29),AND(D29&lt;=E29,D29&gt;F29,D29&gt;F29),AND(D29&gt;=E29,D29&gt;=F29,E29&lt;&gt;F29)),IF((3*(2*D29+E29)-D29-E29-F29-((D29+E29+F29)^2+6*(2*D29+E29)*(D29+E29+F29)-3*(2*D29+E29)^2)^0.5)/(4*D29+2*E29)&gt;=0.25,IF(N29="","ZIPP","EST"),IF(OR(ISNUMBER(VLOOKUP(C29,Beräkningshjälp!$A$3:$E$42,2,FALSE)),N29&lt;&gt;""),"EST","AREA")),IF(OR(ISNUMBER(VLOOKUP(C29,Beräkningshjälp!$A$3:$E$42,2,FALSE)),N29&lt;&gt;""),"EST","AREA")),IF(Protokoll!$H$13=2,IF((D29-E29)/D29&gt;=0.25,IF(N29="","ZIPP","EST"),IF(OR(ISNUMBER(VLOOKUP(C29,Beräkningshjälp!$A$3:$E$42,2,FALSE)),N29&lt;&gt;""),"EST","AREA")),IF(OR(ISNUMBER(VLOOKUP(C29,Beräkningshjälp!$A$3:$E$42,2,FALSE)),N29&lt;&gt;""),"EST","AREA"))),IF(AND(G29&gt;0,B29&lt;&gt;""),IF(OR(ISNUMBER(VLOOKUP(C29,Beräkningshjälp!$A$3:$E$42,2,FALSE)),N29&lt;&gt;""),"EST","AREA"),""))</f>
        <v/>
      </c>
      <c r="L29" s="449" t="str">
        <f>IF(AND(K29&lt;&gt;"",B29&lt;&gt;""),IF(Protokoll!$H$13=3,IF(N29&lt;&gt;"",N29,IF(K29="ZIPP",(3*(2*D29+E29)-D29-E29-F29-((D29+E29+F29)^2+6*(2*D29+E29)*(D29+E29+F29)-3*(2*D29+E29)^2)^0.5)/(4*D29+2*E29),IF(ISNUMBER(VLOOKUP(C29,Beräkningshjälp!$A$3:$E$42,2,FALSE)),VLOOKUP(C29,Beräkningshjälp!$A$3:$E$42,2,FALSE),IF(B29&lt;&gt;"","-","")))),IF(Protokoll!$H$13=2,IF(N29&lt;&gt;"",N29,IF(K29="ZIPP",(D29-E29)/D29,IF(ISNUMBER(VLOOKUP(C29,Beräkningshjälp!$A$3:$E$42,2,FALSE)),VLOOKUP(C29,Beräkningshjälp!$A$3:$E$42,2,FALSE),IF(B29&lt;&gt;"","-","")))),IF(N29&lt;&gt;"",N29,IF(ISNUMBER(VLOOKUP(C29,Beräkningshjälp!$A$3:$E$42,2,FALSE)),VLOOKUP(C29,Beräkningshjälp!$A$3:$E$42,2,FALSE),IF(B29&lt;&gt;"","-",""))))),"")</f>
        <v/>
      </c>
      <c r="M29" s="449" t="str">
        <f>IF(B29&lt;&gt;"",IF(OR(G29=0,K29="AREA",Protokoll!$H$13="",Protokoll!$H$13=1),"",2*L29-L29^2+IF(Protokoll!$H$13=3,L29*(1-(2*L29-L29^2)),0)),"")</f>
        <v/>
      </c>
      <c r="N29" s="502"/>
      <c r="O29" s="461"/>
      <c r="P29" s="461"/>
      <c r="Q29" s="2" t="str">
        <f>RIGHT(X29,LEN(X29)-2)&amp;" - "&amp;RIGHT(Y29,LEN(Y29)-2)</f>
        <v>116 - 120</v>
      </c>
      <c r="R29" s="136">
        <f>IF($B$1&lt;&gt;"",DCOUNT(Beräkningshjälp!$AC$2:$AI$1082,Beräkningshjälp!$AH$2,X28:Z29),0)</f>
        <v>0</v>
      </c>
      <c r="S29" s="513">
        <f>IF($B$1&lt;&gt;"",IF(AND($S$4&gt;=RIGHT(X29,LEN(X29)-2)*1,AND($S$4&lt;=RIGHT(Y29,LEN(Y29)-2)*1)),MAX(T$6:T$56),0),0)</f>
        <v>0</v>
      </c>
      <c r="T29" s="515">
        <f t="shared" si="0"/>
        <v>9</v>
      </c>
      <c r="U29" s="353" t="s">
        <v>1984</v>
      </c>
      <c r="V29" s="353" t="s">
        <v>1984</v>
      </c>
      <c r="W29" s="119" t="s">
        <v>75</v>
      </c>
      <c r="X29" s="442" t="str">
        <f>"&gt;="&amp;RIGHT(V28,LEN(V28)-2)*1+1</f>
        <v>&gt;=116</v>
      </c>
      <c r="Y29" s="445" t="str">
        <f>"&lt;="&amp;IF($B$3&lt;&gt;"",$B$3,5)+RIGHT(X29,LEN(X29)-2)*1-1</f>
        <v>&lt;=120</v>
      </c>
      <c r="Z29" s="551" t="str">
        <f>IF($W$6&lt;&gt;"",$W$6,"")</f>
        <v/>
      </c>
      <c r="AB29" s="115" t="s">
        <v>462</v>
      </c>
      <c r="AC29" t="s">
        <v>75</v>
      </c>
      <c r="AD29" t="s">
        <v>1984</v>
      </c>
      <c r="AE29" s="115" t="s">
        <v>1983</v>
      </c>
      <c r="AF29" s="115" t="s">
        <v>1983</v>
      </c>
      <c r="AG29" s="439" t="str">
        <f>IF($B32&lt;&gt;"",IF(ISNUMBER(VLOOKUP($B32,Artlista_alla,4,FALSE)),"0+",""),"")</f>
        <v/>
      </c>
      <c r="AH29" s="440" t="str">
        <f>$B32</f>
        <v/>
      </c>
      <c r="AI29" s="441" t="str">
        <f>IF(OR(VLOOKUP(AH29,$I$11:$M$22,3,FALSE)="X",AND(COUNTIF($B$27:$B$50,$B32)=2,VLOOKUP(AH29,$I$11:$M$22,3,FALSE)=0)),IF($B32=$B33,0,"&lt;10000"),IF(AND($B32&lt;&gt;"",$B32=$B31,$B32&lt;&gt;$B33),IF(ISNUMBER(VLOOKUP($B32,$I$11:$M$22,3,FALSE)),"&gt;"&amp;VLOOKUP($B32,$I$11:$M$22,3,FALSE),IF(ISNUMBER(RIGHT(VLOOKUP($B32,$I$11:$M$22,3,FALSE),LEN(VLOOKUP($B32,$I$11:$M$22,3,FALSE))-1)*1),"&gt;="&amp;RIGHT(VLOOKUP($B32,$I$11:$M$22,3,FALSE),LEN(VLOOKUP($B32,$I$11:$M$22,3,FALSE))-1),"&gt;"&amp;RIGHT(VLOOKUP($B32,$I$11:$M$22,3,FALSE),LEN(VLOOKUP($B32,$I$11:$M$22,3,FALSE))-2))),IF(AND($B32&lt;&gt;"",$B32=$B33,$B32&lt;&gt;$B31),IF(ISNUMBER(VLOOKUP($B32,$I$11:$M$22,3,FALSE)),"&lt;=","")&amp;VLOOKUP($B32,$I$11:$M$22,3,FALSE),"&lt;10000")))</f>
        <v>&lt;10000</v>
      </c>
      <c r="AJ29" s="352" t="s">
        <v>1995</v>
      </c>
      <c r="AK29" s="115">
        <v>2</v>
      </c>
    </row>
    <row r="30" spans="1:37" ht="13.8" thickBot="1" x14ac:dyDescent="0.3">
      <c r="A30" s="508" t="str">
        <f>IF(VLOOKUP(B30,Beräkningshjälp!$M$2:$U$60,4,FALSE)&gt;0,IF(ROUND((ROW(B29)-ROW(B$26))/2,0)=INT((ROW(B29)-ROW(B$26))/2),IF(DCOUNTA('Antal &amp; Längder (vikter)'!$O$10:$T$27,'Antal &amp; Längder (vikter)'!$Q$10,AC26:AC27)&lt;&gt;DCOUNT('Antal &amp; Längder (vikter)'!$O$10:$T$27,'Antal &amp; Längder (vikter)'!$R$10,AC26:AC27),"Icke längdmätta ej uppdelade 0+/&gt;0+",IF(AND(DCOUNT(Beräkningshjälp!$AB$2:$AI$1082,Beräkningshjälp!$AH$2,AC26:AC27)&gt;0,COUNTIF(B$27:B$50,B30)=1,VLOOKUP(B30,I$11:K$22,3,FALSE)=0),"Ange gräns 0+/&gt;0+ i fält K"&amp;10+B30&amp;" ovan","")),IF(DCOUNTA('Antal &amp; Längder (vikter)'!$O$10:$T$27,'Antal &amp; Längder (vikter)'!$Q$10,AH26:AH27)&lt;&gt;DCOUNT('Antal &amp; Längder (vikter)'!$O$10:$T$27,'Antal &amp; Längder (vikter)'!$R$10,AH26:AH27),"Icke längdmätta ej uppdelade 0+/&gt;0+",IF(AND(DCOUNT(Beräkningshjälp!$AB$2:$AI$1082,Beräkningshjälp!$AH$2,Artuppgifter!AH26:AH27)&gt;0,COUNTIF(B$27:B$50,B30)=1,VLOOKUP(B30,I$11:K$22,3,FALSE)=0),"Ange gräns 0+/&gt;0+ i fält K"&amp;10+B30&amp;" ovan",""))),"")</f>
        <v/>
      </c>
      <c r="B30" s="515" t="str">
        <f>IF(B29&lt;&gt;"",IF(AND(COUNTIF(B$26:B29,B29)=1,VLOOKUP(B29,Artlista_alla,4,FALSE)&gt;0,VLOOKUP(B29,I$11:M$22,3,FALSE)&gt;0,IF((ROW()-ROW($B$26))/2=INT((ROW()-ROW($B$26))/2),IF(ISNUMBER(DCOUNTA(Omätta,B29,AC25:AC26)),IF(DCOUNTA(Omätta,B29,AC25:AC26)&gt;0,AND(DCOUNTA(Omätta,AB25,AC25:AC26)&gt;0,DCOUNTA(Omätta,AB25,AC25:AC26)=DCOUNTA(Omätta,AC25,AC25:AC26)),TRUE),FALSE),IF(ISNUMBER(DCOUNTA(Omätta,B29,AH25:AH26)),IF(DCOUNTA(Omätta,B29,AH25:AH26)&gt;0,AND(DCOUNTA(Omätta,AG25,AH25:AH26)&gt;0,DCOUNTA(Omätta,AG25,AH25:AH26)=DCOUNTA(Omätta,AH25,AH25:AH26)),TRUE),FALSE))),B29,IF(COUNTIF(I$11:I$22,B29+1)&gt;0,B29+1,"")),"")</f>
        <v/>
      </c>
      <c r="C30" s="447" t="str">
        <f t="shared" si="4"/>
        <v/>
      </c>
      <c r="D30" s="447" t="str">
        <f>IF(B30&lt;&gt;"",IF(ROUND((ROW(C29)-ROW(C$26))/2,0)=INT((ROW(D29)-ROW(D$26))/2),DCOUNT(Beräkningshjälp!$AC$2:$AI$1082,Beräkningshjälp!AH$2,AC26:AE27)-DCOUNT(Beräkningshjälp!$AC$2:$AI$1082,Beräkningshjälp!AH$2,AC26:AF27)+IF(VLOOKUP(B30,Beräkningshjälp!$M$2:$U$60,4,FALSE)&gt;0,IF(B30=B31,DSUM('Antal &amp; Längder (vikter)'!$O$10:$T$27,'Antal &amp; Längder (vikter)'!$R$10,AB26:AC27),DSUM('Antal &amp; Längder (vikter)'!$O$10:$T$27,'Antal &amp; Längder (vikter)'!$R$10,AC26:AC27)-IF(B30=B29,DSUM('Antal &amp; Längder (vikter)'!$O$10:$T$27,'Antal &amp; Längder (vikter)'!$R$10,AB26:AC27),0)),DSUM('Antal &amp; Längder (vikter)'!$O$10:$T$27,'Antal &amp; Längder (vikter)'!$R$10,AC26:AC27)),DCOUNT(Beräkningshjälp!$AC$2:$AI$1082,Beräkningshjälp!AH$2,AH26:AJ27)-DCOUNT(Beräkningshjälp!$AC$2:$AI$1082,Beräkningshjälp!AH$2,AH26:AK27)+IF(VLOOKUP(B30,Beräkningshjälp!$M$2:$U$60,4,FALSE)&gt;0,IF(B30=B31,DSUM('Antal &amp; Längder (vikter)'!$O$10:$T$27,'Antal &amp; Längder (vikter)'!$R$10,AG26:AH27),DSUM('Antal &amp; Längder (vikter)'!$O$10:$T$27,'Antal &amp; Längder (vikter)'!$R$10,AH26:AH27)-IF(B30=B29,DSUM('Antal &amp; Längder (vikter)'!$O$10:$T$27,'Antal &amp; Längder (vikter)'!$R$10,AG26:AH27),0)),DSUM('Antal &amp; Längder (vikter)'!$O$10:$T$27,'Antal &amp; Längder (vikter)'!$R$10,AH26:AH27))),IF(C30="Totalt:",SUM(D$26:D29),""))</f>
        <v/>
      </c>
      <c r="E30" s="447" t="str">
        <f>IF(AND(B30&lt;&gt;"",protokollAntalutfisk&gt;1),IF(ROUND((ROW(C29)-ROW(C$26))/2,0)=INT((ROW(D29)-ROW(D$26))/2),DCOUNT(Beräkningshjälp!$AC$2:$AI$1082,Beräkningshjälp!AH$2,AC26:AF27)+IF(VLOOKUP(B30,Beräkningshjälp!$M$2:$U$60,4,FALSE)&gt;0,IF(B30=B31,DSUM('Antal &amp; Längder (vikter)'!$O$10:$T$27,'Antal &amp; Längder (vikter)'!$S$10,AB26:AC27),DSUM('Antal &amp; Längder (vikter)'!$O$10:$T$27,'Antal &amp; Längder (vikter)'!$S$10,AC26:AC27)-IF(B30=B29,DSUM('Antal &amp; Längder (vikter)'!$O$10:$T$27,'Antal &amp; Längder (vikter)'!$S$10,AB26:AC27),0)),DSUM('Antal &amp; Längder (vikter)'!$O$10:$T$27,'Antal &amp; Längder (vikter)'!$S$10,AC26:AC27)),DCOUNT(Beräkningshjälp!$AC$2:$AI$1082,Beräkningshjälp!AH$2,AH26:AK27)+IF(VLOOKUP(B30,Beräkningshjälp!$M$2:$U$60,4,FALSE)&gt;0,IF(B30=B31,DSUM('Antal &amp; Längder (vikter)'!$O$10:$T$27,'Antal &amp; Längder (vikter)'!$S$10,AG26:AH27),DSUM('Antal &amp; Längder (vikter)'!$O$10:$T$27,'Antal &amp; Längder (vikter)'!$S$10,AH26:AH27)-IF(B30=B29,DSUM('Antal &amp; Längder (vikter)'!$O$10:$T$27,'Antal &amp; Längder (vikter)'!$S$10,AG26:AH27),0)),DSUM('Antal &amp; Längder (vikter)'!$O$10:$T$27,'Antal &amp; Längder (vikter)'!$S$10,AH26:AH27))),IF(C30="Totalt:",SUM(E$26:E29),""))</f>
        <v/>
      </c>
      <c r="F30" s="447" t="str">
        <f>IF(AND(B30&lt;&gt;"",protokollAntalutfisk&gt;2),IF(ROUND((ROW(C29)-ROW(C$26))/2,0)=INT((ROW(D29)-ROW(D$26))/2),DCOUNT(Beräkningshjälp!$AC$2:$AI$1082,Beräkningshjälp!AH$2,AC26:AD27)-DCOUNT(Beräkningshjälp!$AC$2:$AI$1082,Beräkningshjälp!AH$2,AC26:AE27)+IF(VLOOKUP(B30,Beräkningshjälp!$M$2:$U$60,4,FALSE)&gt;0,IF(B30=B31,DSUM('Antal &amp; Längder (vikter)'!$O$10:$T$27,'Antal &amp; Längder (vikter)'!$T$10,AB26:AC27),DSUM('Antal &amp; Längder (vikter)'!$O$10:$T$27,'Antal &amp; Längder (vikter)'!$T$10,AC26:AC27)-IF(B30=B29,DSUM('Antal &amp; Längder (vikter)'!$O$10:$T$27,'Antal &amp; Längder (vikter)'!$T$10,AB26:AC27),0)),DSUM('Antal &amp; Längder (vikter)'!$O$10:$T$27,'Antal &amp; Längder (vikter)'!$T$10,AC26:AC27)),DCOUNT(Beräkningshjälp!$AC$2:$AI$1082,Beräkningshjälp!AH$2,AH26:AI27)-DCOUNT(Beräkningshjälp!$AC$2:$AI$1082,Beräkningshjälp!AH$2,AH26:AJ27)+IF(VLOOKUP(B30,Beräkningshjälp!$M$2:$U$60,4,FALSE)&gt;0,DSUM('Antal &amp; Längder (vikter)'!$O$10:$T$27,'Antal &amp; Längder (vikter)'!$T$10,AH26:AH27)-IF(B30=B29,DSUM('Antal &amp; Längder (vikter)'!$O$10:$T$27,'Antal &amp; Längder (vikter)'!$T$10,AG26:AH27),0),DSUM('Antal &amp; Längder (vikter)'!$O$10:$T$27,'Antal &amp; Längder (vikter)'!$T$10,AH26:AH27))),IF(C30="Totalt:",SUM(F$26:F29),""))</f>
        <v/>
      </c>
      <c r="G30" s="447" t="str">
        <f t="shared" si="5"/>
        <v/>
      </c>
      <c r="H30" s="450" t="str">
        <f>IF(AND(C30&lt;&gt;"Totalt:",SUM(G30)&gt;0),IF(Protokoll!$H$13=3,IF(OR(K30="AREA",K30="EST",N30&lt;&gt;""),IF(K30="AREA",G30,G30/((L30+L30*(1-L30))*(1-L30)+L30)),IF(OR(AND(L30&gt;=0.25,D30=E30,E30=F30),AND(L30&gt;=0.25,F30&gt;=D30)),IF(ISNUMBER(VLOOKUP(C30,Beräkningshjälp!$A$3:$E$42,2,FALSE)),G30/(VLOOKUP(C30,Beräkningshjälp!$A$3:$E$42,2,FALSE)/((L30+L30*(1-L30))*(1-L30)+L30)),G30),(6*(2*D30+E30)^2-(3*(2*D30+E30)*(D30+E30+F30))-(D30+E30+F30)^2+(D30+E30+F30)*(((D30+E30+F30)^2)+6*(2*D30+E30)*(D30+E30+F30)-3*(2*D30+E30)^2)^0.5)/(18*(D30-F30)))),IF(Protokoll!$H$13=2,IF(OR(K30="EST",N30&lt;&gt;""),G30/(L30+L30*(1-L30)),IF(E30&gt;=D30,IF(ISNUMBER(VLOOKUP(C30,Beräkningshjälp!$A$3:$E$42,2,FALSE)),G30/(VLOOKUP(C30,Beräkningshjälp!$A$3:$E$42,2,FALSE)/(L30+L30*(1-L30))),G30),IF(K30="AREA",G30,D30^2/(D30-E30)))),IF(OR(K30="EST",N30&lt;&gt;""),IF(N30&lt;&gt;"",G30/N30,IF(ISNUMBER(VLOOKUP(C30,Beräkningshjälp!$A$3:$E$42,2,FALSE)),G30/VLOOKUP(C30,Beräkningshjälp!$A$3:$E$42,2,FALSE),G30)),G30))),IF(C30="Totalt:",SUM(H$26:H29),IF(AND(G30&lt;&gt;"",G30=0),0,"")))</f>
        <v/>
      </c>
      <c r="I30" s="492" t="str">
        <f>IF(Protokoll!$AC$19&lt;&gt;"",IF(COUNT(H30)&gt;0,H30/Protokoll!$AC$19*100,""),"")</f>
        <v/>
      </c>
      <c r="J30" s="464" t="str">
        <f>IF(B30&lt;&gt;"",IF(H30&lt;&gt;"",IF(K30="ZIPP",IF(Protokoll!$H$13=3,(1.96*((H30*(1-(1-L30)^3)*(1-L30)^3)/((1-(1-L30)^3)^2-9*L30^2*(1-L30)^2))^0.5)/('DATA TILL SLU'!$Q$7/100),IF(Protokoll!$H$13=2,(1.96*D30*E30*(D30+E30)^0.5/(D30-E30)^2)/('DATA TILL SLU'!$Q$7/100),"")),"-"),""),"")</f>
        <v/>
      </c>
      <c r="K30" s="448" t="str">
        <f>IF(AND(D30&gt;0,G30&gt;0,B30&lt;&gt;""),IF(Protokoll!$H$13=3,IF(OR(AND(D30&gt;=E30,E30&gt;F30),AND(D30&gt;E30,E30&gt;=F30),AND(D30&lt;=E30,D30&gt;F30,D30&gt;F30),AND(D30&gt;=E30,D30&gt;=F30,E30&lt;&gt;F30)),IF((3*(2*D30+E30)-D30-E30-F30-((D30+E30+F30)^2+6*(2*D30+E30)*(D30+E30+F30)-3*(2*D30+E30)^2)^0.5)/(4*D30+2*E30)&gt;=0.25,IF(N30="","ZIPP","EST"),IF(OR(ISNUMBER(VLOOKUP(C30,Beräkningshjälp!$A$3:$E$42,2,FALSE)),N30&lt;&gt;""),"EST","AREA")),IF(OR(ISNUMBER(VLOOKUP(C30,Beräkningshjälp!$A$3:$E$42,2,FALSE)),N30&lt;&gt;""),"EST","AREA")),IF(Protokoll!$H$13=2,IF((D30-E30)/D30&gt;=0.25,IF(N30="","ZIPP","EST"),IF(OR(ISNUMBER(VLOOKUP(C30,Beräkningshjälp!$A$3:$E$42,2,FALSE)),N30&lt;&gt;""),"EST","AREA")),IF(OR(ISNUMBER(VLOOKUP(C30,Beräkningshjälp!$A$3:$E$42,2,FALSE)),N30&lt;&gt;""),"EST","AREA"))),IF(AND(G30&gt;0,B30&lt;&gt;""),IF(OR(ISNUMBER(VLOOKUP(C30,Beräkningshjälp!$A$3:$E$42,2,FALSE)),N30&lt;&gt;""),"EST","AREA"),""))</f>
        <v/>
      </c>
      <c r="L30" s="449" t="str">
        <f>IF(AND(K30&lt;&gt;"",B30&lt;&gt;""),IF(Protokoll!$H$13=3,IF(N30&lt;&gt;"",N30,IF(K30="ZIPP",(3*(2*D30+E30)-D30-E30-F30-((D30+E30+F30)^2+6*(2*D30+E30)*(D30+E30+F30)-3*(2*D30+E30)^2)^0.5)/(4*D30+2*E30),IF(ISNUMBER(VLOOKUP(C30,Beräkningshjälp!$A$3:$E$42,2,FALSE)),VLOOKUP(C30,Beräkningshjälp!$A$3:$E$42,2,FALSE),IF(B30&lt;&gt;"","-","")))),IF(Protokoll!$H$13=2,IF(N30&lt;&gt;"",N30,IF(K30="ZIPP",(D30-E30)/D30,IF(ISNUMBER(VLOOKUP(C30,Beräkningshjälp!$A$3:$E$42,2,FALSE)),VLOOKUP(C30,Beräkningshjälp!$A$3:$E$42,2,FALSE),IF(B30&lt;&gt;"","-","")))),IF(N30&lt;&gt;"",N30,IF(ISNUMBER(VLOOKUP(C30,Beräkningshjälp!$A$3:$E$42,2,FALSE)),VLOOKUP(C30,Beräkningshjälp!$A$3:$E$42,2,FALSE),IF(B30&lt;&gt;"","-",""))))),"")</f>
        <v/>
      </c>
      <c r="M30" s="449" t="str">
        <f>IF(B30&lt;&gt;"",IF(OR(G30=0,K30="AREA",Protokoll!$H$13="",Protokoll!$H$13=1),"",2*L30-L30^2+IF(Protokoll!$H$13=3,L30*(1-(2*L30-L30^2)),0)),"")</f>
        <v/>
      </c>
      <c r="N30" s="502"/>
      <c r="O30" s="461"/>
      <c r="P30" s="461"/>
      <c r="Q30" s="2" t="str">
        <f>RIGHT(U30,LEN(U30)-2)&amp;" - "&amp;RIGHT(V30,LEN(V30)-2)</f>
        <v>121 - 125</v>
      </c>
      <c r="R30" s="136">
        <f>IF($B$1&lt;&gt;"",DCOUNT(Beräkningshjälp!$AC$2:$AI$1082,Beräkningshjälp!$AH$2,U29:W30),0)</f>
        <v>0</v>
      </c>
      <c r="S30" s="513">
        <f>IF($B$1&lt;&gt;"",IF(AND($S$4&gt;=RIGHT(U30,LEN(U30)-2)*1,AND($S$4&lt;=RIGHT(V30,LEN(V30)-2)*1)),MAX(T$6:T$56),0),0)</f>
        <v>0</v>
      </c>
      <c r="T30" s="515">
        <f t="shared" si="0"/>
        <v>9</v>
      </c>
      <c r="U30" s="445" t="str">
        <f>"&gt;="&amp;RIGHT(Y29,LEN(Y29)-2)*1+1</f>
        <v>&gt;=121</v>
      </c>
      <c r="V30" s="444" t="str">
        <f>"&lt;="&amp;IF($B$3&lt;&gt;"",$B$3,5)+RIGHT(U30,LEN(U30)-2)*1-1</f>
        <v>&lt;=125</v>
      </c>
      <c r="W30" s="551" t="str">
        <f>IF($W$6&lt;&gt;"",$W$6,"")</f>
        <v/>
      </c>
      <c r="X30" s="353" t="s">
        <v>1984</v>
      </c>
      <c r="Y30" s="353" t="s">
        <v>1984</v>
      </c>
      <c r="Z30" s="119" t="s">
        <v>75</v>
      </c>
      <c r="AB30" s="439" t="str">
        <f>IF($B33&lt;&gt;"",IF(ISNUMBER(VLOOKUP($B33,Artlista_alla,4,FALSE)),"0+",""),"")</f>
        <v/>
      </c>
      <c r="AC30" s="440" t="str">
        <f>$B33</f>
        <v/>
      </c>
      <c r="AD30" s="441" t="str">
        <f>IF(OR(VLOOKUP(AC30,$I$11:$M$22,3,FALSE)="X",AND(COUNTIF($B$27:$B$50,$B33)=2,VLOOKUP(AC30,$I$11:$M$22,3,FALSE)=0)),IF($B33=$B34,0,"&lt;10000"),IF(AND($B33&lt;&gt;"",$B33=$B32,$B33&lt;&gt;$B34),IF(ISNUMBER(VLOOKUP($B33,$I$11:$M$22,3,FALSE)),"&gt;"&amp;VLOOKUP($B33,$I$11:$M$22,3,FALSE),IF(ISNUMBER(RIGHT(VLOOKUP($B33,$I$11:$M$22,3,FALSE),LEN(VLOOKUP($B33,$I$11:$M$22,3,FALSE))-1)*1),"&gt;="&amp;RIGHT(VLOOKUP($B33,$I$11:$M$22,3,FALSE),LEN(VLOOKUP($B33,$I$11:$M$22,3,FALSE))-1),"&gt;"&amp;RIGHT(VLOOKUP($B33,$I$11:$M$22,3,FALSE),LEN(VLOOKUP($B33,$I$11:$M$22,3,FALSE))-2))),IF(AND($B33&lt;&gt;"",$B33=$B34,$B33&lt;&gt;$B32),IF(ISNUMBER(VLOOKUP($B33,$I$11:$M$22,3,FALSE)),"&lt;=","")&amp;VLOOKUP($B33,$I$11:$M$22,3,FALSE),"&lt;10000")))</f>
        <v>&lt;10000</v>
      </c>
      <c r="AE30" s="352" t="s">
        <v>1995</v>
      </c>
      <c r="AF30" s="115">
        <v>2</v>
      </c>
      <c r="AG30" s="115" t="s">
        <v>462</v>
      </c>
      <c r="AH30" t="s">
        <v>75</v>
      </c>
      <c r="AI30" t="s">
        <v>1984</v>
      </c>
      <c r="AJ30" s="115" t="s">
        <v>1983</v>
      </c>
      <c r="AK30" s="115" t="s">
        <v>1983</v>
      </c>
    </row>
    <row r="31" spans="1:37" ht="13.8" thickBot="1" x14ac:dyDescent="0.3">
      <c r="A31" s="508" t="str">
        <f>IF(VLOOKUP(B31,Beräkningshjälp!$M$2:$U$60,4,FALSE)&gt;0,IF(ROUND((ROW(B30)-ROW(B$26))/2,0)=INT((ROW(B30)-ROW(B$26))/2),IF(DCOUNTA('Antal &amp; Längder (vikter)'!$O$10:$T$27,'Antal &amp; Längder (vikter)'!$Q$10,AC27:AC28)&lt;&gt;DCOUNT('Antal &amp; Längder (vikter)'!$O$10:$T$27,'Antal &amp; Längder (vikter)'!$R$10,AC27:AC28),"Icke längdmätta ej uppdelade 0+/&gt;0+",IF(AND(DCOUNT(Beräkningshjälp!$AB$2:$AI$1082,Beräkningshjälp!$AH$2,AC27:AC28)&gt;0,COUNTIF(B$27:B$50,B31)=1,VLOOKUP(B31,I$11:K$22,3,FALSE)=0),"Ange gräns 0+/&gt;0+ i fält K"&amp;10+B31&amp;" ovan","")),IF(DCOUNTA('Antal &amp; Längder (vikter)'!$O$10:$T$27,'Antal &amp; Längder (vikter)'!$Q$10,AH27:AH28)&lt;&gt;DCOUNT('Antal &amp; Längder (vikter)'!$O$10:$T$27,'Antal &amp; Längder (vikter)'!$R$10,AH27:AH28),"Icke längdmätta ej uppdelade 0+/&gt;0+",IF(AND(DCOUNT(Beräkningshjälp!$AB$2:$AI$1082,Beräkningshjälp!$AH$2,Artuppgifter!AH27:AH28)&gt;0,COUNTIF(B$27:B$50,B31)=1,VLOOKUP(B31,I$11:K$22,3,FALSE)=0),"Ange gräns 0+/&gt;0+ i fält K"&amp;10+B31&amp;" ovan",""))),"")</f>
        <v/>
      </c>
      <c r="B31" s="515" t="str">
        <f>IF(B30&lt;&gt;"",IF(AND(COUNTIF(B$26:B30,B30)=1,VLOOKUP(B30,Artlista_alla,4,FALSE)&gt;0,VLOOKUP(B30,I$11:M$22,3,FALSE)&gt;0,IF((ROW()-ROW($B$26))/2=INT((ROW()-ROW($B$26))/2),IF(ISNUMBER(DCOUNTA(Omätta,B30,AC26:AC27)),IF(DCOUNTA(Omätta,B30,AC26:AC27)&gt;0,AND(DCOUNTA(Omätta,AB26,AC26:AC27)&gt;0,DCOUNTA(Omätta,AB26,AC26:AC27)=DCOUNTA(Omätta,AC26,AC26:AC27)),TRUE),FALSE),IF(ISNUMBER(DCOUNTA(Omätta,B30,AH26:AH27)),IF(DCOUNTA(Omätta,B30,AH26:AH27)&gt;0,AND(DCOUNTA(Omätta,AG26,AH26:AH27)&gt;0,DCOUNTA(Omätta,AG26,AH26:AH27)=DCOUNTA(Omätta,AH26,AH26:AH27)),TRUE),FALSE))),B30,IF(COUNTIF(I$11:I$22,B30+1)&gt;0,B30+1,"")),"")</f>
        <v/>
      </c>
      <c r="C31" s="447" t="str">
        <f t="shared" si="4"/>
        <v/>
      </c>
      <c r="D31" s="447" t="str">
        <f>IF(B31&lt;&gt;"",IF(ROUND((ROW(C30)-ROW(C$26))/2,0)=INT((ROW(D30)-ROW(D$26))/2),DCOUNT(Beräkningshjälp!$AC$2:$AI$1082,Beräkningshjälp!AH$2,AC27:AE28)-DCOUNT(Beräkningshjälp!$AC$2:$AI$1082,Beräkningshjälp!AH$2,AC27:AF28)+IF(VLOOKUP(B31,Beräkningshjälp!$M$2:$U$60,4,FALSE)&gt;0,IF(B31=B32,DSUM('Antal &amp; Längder (vikter)'!$O$10:$T$27,'Antal &amp; Längder (vikter)'!$R$10,AB27:AC28),DSUM('Antal &amp; Längder (vikter)'!$O$10:$T$27,'Antal &amp; Längder (vikter)'!$R$10,AC27:AC28)-IF(B31=B30,DSUM('Antal &amp; Längder (vikter)'!$O$10:$T$27,'Antal &amp; Längder (vikter)'!$R$10,AB27:AC28),0)),DSUM('Antal &amp; Längder (vikter)'!$O$10:$T$27,'Antal &amp; Längder (vikter)'!$R$10,AC27:AC28)),DCOUNT(Beräkningshjälp!$AC$2:$AI$1082,Beräkningshjälp!AH$2,AH27:AJ28)-DCOUNT(Beräkningshjälp!$AC$2:$AI$1082,Beräkningshjälp!AH$2,AH27:AK28)+IF(VLOOKUP(B31,Beräkningshjälp!$M$2:$U$60,4,FALSE)&gt;0,IF(B31=B32,DSUM('Antal &amp; Längder (vikter)'!$O$10:$T$27,'Antal &amp; Längder (vikter)'!$R$10,AG27:AH28),DSUM('Antal &amp; Längder (vikter)'!$O$10:$T$27,'Antal &amp; Längder (vikter)'!$R$10,AH27:AH28)-IF(B31=B30,DSUM('Antal &amp; Längder (vikter)'!$O$10:$T$27,'Antal &amp; Längder (vikter)'!$R$10,AG27:AH28),0)),DSUM('Antal &amp; Längder (vikter)'!$O$10:$T$27,'Antal &amp; Längder (vikter)'!$R$10,AH27:AH28))),IF(C31="Totalt:",SUM(D$26:D30),""))</f>
        <v/>
      </c>
      <c r="E31" s="447" t="str">
        <f>IF(AND(B31&lt;&gt;"",protokollAntalutfisk&gt;1),IF(ROUND((ROW(C30)-ROW(C$26))/2,0)=INT((ROW(D30)-ROW(D$26))/2),DCOUNT(Beräkningshjälp!$AC$2:$AI$1082,Beräkningshjälp!AH$2,AC27:AF28)+IF(VLOOKUP(B31,Beräkningshjälp!$M$2:$U$60,4,FALSE)&gt;0,IF(B31=B32,DSUM('Antal &amp; Längder (vikter)'!$O$10:$T$27,'Antal &amp; Längder (vikter)'!$S$10,AB27:AC28),DSUM('Antal &amp; Längder (vikter)'!$O$10:$T$27,'Antal &amp; Längder (vikter)'!$S$10,AC27:AC28)-IF(B31=B30,DSUM('Antal &amp; Längder (vikter)'!$O$10:$T$27,'Antal &amp; Längder (vikter)'!$S$10,AB27:AC28),0)),DSUM('Antal &amp; Längder (vikter)'!$O$10:$T$27,'Antal &amp; Längder (vikter)'!$S$10,AC27:AC28)),DCOUNT(Beräkningshjälp!$AC$2:$AI$1082,Beräkningshjälp!AH$2,AH27:AK28)+IF(VLOOKUP(B31,Beräkningshjälp!$M$2:$U$60,4,FALSE)&gt;0,IF(B31=B32,DSUM('Antal &amp; Längder (vikter)'!$O$10:$T$27,'Antal &amp; Längder (vikter)'!$S$10,AG27:AH28),DSUM('Antal &amp; Längder (vikter)'!$O$10:$T$27,'Antal &amp; Längder (vikter)'!$S$10,AH27:AH28)-IF(B31=B30,DSUM('Antal &amp; Längder (vikter)'!$O$10:$T$27,'Antal &amp; Längder (vikter)'!$S$10,AG27:AH28),0)),DSUM('Antal &amp; Längder (vikter)'!$O$10:$T$27,'Antal &amp; Längder (vikter)'!$S$10,AH27:AH28))),IF(C31="Totalt:",SUM(E$26:E30),""))</f>
        <v/>
      </c>
      <c r="F31" s="447" t="str">
        <f>IF(AND(B31&lt;&gt;"",protokollAntalutfisk&gt;2),IF(ROUND((ROW(C30)-ROW(C$26))/2,0)=INT((ROW(D30)-ROW(D$26))/2),DCOUNT(Beräkningshjälp!$AC$2:$AI$1082,Beräkningshjälp!AH$2,AC27:AD28)-DCOUNT(Beräkningshjälp!$AC$2:$AI$1082,Beräkningshjälp!AH$2,AC27:AE28)+IF(VLOOKUP(B31,Beräkningshjälp!$M$2:$U$60,4,FALSE)&gt;0,IF(B31=B32,DSUM('Antal &amp; Längder (vikter)'!$O$10:$T$27,'Antal &amp; Längder (vikter)'!$T$10,AB27:AC28),DSUM('Antal &amp; Längder (vikter)'!$O$10:$T$27,'Antal &amp; Längder (vikter)'!$T$10,AC27:AC28)-IF(B31=B30,DSUM('Antal &amp; Längder (vikter)'!$O$10:$T$27,'Antal &amp; Längder (vikter)'!$T$10,AB27:AC28),0)),DSUM('Antal &amp; Längder (vikter)'!$O$10:$T$27,'Antal &amp; Längder (vikter)'!$T$10,AC27:AC28)),DCOUNT(Beräkningshjälp!$AC$2:$AI$1082,Beräkningshjälp!AH$2,AH27:AI28)-DCOUNT(Beräkningshjälp!$AC$2:$AI$1082,Beräkningshjälp!AH$2,AH27:AJ28)+IF(VLOOKUP(B31,Beräkningshjälp!$M$2:$U$60,4,FALSE)&gt;0,DSUM('Antal &amp; Längder (vikter)'!$O$10:$T$27,'Antal &amp; Längder (vikter)'!$T$10,AH27:AH28)-IF(B31=B30,DSUM('Antal &amp; Längder (vikter)'!$O$10:$T$27,'Antal &amp; Längder (vikter)'!$T$10,AG27:AH28),0),DSUM('Antal &amp; Längder (vikter)'!$O$10:$T$27,'Antal &amp; Längder (vikter)'!$T$10,AH27:AH28))),IF(C31="Totalt:",SUM(F$26:F30),""))</f>
        <v/>
      </c>
      <c r="G31" s="447" t="str">
        <f t="shared" si="5"/>
        <v/>
      </c>
      <c r="H31" s="450" t="str">
        <f>IF(AND(C31&lt;&gt;"Totalt:",SUM(G31)&gt;0),IF(Protokoll!$H$13=3,IF(OR(K31="AREA",K31="EST",N31&lt;&gt;""),IF(K31="AREA",G31,G31/((L31+L31*(1-L31))*(1-L31)+L31)),IF(OR(AND(L31&gt;=0.25,D31=E31,E31=F31),AND(L31&gt;=0.25,F31&gt;=D31)),IF(ISNUMBER(VLOOKUP(C31,Beräkningshjälp!$A$3:$E$42,2,FALSE)),G31/(VLOOKUP(C31,Beräkningshjälp!$A$3:$E$42,2,FALSE)/((L31+L31*(1-L31))*(1-L31)+L31)),G31),(6*(2*D31+E31)^2-(3*(2*D31+E31)*(D31+E31+F31))-(D31+E31+F31)^2+(D31+E31+F31)*(((D31+E31+F31)^2)+6*(2*D31+E31)*(D31+E31+F31)-3*(2*D31+E31)^2)^0.5)/(18*(D31-F31)))),IF(Protokoll!$H$13=2,IF(OR(K31="EST",N31&lt;&gt;""),G31/(L31+L31*(1-L31)),IF(E31&gt;=D31,IF(ISNUMBER(VLOOKUP(C31,Beräkningshjälp!$A$3:$E$42,2,FALSE)),G31/(VLOOKUP(C31,Beräkningshjälp!$A$3:$E$42,2,FALSE)/(L31+L31*(1-L31))),G31),IF(K31="AREA",G31,D31^2/(D31-E31)))),IF(OR(K31="EST",N31&lt;&gt;""),IF(N31&lt;&gt;"",G31/N31,IF(ISNUMBER(VLOOKUP(C31,Beräkningshjälp!$A$3:$E$42,2,FALSE)),G31/VLOOKUP(C31,Beräkningshjälp!$A$3:$E$42,2,FALSE),G31)),G31))),IF(C31="Totalt:",SUM(H$26:H30),IF(AND(G31&lt;&gt;"",G31=0),0,"")))</f>
        <v/>
      </c>
      <c r="I31" s="492" t="str">
        <f>IF(Protokoll!$AC$19&lt;&gt;"",IF(COUNT(H31)&gt;0,H31/Protokoll!$AC$19*100,""),"")</f>
        <v/>
      </c>
      <c r="J31" s="464" t="str">
        <f>IF(B31&lt;&gt;"",IF(H31&lt;&gt;"",IF(K31="ZIPP",IF(Protokoll!$H$13=3,(1.96*((H31*(1-(1-L31)^3)*(1-L31)^3)/((1-(1-L31)^3)^2-9*L31^2*(1-L31)^2))^0.5)/('DATA TILL SLU'!$Q$7/100),IF(Protokoll!$H$13=2,(1.96*D31*E31*(D31+E31)^0.5/(D31-E31)^2)/('DATA TILL SLU'!$Q$7/100),"")),"-"),""),"")</f>
        <v/>
      </c>
      <c r="K31" s="448" t="str">
        <f>IF(AND(D31&gt;0,G31&gt;0,B31&lt;&gt;""),IF(Protokoll!$H$13=3,IF(OR(AND(D31&gt;=E31,E31&gt;F31),AND(D31&gt;E31,E31&gt;=F31),AND(D31&lt;=E31,D31&gt;F31,D31&gt;F31),AND(D31&gt;=E31,D31&gt;=F31,E31&lt;&gt;F31)),IF((3*(2*D31+E31)-D31-E31-F31-((D31+E31+F31)^2+6*(2*D31+E31)*(D31+E31+F31)-3*(2*D31+E31)^2)^0.5)/(4*D31+2*E31)&gt;=0.25,IF(N31="","ZIPP","EST"),IF(OR(ISNUMBER(VLOOKUP(C31,Beräkningshjälp!$A$3:$E$42,2,FALSE)),N31&lt;&gt;""),"EST","AREA")),IF(OR(ISNUMBER(VLOOKUP(C31,Beräkningshjälp!$A$3:$E$42,2,FALSE)),N31&lt;&gt;""),"EST","AREA")),IF(Protokoll!$H$13=2,IF((D31-E31)/D31&gt;=0.25,IF(N31="","ZIPP","EST"),IF(OR(ISNUMBER(VLOOKUP(C31,Beräkningshjälp!$A$3:$E$42,2,FALSE)),N31&lt;&gt;""),"EST","AREA")),IF(OR(ISNUMBER(VLOOKUP(C31,Beräkningshjälp!$A$3:$E$42,2,FALSE)),N31&lt;&gt;""),"EST","AREA"))),IF(AND(G31&gt;0,B31&lt;&gt;""),IF(OR(ISNUMBER(VLOOKUP(C31,Beräkningshjälp!$A$3:$E$42,2,FALSE)),N31&lt;&gt;""),"EST","AREA"),""))</f>
        <v/>
      </c>
      <c r="L31" s="449" t="str">
        <f>IF(AND(K31&lt;&gt;"",B31&lt;&gt;""),IF(Protokoll!$H$13=3,IF(N31&lt;&gt;"",N31,IF(K31="ZIPP",(3*(2*D31+E31)-D31-E31-F31-((D31+E31+F31)^2+6*(2*D31+E31)*(D31+E31+F31)-3*(2*D31+E31)^2)^0.5)/(4*D31+2*E31),IF(ISNUMBER(VLOOKUP(C31,Beräkningshjälp!$A$3:$E$42,2,FALSE)),VLOOKUP(C31,Beräkningshjälp!$A$3:$E$42,2,FALSE),IF(B31&lt;&gt;"","-","")))),IF(Protokoll!$H$13=2,IF(N31&lt;&gt;"",N31,IF(K31="ZIPP",(D31-E31)/D31,IF(ISNUMBER(VLOOKUP(C31,Beräkningshjälp!$A$3:$E$42,2,FALSE)),VLOOKUP(C31,Beräkningshjälp!$A$3:$E$42,2,FALSE),IF(B31&lt;&gt;"","-","")))),IF(N31&lt;&gt;"",N31,IF(ISNUMBER(VLOOKUP(C31,Beräkningshjälp!$A$3:$E$42,2,FALSE)),VLOOKUP(C31,Beräkningshjälp!$A$3:$E$42,2,FALSE),IF(B31&lt;&gt;"","-",""))))),"")</f>
        <v/>
      </c>
      <c r="M31" s="449" t="str">
        <f>IF(B31&lt;&gt;"",IF(OR(G31=0,K31="AREA",Protokoll!$H$13="",Protokoll!$H$13=1),"",2*L31-L31^2+IF(Protokoll!$H$13=3,L31*(1-(2*L31-L31^2)),0)),"")</f>
        <v/>
      </c>
      <c r="N31" s="502"/>
      <c r="O31" s="505"/>
      <c r="P31" s="461"/>
      <c r="Q31" s="2" t="str">
        <f>RIGHT(X31,LEN(X31)-2)&amp;" - "&amp;RIGHT(Y31,LEN(Y31)-2)</f>
        <v>126 - 130</v>
      </c>
      <c r="R31" s="136">
        <f>IF($B$1&lt;&gt;"",DCOUNT(Beräkningshjälp!$AC$2:$AI$1082,Beräkningshjälp!$AH$2,X30:Z31),0)</f>
        <v>0</v>
      </c>
      <c r="S31" s="513">
        <f>IF($B$1&lt;&gt;"",IF(AND($S$4&gt;=RIGHT(X31,LEN(X31)-2)*1,AND($S$4&lt;=RIGHT(Y31,LEN(Y31)-2)*1)),MAX(T$6:T$56),0),0)</f>
        <v>0</v>
      </c>
      <c r="T31" s="515">
        <f t="shared" si="0"/>
        <v>9</v>
      </c>
      <c r="U31" s="353" t="s">
        <v>1984</v>
      </c>
      <c r="V31" s="353" t="s">
        <v>1984</v>
      </c>
      <c r="W31" s="119" t="s">
        <v>75</v>
      </c>
      <c r="X31" s="442" t="str">
        <f>"&gt;="&amp;RIGHT(V30,LEN(V30)-2)*1+1</f>
        <v>&gt;=126</v>
      </c>
      <c r="Y31" s="445" t="str">
        <f>"&lt;="&amp;IF($B$3&lt;&gt;"",$B$3,5)+RIGHT(X31,LEN(X31)-2)*1-1</f>
        <v>&lt;=130</v>
      </c>
      <c r="Z31" s="551" t="str">
        <f>IF($W$6&lt;&gt;"",$W$6,"")</f>
        <v/>
      </c>
      <c r="AB31" s="115" t="s">
        <v>462</v>
      </c>
      <c r="AC31" t="s">
        <v>75</v>
      </c>
      <c r="AD31" t="s">
        <v>1984</v>
      </c>
      <c r="AE31" s="115" t="s">
        <v>1983</v>
      </c>
      <c r="AF31" s="115" t="s">
        <v>1983</v>
      </c>
      <c r="AG31" s="439" t="str">
        <f>IF($B34&lt;&gt;"",IF(ISNUMBER(VLOOKUP($B34,Artlista_alla,4,FALSE)),"0+",""),"")</f>
        <v/>
      </c>
      <c r="AH31" s="440" t="str">
        <f>$B34</f>
        <v/>
      </c>
      <c r="AI31" s="441" t="str">
        <f>IF(OR(VLOOKUP(AH31,$I$11:$M$22,3,FALSE)="X",AND(COUNTIF($B$27:$B$50,$B34)=2,VLOOKUP(AH31,$I$11:$M$22,3,FALSE)=0)),IF($B34=$B35,0,"&lt;10000"),IF(AND($B34&lt;&gt;"",$B34=$B33,$B34&lt;&gt;$B35),IF(ISNUMBER(VLOOKUP($B34,$I$11:$M$22,3,FALSE)),"&gt;"&amp;VLOOKUP($B34,$I$11:$M$22,3,FALSE),IF(ISNUMBER(RIGHT(VLOOKUP($B34,$I$11:$M$22,3,FALSE),LEN(VLOOKUP($B34,$I$11:$M$22,3,FALSE))-1)*1),"&gt;="&amp;RIGHT(VLOOKUP($B34,$I$11:$M$22,3,FALSE),LEN(VLOOKUP($B34,$I$11:$M$22,3,FALSE))-1),"&gt;"&amp;RIGHT(VLOOKUP($B34,$I$11:$M$22,3,FALSE),LEN(VLOOKUP($B34,$I$11:$M$22,3,FALSE))-2))),IF(AND($B34&lt;&gt;"",$B34=$B35,$B34&lt;&gt;$B33),IF(ISNUMBER(VLOOKUP($B34,$I$11:$M$22,3,FALSE)),"&lt;=","")&amp;VLOOKUP($B34,$I$11:$M$22,3,FALSE),"&lt;10000")))</f>
        <v>&lt;10000</v>
      </c>
      <c r="AJ31" s="352" t="s">
        <v>1995</v>
      </c>
      <c r="AK31" s="115">
        <v>2</v>
      </c>
    </row>
    <row r="32" spans="1:37" ht="13.8" thickBot="1" x14ac:dyDescent="0.3">
      <c r="A32" s="508" t="str">
        <f>IF(VLOOKUP(B32,Beräkningshjälp!$M$2:$U$60,4,FALSE)&gt;0,IF(ROUND((ROW(B31)-ROW(B$26))/2,0)=INT((ROW(B31)-ROW(B$26))/2),IF(DCOUNTA('Antal &amp; Längder (vikter)'!$O$10:$T$27,'Antal &amp; Längder (vikter)'!$Q$10,AC28:AC29)&lt;&gt;DCOUNT('Antal &amp; Längder (vikter)'!$O$10:$T$27,'Antal &amp; Längder (vikter)'!$R$10,AC28:AC29),"Icke längdmätta ej uppdelade 0+/&gt;0+",IF(AND(DCOUNT(Beräkningshjälp!$AB$2:$AI$1082,Beräkningshjälp!$AH$2,AC28:AC29)&gt;0,COUNTIF(B$27:B$50,B32)=1,VLOOKUP(B32,I$11:K$22,3,FALSE)=0),"Ange gräns 0+/&gt;0+ i fält K"&amp;10+B32&amp;" ovan","")),IF(DCOUNTA('Antal &amp; Längder (vikter)'!$O$10:$T$27,'Antal &amp; Längder (vikter)'!$Q$10,AH28:AH29)&lt;&gt;DCOUNT('Antal &amp; Längder (vikter)'!$O$10:$T$27,'Antal &amp; Längder (vikter)'!$R$10,AH28:AH29),"Icke längdmätta ej uppdelade 0+/&gt;0+",IF(AND(DCOUNT(Beräkningshjälp!$AB$2:$AI$1082,Beräkningshjälp!$AH$2,Artuppgifter!AH28:AH29)&gt;0,COUNTIF(B$27:B$50,B32)=1,VLOOKUP(B32,I$11:K$22,3,FALSE)=0),"Ange gräns 0+/&gt;0+ i fält K"&amp;10+B32&amp;" ovan",""))),"")</f>
        <v/>
      </c>
      <c r="B32" s="515" t="str">
        <f>IF(B31&lt;&gt;"",IF(AND(COUNTIF(B$26:B31,B31)=1,VLOOKUP(B31,Artlista_alla,4,FALSE)&gt;0,VLOOKUP(B31,I$11:M$22,3,FALSE)&gt;0,IF((ROW()-ROW($B$26))/2=INT((ROW()-ROW($B$26))/2),IF(ISNUMBER(DCOUNTA(Omätta,B31,AC27:AC28)),IF(DCOUNTA(Omätta,B31,AC27:AC28)&gt;0,AND(DCOUNTA(Omätta,AB27,AC27:AC28)&gt;0,DCOUNTA(Omätta,AB27,AC27:AC28)=DCOUNTA(Omätta,AC27,AC27:AC28)),TRUE),FALSE),IF(ISNUMBER(DCOUNTA(Omätta,B31,AH27:AH28)),IF(DCOUNTA(Omätta,B31,AH27:AH28)&gt;0,AND(DCOUNTA(Omätta,AG27,AH27:AH28)&gt;0,DCOUNTA(Omätta,AG27,AH27:AH28)=DCOUNTA(Omätta,AH27,AH27:AH28)),TRUE),FALSE))),B31,IF(COUNTIF(I$11:I$22,B31+1)&gt;0,B31+1,"")),"")</f>
        <v/>
      </c>
      <c r="C32" s="447" t="str">
        <f t="shared" si="4"/>
        <v/>
      </c>
      <c r="D32" s="447" t="str">
        <f>IF(B32&lt;&gt;"",IF(ROUND((ROW(C31)-ROW(C$26))/2,0)=INT((ROW(D31)-ROW(D$26))/2),DCOUNT(Beräkningshjälp!$AC$2:$AI$1082,Beräkningshjälp!AH$2,AC28:AE29)-DCOUNT(Beräkningshjälp!$AC$2:$AI$1082,Beräkningshjälp!AH$2,AC28:AF29)+IF(VLOOKUP(B32,Beräkningshjälp!$M$2:$U$60,4,FALSE)&gt;0,IF(B32=B33,DSUM('Antal &amp; Längder (vikter)'!$O$10:$T$27,'Antal &amp; Längder (vikter)'!$R$10,AB28:AC29),DSUM('Antal &amp; Längder (vikter)'!$O$10:$T$27,'Antal &amp; Längder (vikter)'!$R$10,AC28:AC29)-IF(B32=B31,DSUM('Antal &amp; Längder (vikter)'!$O$10:$T$27,'Antal &amp; Längder (vikter)'!$R$10,AB28:AC29),0)),DSUM('Antal &amp; Längder (vikter)'!$O$10:$T$27,'Antal &amp; Längder (vikter)'!$R$10,AC28:AC29)),DCOUNT(Beräkningshjälp!$AC$2:$AI$1082,Beräkningshjälp!AH$2,AH28:AJ29)-DCOUNT(Beräkningshjälp!$AC$2:$AI$1082,Beräkningshjälp!AH$2,AH28:AK29)+IF(VLOOKUP(B32,Beräkningshjälp!$M$2:$U$60,4,FALSE)&gt;0,IF(B32=B33,DSUM('Antal &amp; Längder (vikter)'!$O$10:$T$27,'Antal &amp; Längder (vikter)'!$R$10,AG28:AH29),DSUM('Antal &amp; Längder (vikter)'!$O$10:$T$27,'Antal &amp; Längder (vikter)'!$R$10,AH28:AH29)-IF(B32=B31,DSUM('Antal &amp; Längder (vikter)'!$O$10:$T$27,'Antal &amp; Längder (vikter)'!$R$10,AG28:AH29),0)),DSUM('Antal &amp; Längder (vikter)'!$O$10:$T$27,'Antal &amp; Längder (vikter)'!$R$10,AH28:AH29))),IF(C32="Totalt:",SUM(D$26:D31),""))</f>
        <v/>
      </c>
      <c r="E32" s="447" t="str">
        <f>IF(AND(B32&lt;&gt;"",protokollAntalutfisk&gt;1),IF(ROUND((ROW(C31)-ROW(C$26))/2,0)=INT((ROW(D31)-ROW(D$26))/2),DCOUNT(Beräkningshjälp!$AC$2:$AI$1082,Beräkningshjälp!AH$2,AC28:AF29)+IF(VLOOKUP(B32,Beräkningshjälp!$M$2:$U$60,4,FALSE)&gt;0,IF(B32=B33,DSUM('Antal &amp; Längder (vikter)'!$O$10:$T$27,'Antal &amp; Längder (vikter)'!$S$10,AB28:AC29),DSUM('Antal &amp; Längder (vikter)'!$O$10:$T$27,'Antal &amp; Längder (vikter)'!$S$10,AC28:AC29)-IF(B32=B31,DSUM('Antal &amp; Längder (vikter)'!$O$10:$T$27,'Antal &amp; Längder (vikter)'!$S$10,AB28:AC29),0)),DSUM('Antal &amp; Längder (vikter)'!$O$10:$T$27,'Antal &amp; Längder (vikter)'!$S$10,AC28:AC29)),DCOUNT(Beräkningshjälp!$AC$2:$AI$1082,Beräkningshjälp!AH$2,AH28:AK29)+IF(VLOOKUP(B32,Beräkningshjälp!$M$2:$U$60,4,FALSE)&gt;0,IF(B32=B33,DSUM('Antal &amp; Längder (vikter)'!$O$10:$T$27,'Antal &amp; Längder (vikter)'!$S$10,AG28:AH29),DSUM('Antal &amp; Längder (vikter)'!$O$10:$T$27,'Antal &amp; Längder (vikter)'!$S$10,AH28:AH29)-IF(B32=B31,DSUM('Antal &amp; Längder (vikter)'!$O$10:$T$27,'Antal &amp; Längder (vikter)'!$S$10,AG28:AH29),0)),DSUM('Antal &amp; Längder (vikter)'!$O$10:$T$27,'Antal &amp; Längder (vikter)'!$S$10,AH28:AH29))),IF(C32="Totalt:",SUM(E$26:E31),""))</f>
        <v/>
      </c>
      <c r="F32" s="447" t="str">
        <f>IF(AND(B32&lt;&gt;"",protokollAntalutfisk&gt;2),IF(ROUND((ROW(C31)-ROW(C$26))/2,0)=INT((ROW(D31)-ROW(D$26))/2),DCOUNT(Beräkningshjälp!$AC$2:$AI$1082,Beräkningshjälp!AH$2,AC28:AD29)-DCOUNT(Beräkningshjälp!$AC$2:$AI$1082,Beräkningshjälp!AH$2,AC28:AE29)+IF(VLOOKUP(B32,Beräkningshjälp!$M$2:$U$60,4,FALSE)&gt;0,IF(B32=B33,DSUM('Antal &amp; Längder (vikter)'!$O$10:$T$27,'Antal &amp; Längder (vikter)'!$T$10,AB28:AC29),DSUM('Antal &amp; Längder (vikter)'!$O$10:$T$27,'Antal &amp; Längder (vikter)'!$T$10,AC28:AC29)-IF(B32=B31,DSUM('Antal &amp; Längder (vikter)'!$O$10:$T$27,'Antal &amp; Längder (vikter)'!$T$10,AB28:AC29),0)),DSUM('Antal &amp; Längder (vikter)'!$O$10:$T$27,'Antal &amp; Längder (vikter)'!$T$10,AC28:AC29)),DCOUNT(Beräkningshjälp!$AC$2:$AI$1082,Beräkningshjälp!AH$2,AH28:AI29)-DCOUNT(Beräkningshjälp!$AC$2:$AI$1082,Beräkningshjälp!AH$2,AH28:AJ29)+IF(VLOOKUP(B32,Beräkningshjälp!$M$2:$U$60,4,FALSE)&gt;0,DSUM('Antal &amp; Längder (vikter)'!$O$10:$T$27,'Antal &amp; Längder (vikter)'!$T$10,AH28:AH29)-IF(B32=B31,DSUM('Antal &amp; Längder (vikter)'!$O$10:$T$27,'Antal &amp; Längder (vikter)'!$T$10,AG28:AH29),0),DSUM('Antal &amp; Längder (vikter)'!$O$10:$T$27,'Antal &amp; Längder (vikter)'!$T$10,AH28:AH29))),IF(C32="Totalt:",SUM(F$26:F31),""))</f>
        <v/>
      </c>
      <c r="G32" s="447" t="str">
        <f t="shared" si="5"/>
        <v/>
      </c>
      <c r="H32" s="450" t="str">
        <f>IF(AND(C32&lt;&gt;"Totalt:",SUM(G32)&gt;0),IF(Protokoll!$H$13=3,IF(OR(K32="AREA",K32="EST",N32&lt;&gt;""),IF(K32="AREA",G32,G32/((L32+L32*(1-L32))*(1-L32)+L32)),IF(OR(AND(L32&gt;=0.25,D32=E32,E32=F32),AND(L32&gt;=0.25,F32&gt;=D32)),IF(ISNUMBER(VLOOKUP(C32,Beräkningshjälp!$A$3:$E$42,2,FALSE)),G32/(VLOOKUP(C32,Beräkningshjälp!$A$3:$E$42,2,FALSE)/((L32+L32*(1-L32))*(1-L32)+L32)),G32),(6*(2*D32+E32)^2-(3*(2*D32+E32)*(D32+E32+F32))-(D32+E32+F32)^2+(D32+E32+F32)*(((D32+E32+F32)^2)+6*(2*D32+E32)*(D32+E32+F32)-3*(2*D32+E32)^2)^0.5)/(18*(D32-F32)))),IF(Protokoll!$H$13=2,IF(OR(K32="EST",N32&lt;&gt;""),G32/(L32+L32*(1-L32)),IF(E32&gt;=D32,IF(ISNUMBER(VLOOKUP(C32,Beräkningshjälp!$A$3:$E$42,2,FALSE)),G32/(VLOOKUP(C32,Beräkningshjälp!$A$3:$E$42,2,FALSE)/(L32+L32*(1-L32))),G32),IF(K32="AREA",G32,D32^2/(D32-E32)))),IF(OR(K32="EST",N32&lt;&gt;""),IF(N32&lt;&gt;"",G32/N32,IF(ISNUMBER(VLOOKUP(C32,Beräkningshjälp!$A$3:$E$42,2,FALSE)),G32/VLOOKUP(C32,Beräkningshjälp!$A$3:$E$42,2,FALSE),G32)),G32))),IF(C32="Totalt:",SUM(H$26:H31),IF(AND(G32&lt;&gt;"",G32=0),0,"")))</f>
        <v/>
      </c>
      <c r="I32" s="492" t="str">
        <f>IF(Protokoll!$AC$19&lt;&gt;"",IF(COUNT(H32)&gt;0,H32/Protokoll!$AC$19*100,""),"")</f>
        <v/>
      </c>
      <c r="J32" s="464" t="str">
        <f>IF(B32&lt;&gt;"",IF(H32&lt;&gt;"",IF(K32="ZIPP",IF(Protokoll!$H$13=3,(1.96*((H32*(1-(1-L32)^3)*(1-L32)^3)/((1-(1-L32)^3)^2-9*L32^2*(1-L32)^2))^0.5)/('DATA TILL SLU'!$Q$7/100),IF(Protokoll!$H$13=2,(1.96*D32*E32*(D32+E32)^0.5/(D32-E32)^2)/('DATA TILL SLU'!$Q$7/100),"")),"-"),""),"")</f>
        <v/>
      </c>
      <c r="K32" s="448" t="str">
        <f>IF(AND(D32&gt;0,G32&gt;0,B32&lt;&gt;""),IF(Protokoll!$H$13=3,IF(OR(AND(D32&gt;=E32,E32&gt;F32),AND(D32&gt;E32,E32&gt;=F32),AND(D32&lt;=E32,D32&gt;F32,D32&gt;F32),AND(D32&gt;=E32,D32&gt;=F32,E32&lt;&gt;F32)),IF((3*(2*D32+E32)-D32-E32-F32-((D32+E32+F32)^2+6*(2*D32+E32)*(D32+E32+F32)-3*(2*D32+E32)^2)^0.5)/(4*D32+2*E32)&gt;=0.25,IF(N32="","ZIPP","EST"),IF(OR(ISNUMBER(VLOOKUP(C32,Beräkningshjälp!$A$3:$E$42,2,FALSE)),N32&lt;&gt;""),"EST","AREA")),IF(OR(ISNUMBER(VLOOKUP(C32,Beräkningshjälp!$A$3:$E$42,2,FALSE)),N32&lt;&gt;""),"EST","AREA")),IF(Protokoll!$H$13=2,IF((D32-E32)/D32&gt;=0.25,IF(N32="","ZIPP","EST"),IF(OR(ISNUMBER(VLOOKUP(C32,Beräkningshjälp!$A$3:$E$42,2,FALSE)),N32&lt;&gt;""),"EST","AREA")),IF(OR(ISNUMBER(VLOOKUP(C32,Beräkningshjälp!$A$3:$E$42,2,FALSE)),N32&lt;&gt;""),"EST","AREA"))),IF(AND(G32&gt;0,B32&lt;&gt;""),IF(OR(ISNUMBER(VLOOKUP(C32,Beräkningshjälp!$A$3:$E$42,2,FALSE)),N32&lt;&gt;""),"EST","AREA"),""))</f>
        <v/>
      </c>
      <c r="L32" s="449" t="str">
        <f>IF(AND(K32&lt;&gt;"",B32&lt;&gt;""),IF(Protokoll!$H$13=3,IF(N32&lt;&gt;"",N32,IF(K32="ZIPP",(3*(2*D32+E32)-D32-E32-F32-((D32+E32+F32)^2+6*(2*D32+E32)*(D32+E32+F32)-3*(2*D32+E32)^2)^0.5)/(4*D32+2*E32),IF(ISNUMBER(VLOOKUP(C32,Beräkningshjälp!$A$3:$E$42,2,FALSE)),VLOOKUP(C32,Beräkningshjälp!$A$3:$E$42,2,FALSE),IF(B32&lt;&gt;"","-","")))),IF(Protokoll!$H$13=2,IF(N32&lt;&gt;"",N32,IF(K32="ZIPP",(D32-E32)/D32,IF(ISNUMBER(VLOOKUP(C32,Beräkningshjälp!$A$3:$E$42,2,FALSE)),VLOOKUP(C32,Beräkningshjälp!$A$3:$E$42,2,FALSE),IF(B32&lt;&gt;"","-","")))),IF(N32&lt;&gt;"",N32,IF(ISNUMBER(VLOOKUP(C32,Beräkningshjälp!$A$3:$E$42,2,FALSE)),VLOOKUP(C32,Beräkningshjälp!$A$3:$E$42,2,FALSE),IF(B32&lt;&gt;"","-",""))))),"")</f>
        <v/>
      </c>
      <c r="M32" s="449" t="str">
        <f>IF(B32&lt;&gt;"",IF(OR(G32=0,K32="AREA",Protokoll!$H$13="",Protokoll!$H$13=1),"",2*L32-L32^2+IF(Protokoll!$H$13=3,L32*(1-(2*L32-L32^2)),0)),"")</f>
        <v/>
      </c>
      <c r="N32" s="502"/>
      <c r="P32" s="461"/>
      <c r="Q32" s="2" t="str">
        <f>RIGHT(U32,LEN(U32)-2)&amp;" - "&amp;RIGHT(V32,LEN(V32)-2)</f>
        <v>131 - 135</v>
      </c>
      <c r="R32" s="136">
        <f>IF($B$1&lt;&gt;"",DCOUNT(Beräkningshjälp!$AC$2:$AI$1082,Beräkningshjälp!$AH$2,U31:W32),0)</f>
        <v>0</v>
      </c>
      <c r="S32" s="513">
        <f>IF($B$1&lt;&gt;"",IF(AND($S$4&gt;=RIGHT(U32,LEN(U32)-2)*1,AND($S$4&lt;=RIGHT(V32,LEN(V32)-2)*1)),MAX(T$6:T$56),0),0)</f>
        <v>0</v>
      </c>
      <c r="T32" s="515">
        <f t="shared" si="0"/>
        <v>9</v>
      </c>
      <c r="U32" s="445" t="str">
        <f>"&gt;="&amp;RIGHT(Y31,LEN(Y31)-2)*1+1</f>
        <v>&gt;=131</v>
      </c>
      <c r="V32" s="444" t="str">
        <f>"&lt;="&amp;IF($B$3&lt;&gt;"",$B$3,5)+RIGHT(U32,LEN(U32)-2)*1-1</f>
        <v>&lt;=135</v>
      </c>
      <c r="W32" s="551" t="str">
        <f>IF($W$6&lt;&gt;"",$W$6,"")</f>
        <v/>
      </c>
      <c r="X32" s="353" t="s">
        <v>1984</v>
      </c>
      <c r="Y32" s="353" t="s">
        <v>1984</v>
      </c>
      <c r="Z32" s="119" t="s">
        <v>75</v>
      </c>
      <c r="AB32" s="439" t="str">
        <f>IF($B35&lt;&gt;"",IF(ISNUMBER(VLOOKUP($B35,Artlista_alla,4,FALSE)),"0+",""),"")</f>
        <v/>
      </c>
      <c r="AC32" s="440" t="str">
        <f>$B35</f>
        <v/>
      </c>
      <c r="AD32" s="441" t="str">
        <f>IF(OR(VLOOKUP(AC32,$I$11:$M$22,3,FALSE)="X",AND(COUNTIF($B$27:$B$50,$B35)=2,VLOOKUP(AC32,$I$11:$M$22,3,FALSE)=0)),IF($B35=$B36,0,"&lt;10000"),IF(AND($B35&lt;&gt;"",$B35=$B34,$B35&lt;&gt;$B36),IF(ISNUMBER(VLOOKUP($B35,$I$11:$M$22,3,FALSE)),"&gt;"&amp;VLOOKUP($B35,$I$11:$M$22,3,FALSE),IF(ISNUMBER(RIGHT(VLOOKUP($B35,$I$11:$M$22,3,FALSE),LEN(VLOOKUP($B35,$I$11:$M$22,3,FALSE))-1)*1),"&gt;="&amp;RIGHT(VLOOKUP($B35,$I$11:$M$22,3,FALSE),LEN(VLOOKUP($B35,$I$11:$M$22,3,FALSE))-1),"&gt;"&amp;RIGHT(VLOOKUP($B35,$I$11:$M$22,3,FALSE),LEN(VLOOKUP($B35,$I$11:$M$22,3,FALSE))-2))),IF(AND($B35&lt;&gt;"",$B35=$B36,$B35&lt;&gt;$B34),IF(ISNUMBER(VLOOKUP($B35,$I$11:$M$22,3,FALSE)),"&lt;=","")&amp;VLOOKUP($B35,$I$11:$M$22,3,FALSE),"&lt;10000")))</f>
        <v>&lt;10000</v>
      </c>
      <c r="AE32" s="352" t="s">
        <v>1995</v>
      </c>
      <c r="AF32" s="115">
        <v>2</v>
      </c>
      <c r="AG32" s="115" t="s">
        <v>462</v>
      </c>
      <c r="AH32" t="s">
        <v>75</v>
      </c>
      <c r="AI32" t="s">
        <v>1984</v>
      </c>
      <c r="AJ32" s="115" t="s">
        <v>1983</v>
      </c>
      <c r="AK32" s="115" t="s">
        <v>1983</v>
      </c>
    </row>
    <row r="33" spans="1:37" ht="13.8" thickBot="1" x14ac:dyDescent="0.3">
      <c r="A33" s="508" t="str">
        <f>IF(VLOOKUP(B33,Beräkningshjälp!$M$2:$U$60,4,FALSE)&gt;0,IF(ROUND((ROW(B32)-ROW(B$26))/2,0)=INT((ROW(B32)-ROW(B$26))/2),IF(DCOUNTA('Antal &amp; Längder (vikter)'!$O$10:$T$27,'Antal &amp; Längder (vikter)'!$Q$10,AC29:AC30)&lt;&gt;DCOUNT('Antal &amp; Längder (vikter)'!$O$10:$T$27,'Antal &amp; Längder (vikter)'!$R$10,AC29:AC30),"Icke längdmätta ej uppdelade 0+/&gt;0+",IF(AND(DCOUNT(Beräkningshjälp!$AB$2:$AI$1082,Beräkningshjälp!$AH$2,AC29:AC30)&gt;0,COUNTIF(B$27:B$50,B33)=1,VLOOKUP(B33,I$11:K$22,3,FALSE)=0),"Ange gräns 0+/&gt;0+ i fält K"&amp;10+B33&amp;" ovan","")),IF(DCOUNTA('Antal &amp; Längder (vikter)'!$O$10:$T$27,'Antal &amp; Längder (vikter)'!$Q$10,AH29:AH30)&lt;&gt;DCOUNT('Antal &amp; Längder (vikter)'!$O$10:$T$27,'Antal &amp; Längder (vikter)'!$R$10,AH29:AH30),"Icke längdmätta ej uppdelade 0+/&gt;0+",IF(AND(DCOUNT(Beräkningshjälp!$AB$2:$AI$1082,Beräkningshjälp!$AH$2,Artuppgifter!AH29:AH30)&gt;0,COUNTIF(B$27:B$50,B33)=1,VLOOKUP(B33,I$11:K$22,3,FALSE)=0),"Ange gräns 0+/&gt;0+ i fält K"&amp;10+B33&amp;" ovan",""))),"")</f>
        <v/>
      </c>
      <c r="B33" s="515" t="str">
        <f>IF(B32&lt;&gt;"",IF(AND(COUNTIF(B$26:B32,B32)=1,VLOOKUP(B32,Artlista_alla,4,FALSE)&gt;0,VLOOKUP(B32,I$11:M$22,3,FALSE)&gt;0,IF((ROW()-ROW($B$26))/2=INT((ROW()-ROW($B$26))/2),IF(ISNUMBER(DCOUNTA(Omätta,B32,AC28:AC29)),IF(DCOUNTA(Omätta,B32,AC28:AC29)&gt;0,AND(DCOUNTA(Omätta,AB28,AC28:AC29)&gt;0,DCOUNTA(Omätta,AB28,AC28:AC29)=DCOUNTA(Omätta,AC28,AC28:AC29)),TRUE),FALSE),IF(ISNUMBER(DCOUNTA(Omätta,B32,AH28:AH29)),IF(DCOUNTA(Omätta,B32,AH28:AH29)&gt;0,AND(DCOUNTA(Omätta,AG28,AH28:AH29)&gt;0,DCOUNTA(Omätta,AG28,AH28:AH29)=DCOUNTA(Omätta,AH28,AH28:AH29)),TRUE),FALSE))),B32,IF(COUNTIF(I$11:I$22,B32+1)&gt;0,B32+1,"")),"")</f>
        <v/>
      </c>
      <c r="C33" s="447" t="str">
        <f t="shared" si="4"/>
        <v/>
      </c>
      <c r="D33" s="447" t="str">
        <f>IF(B33&lt;&gt;"",IF(ROUND((ROW(C32)-ROW(C$26))/2,0)=INT((ROW(D32)-ROW(D$26))/2),DCOUNT(Beräkningshjälp!$AC$2:$AI$1082,Beräkningshjälp!AH$2,AC29:AE30)-DCOUNT(Beräkningshjälp!$AC$2:$AI$1082,Beräkningshjälp!AH$2,AC29:AF30)+IF(VLOOKUP(B33,Beräkningshjälp!$M$2:$U$60,4,FALSE)&gt;0,IF(B33=B34,DSUM('Antal &amp; Längder (vikter)'!$O$10:$T$27,'Antal &amp; Längder (vikter)'!$R$10,AB29:AC30),DSUM('Antal &amp; Längder (vikter)'!$O$10:$T$27,'Antal &amp; Längder (vikter)'!$R$10,AC29:AC30)-IF(B33=B32,DSUM('Antal &amp; Längder (vikter)'!$O$10:$T$27,'Antal &amp; Längder (vikter)'!$R$10,AB29:AC30),0)),DSUM('Antal &amp; Längder (vikter)'!$O$10:$T$27,'Antal &amp; Längder (vikter)'!$R$10,AC29:AC30)),DCOUNT(Beräkningshjälp!$AC$2:$AI$1082,Beräkningshjälp!AH$2,AH29:AJ30)-DCOUNT(Beräkningshjälp!$AC$2:$AI$1082,Beräkningshjälp!AH$2,AH29:AK30)+IF(VLOOKUP(B33,Beräkningshjälp!$M$2:$U$60,4,FALSE)&gt;0,IF(B33=B34,DSUM('Antal &amp; Längder (vikter)'!$O$10:$T$27,'Antal &amp; Längder (vikter)'!$R$10,AG29:AH30),DSUM('Antal &amp; Längder (vikter)'!$O$10:$T$27,'Antal &amp; Längder (vikter)'!$R$10,AH29:AH30)-IF(B33=B32,DSUM('Antal &amp; Längder (vikter)'!$O$10:$T$27,'Antal &amp; Längder (vikter)'!$R$10,AG29:AH30),0)),DSUM('Antal &amp; Längder (vikter)'!$O$10:$T$27,'Antal &amp; Längder (vikter)'!$R$10,AH29:AH30))),IF(C33="Totalt:",SUM(D$26:D32),""))</f>
        <v/>
      </c>
      <c r="E33" s="447" t="str">
        <f>IF(AND(B33&lt;&gt;"",protokollAntalutfisk&gt;1),IF(ROUND((ROW(C32)-ROW(C$26))/2,0)=INT((ROW(D32)-ROW(D$26))/2),DCOUNT(Beräkningshjälp!$AC$2:$AI$1082,Beräkningshjälp!AH$2,AC29:AF30)+IF(VLOOKUP(B33,Beräkningshjälp!$M$2:$U$60,4,FALSE)&gt;0,IF(B33=B34,DSUM('Antal &amp; Längder (vikter)'!$O$10:$T$27,'Antal &amp; Längder (vikter)'!$S$10,AB29:AC30),DSUM('Antal &amp; Längder (vikter)'!$O$10:$T$27,'Antal &amp; Längder (vikter)'!$S$10,AC29:AC30)-IF(B33=B32,DSUM('Antal &amp; Längder (vikter)'!$O$10:$T$27,'Antal &amp; Längder (vikter)'!$S$10,AB29:AC30),0)),DSUM('Antal &amp; Längder (vikter)'!$O$10:$T$27,'Antal &amp; Längder (vikter)'!$S$10,AC29:AC30)),DCOUNT(Beräkningshjälp!$AC$2:$AI$1082,Beräkningshjälp!AH$2,AH29:AK30)+IF(VLOOKUP(B33,Beräkningshjälp!$M$2:$U$60,4,FALSE)&gt;0,IF(B33=B34,DSUM('Antal &amp; Längder (vikter)'!$O$10:$T$27,'Antal &amp; Längder (vikter)'!$S$10,AG29:AH30),DSUM('Antal &amp; Längder (vikter)'!$O$10:$T$27,'Antal &amp; Längder (vikter)'!$S$10,AH29:AH30)-IF(B33=B32,DSUM('Antal &amp; Längder (vikter)'!$O$10:$T$27,'Antal &amp; Längder (vikter)'!$S$10,AG29:AH30),0)),DSUM('Antal &amp; Längder (vikter)'!$O$10:$T$27,'Antal &amp; Längder (vikter)'!$S$10,AH29:AH30))),IF(C33="Totalt:",SUM(E$26:E32),""))</f>
        <v/>
      </c>
      <c r="F33" s="447" t="str">
        <f>IF(AND(B33&lt;&gt;"",protokollAntalutfisk&gt;2),IF(ROUND((ROW(C32)-ROW(C$26))/2,0)=INT((ROW(D32)-ROW(D$26))/2),DCOUNT(Beräkningshjälp!$AC$2:$AI$1082,Beräkningshjälp!AH$2,AC29:AD30)-DCOUNT(Beräkningshjälp!$AC$2:$AI$1082,Beräkningshjälp!AH$2,AC29:AE30)+IF(VLOOKUP(B33,Beräkningshjälp!$M$2:$U$60,4,FALSE)&gt;0,IF(B33=B34,DSUM('Antal &amp; Längder (vikter)'!$O$10:$T$27,'Antal &amp; Längder (vikter)'!$T$10,AB29:AC30),DSUM('Antal &amp; Längder (vikter)'!$O$10:$T$27,'Antal &amp; Längder (vikter)'!$T$10,AC29:AC30)-IF(B33=B32,DSUM('Antal &amp; Längder (vikter)'!$O$10:$T$27,'Antal &amp; Längder (vikter)'!$T$10,AB29:AC30),0)),DSUM('Antal &amp; Längder (vikter)'!$O$10:$T$27,'Antal &amp; Längder (vikter)'!$T$10,AC29:AC30)),DCOUNT(Beräkningshjälp!$AC$2:$AI$1082,Beräkningshjälp!AH$2,AH29:AI30)-DCOUNT(Beräkningshjälp!$AC$2:$AI$1082,Beräkningshjälp!AH$2,AH29:AJ30)+IF(VLOOKUP(B33,Beräkningshjälp!$M$2:$U$60,4,FALSE)&gt;0,DSUM('Antal &amp; Längder (vikter)'!$O$10:$T$27,'Antal &amp; Längder (vikter)'!$T$10,AH29:AH30)-IF(B33=B32,DSUM('Antal &amp; Längder (vikter)'!$O$10:$T$27,'Antal &amp; Längder (vikter)'!$T$10,AG29:AH30),0),DSUM('Antal &amp; Längder (vikter)'!$O$10:$T$27,'Antal &amp; Längder (vikter)'!$T$10,AH29:AH30))),IF(C33="Totalt:",SUM(F$26:F32),""))</f>
        <v/>
      </c>
      <c r="G33" s="447" t="str">
        <f t="shared" si="5"/>
        <v/>
      </c>
      <c r="H33" s="450" t="str">
        <f>IF(AND(C33&lt;&gt;"Totalt:",SUM(G33)&gt;0),IF(Protokoll!$H$13=3,IF(OR(K33="AREA",K33="EST",N33&lt;&gt;""),IF(K33="AREA",G33,G33/((L33+L33*(1-L33))*(1-L33)+L33)),IF(OR(AND(L33&gt;=0.25,D33=E33,E33=F33),AND(L33&gt;=0.25,F33&gt;=D33)),IF(ISNUMBER(VLOOKUP(C33,Beräkningshjälp!$A$3:$E$42,2,FALSE)),G33/(VLOOKUP(C33,Beräkningshjälp!$A$3:$E$42,2,FALSE)/((L33+L33*(1-L33))*(1-L33)+L33)),G33),(6*(2*D33+E33)^2-(3*(2*D33+E33)*(D33+E33+F33))-(D33+E33+F33)^2+(D33+E33+F33)*(((D33+E33+F33)^2)+6*(2*D33+E33)*(D33+E33+F33)-3*(2*D33+E33)^2)^0.5)/(18*(D33-F33)))),IF(Protokoll!$H$13=2,IF(OR(K33="EST",N33&lt;&gt;""),G33/(L33+L33*(1-L33)),IF(E33&gt;=D33,IF(ISNUMBER(VLOOKUP(C33,Beräkningshjälp!$A$3:$E$42,2,FALSE)),G33/(VLOOKUP(C33,Beräkningshjälp!$A$3:$E$42,2,FALSE)/(L33+L33*(1-L33))),G33),IF(K33="AREA",G33,D33^2/(D33-E33)))),IF(OR(K33="EST",N33&lt;&gt;""),IF(N33&lt;&gt;"",G33/N33,IF(ISNUMBER(VLOOKUP(C33,Beräkningshjälp!$A$3:$E$42,2,FALSE)),G33/VLOOKUP(C33,Beräkningshjälp!$A$3:$E$42,2,FALSE),G33)),G33))),IF(C33="Totalt:",SUM(H$26:H32),IF(AND(G33&lt;&gt;"",G33=0),0,"")))</f>
        <v/>
      </c>
      <c r="I33" s="492" t="str">
        <f>IF(Protokoll!$AC$19&lt;&gt;"",IF(COUNT(H33)&gt;0,H33/Protokoll!$AC$19*100,""),"")</f>
        <v/>
      </c>
      <c r="J33" s="464" t="str">
        <f>IF(B33&lt;&gt;"",IF(H33&lt;&gt;"",IF(K33="ZIPP",IF(Protokoll!$H$13=3,(1.96*((H33*(1-(1-L33)^3)*(1-L33)^3)/((1-(1-L33)^3)^2-9*L33^2*(1-L33)^2))^0.5)/('DATA TILL SLU'!$Q$7/100),IF(Protokoll!$H$13=2,(1.96*D33*E33*(D33+E33)^0.5/(D33-E33)^2)/('DATA TILL SLU'!$Q$7/100),"")),"-"),""),"")</f>
        <v/>
      </c>
      <c r="K33" s="448" t="str">
        <f>IF(AND(D33&gt;0,G33&gt;0,B33&lt;&gt;""),IF(Protokoll!$H$13=3,IF(OR(AND(D33&gt;=E33,E33&gt;F33),AND(D33&gt;E33,E33&gt;=F33),AND(D33&lt;=E33,D33&gt;F33,D33&gt;F33),AND(D33&gt;=E33,D33&gt;=F33,E33&lt;&gt;F33)),IF((3*(2*D33+E33)-D33-E33-F33-((D33+E33+F33)^2+6*(2*D33+E33)*(D33+E33+F33)-3*(2*D33+E33)^2)^0.5)/(4*D33+2*E33)&gt;=0.25,IF(N33="","ZIPP","EST"),IF(OR(ISNUMBER(VLOOKUP(C33,Beräkningshjälp!$A$3:$E$42,2,FALSE)),N33&lt;&gt;""),"EST","AREA")),IF(OR(ISNUMBER(VLOOKUP(C33,Beräkningshjälp!$A$3:$E$42,2,FALSE)),N33&lt;&gt;""),"EST","AREA")),IF(Protokoll!$H$13=2,IF((D33-E33)/D33&gt;=0.25,IF(N33="","ZIPP","EST"),IF(OR(ISNUMBER(VLOOKUP(C33,Beräkningshjälp!$A$3:$E$42,2,FALSE)),N33&lt;&gt;""),"EST","AREA")),IF(OR(ISNUMBER(VLOOKUP(C33,Beräkningshjälp!$A$3:$E$42,2,FALSE)),N33&lt;&gt;""),"EST","AREA"))),IF(AND(G33&gt;0,B33&lt;&gt;""),IF(OR(ISNUMBER(VLOOKUP(C33,Beräkningshjälp!$A$3:$E$42,2,FALSE)),N33&lt;&gt;""),"EST","AREA"),""))</f>
        <v/>
      </c>
      <c r="L33" s="449" t="str">
        <f>IF(AND(K33&lt;&gt;"",B33&lt;&gt;""),IF(Protokoll!$H$13=3,IF(N33&lt;&gt;"",N33,IF(K33="ZIPP",(3*(2*D33+E33)-D33-E33-F33-((D33+E33+F33)^2+6*(2*D33+E33)*(D33+E33+F33)-3*(2*D33+E33)^2)^0.5)/(4*D33+2*E33),IF(ISNUMBER(VLOOKUP(C33,Beräkningshjälp!$A$3:$E$42,2,FALSE)),VLOOKUP(C33,Beräkningshjälp!$A$3:$E$42,2,FALSE),IF(B33&lt;&gt;"","-","")))),IF(Protokoll!$H$13=2,IF(N33&lt;&gt;"",N33,IF(K33="ZIPP",(D33-E33)/D33,IF(ISNUMBER(VLOOKUP(C33,Beräkningshjälp!$A$3:$E$42,2,FALSE)),VLOOKUP(C33,Beräkningshjälp!$A$3:$E$42,2,FALSE),IF(B33&lt;&gt;"","-","")))),IF(N33&lt;&gt;"",N33,IF(ISNUMBER(VLOOKUP(C33,Beräkningshjälp!$A$3:$E$42,2,FALSE)),VLOOKUP(C33,Beräkningshjälp!$A$3:$E$42,2,FALSE),IF(B33&lt;&gt;"","-",""))))),"")</f>
        <v/>
      </c>
      <c r="M33" s="449" t="str">
        <f>IF(B33&lt;&gt;"",IF(OR(G33=0,K33="AREA",Protokoll!$H$13="",Protokoll!$H$13=1),"",2*L33-L33^2+IF(Protokoll!$H$13=3,L33*(1-(2*L33-L33^2)),0)),"")</f>
        <v/>
      </c>
      <c r="N33" s="502"/>
      <c r="P33" s="461"/>
      <c r="Q33" s="2" t="str">
        <f>RIGHT(X33,LEN(X33)-2)&amp;" - "&amp;RIGHT(Y33,LEN(Y33)-2)</f>
        <v>136 - 140</v>
      </c>
      <c r="R33" s="136">
        <f>IF($B$1&lt;&gt;"",DCOUNT(Beräkningshjälp!$AC$2:$AI$1082,Beräkningshjälp!$AH$2,X32:Z33),0)</f>
        <v>0</v>
      </c>
      <c r="S33" s="513">
        <f>IF($B$1&lt;&gt;"",IF(AND($S$4&gt;=RIGHT(X33,LEN(X33)-2)*1,AND($S$4&lt;=RIGHT(Y33,LEN(Y33)-2)*1)),MAX(T$6:T$56),0),0)</f>
        <v>0</v>
      </c>
      <c r="T33" s="515">
        <f t="shared" si="0"/>
        <v>9</v>
      </c>
      <c r="U33" s="353" t="s">
        <v>1984</v>
      </c>
      <c r="V33" s="353" t="s">
        <v>1984</v>
      </c>
      <c r="W33" s="119" t="s">
        <v>75</v>
      </c>
      <c r="X33" s="442" t="str">
        <f>"&gt;="&amp;RIGHT(V32,LEN(V32)-2)*1+1</f>
        <v>&gt;=136</v>
      </c>
      <c r="Y33" s="445" t="str">
        <f>"&lt;="&amp;IF($B$3&lt;&gt;"",$B$3,5)+RIGHT(X33,LEN(X33)-2)*1-1</f>
        <v>&lt;=140</v>
      </c>
      <c r="Z33" s="551" t="str">
        <f>IF($W$6&lt;&gt;"",$W$6,"")</f>
        <v/>
      </c>
      <c r="AB33" s="115" t="s">
        <v>462</v>
      </c>
      <c r="AC33" t="s">
        <v>75</v>
      </c>
      <c r="AD33" t="s">
        <v>1984</v>
      </c>
      <c r="AE33" s="115" t="s">
        <v>1983</v>
      </c>
      <c r="AF33" s="115" t="s">
        <v>1983</v>
      </c>
      <c r="AG33" s="439" t="str">
        <f>IF($B36&lt;&gt;"",IF(ISNUMBER(VLOOKUP($B36,Artlista_alla,4,FALSE)),"0+",""),"")</f>
        <v/>
      </c>
      <c r="AH33" s="440" t="str">
        <f>$B36</f>
        <v/>
      </c>
      <c r="AI33" s="441" t="str">
        <f>IF(OR(VLOOKUP(AH33,$I$11:$M$22,3,FALSE)="X",AND(COUNTIF($B$27:$B$50,$B36)=2,VLOOKUP(AH33,$I$11:$M$22,3,FALSE)=0)),IF($B36=$B37,0,"&lt;10000"),IF(AND($B36&lt;&gt;"",$B36=$B35,$B36&lt;&gt;$B37),IF(ISNUMBER(VLOOKUP($B36,$I$11:$M$22,3,FALSE)),"&gt;"&amp;VLOOKUP($B36,$I$11:$M$22,3,FALSE),IF(ISNUMBER(RIGHT(VLOOKUP($B36,$I$11:$M$22,3,FALSE),LEN(VLOOKUP($B36,$I$11:$M$22,3,FALSE))-1)*1),"&gt;="&amp;RIGHT(VLOOKUP($B36,$I$11:$M$22,3,FALSE),LEN(VLOOKUP($B36,$I$11:$M$22,3,FALSE))-1),"&gt;"&amp;RIGHT(VLOOKUP($B36,$I$11:$M$22,3,FALSE),LEN(VLOOKUP($B36,$I$11:$M$22,3,FALSE))-2))),IF(AND($B36&lt;&gt;"",$B36=$B37,$B36&lt;&gt;$B35),IF(ISNUMBER(VLOOKUP($B36,$I$11:$M$22,3,FALSE)),"&lt;=","")&amp;VLOOKUP($B36,$I$11:$M$22,3,FALSE),"&lt;10000")))</f>
        <v>&lt;10000</v>
      </c>
      <c r="AJ33" s="352" t="s">
        <v>1995</v>
      </c>
      <c r="AK33" s="115">
        <v>2</v>
      </c>
    </row>
    <row r="34" spans="1:37" ht="13.8" thickBot="1" x14ac:dyDescent="0.3">
      <c r="A34" s="508" t="str">
        <f>IF(VLOOKUP(B34,Beräkningshjälp!$M$2:$U$60,4,FALSE)&gt;0,IF(ROUND((ROW(B33)-ROW(B$26))/2,0)=INT((ROW(B33)-ROW(B$26))/2),IF(DCOUNTA('Antal &amp; Längder (vikter)'!$O$10:$T$27,'Antal &amp; Längder (vikter)'!$Q$10,AC30:AC31)&lt;&gt;DCOUNT('Antal &amp; Längder (vikter)'!$O$10:$T$27,'Antal &amp; Längder (vikter)'!$R$10,AC30:AC31),"Icke längdmätta ej uppdelade 0+/&gt;0+",IF(AND(DCOUNT(Beräkningshjälp!$AB$2:$AI$1082,Beräkningshjälp!$AH$2,AC30:AC31)&gt;0,COUNTIF(B$27:B$50,B34)=1,VLOOKUP(B34,I$11:K$22,3,FALSE)=0),"Ange gräns 0+/&gt;0+ i fält K"&amp;10+B34&amp;" ovan","")),IF(DCOUNTA('Antal &amp; Längder (vikter)'!$O$10:$T$27,'Antal &amp; Längder (vikter)'!$Q$10,AH30:AH31)&lt;&gt;DCOUNT('Antal &amp; Längder (vikter)'!$O$10:$T$27,'Antal &amp; Längder (vikter)'!$R$10,AH30:AH31),"Icke längdmätta ej uppdelade 0+/&gt;0+",IF(AND(DCOUNT(Beräkningshjälp!$AB$2:$AI$1082,Beräkningshjälp!$AH$2,Artuppgifter!AH30:AH31)&gt;0,COUNTIF(B$27:B$50,B34)=1,VLOOKUP(B34,I$11:K$22,3,FALSE)=0),"Ange gräns 0+/&gt;0+ i fält K"&amp;10+B34&amp;" ovan",""))),"")</f>
        <v/>
      </c>
      <c r="B34" s="515" t="str">
        <f>IF(B33&lt;&gt;"",IF(AND(COUNTIF(B$26:B33,B33)=1,VLOOKUP(B33,Artlista_alla,4,FALSE)&gt;0,VLOOKUP(B33,I$11:M$22,3,FALSE)&gt;0,IF((ROW()-ROW($B$26))/2=INT((ROW()-ROW($B$26))/2),IF(ISNUMBER(DCOUNTA(Omätta,B33,AC29:AC30)),IF(DCOUNTA(Omätta,B33,AC29:AC30)&gt;0,AND(DCOUNTA(Omätta,AB29,AC29:AC30)&gt;0,DCOUNTA(Omätta,AB29,AC29:AC30)=DCOUNTA(Omätta,AC29,AC29:AC30)),TRUE),FALSE),IF(ISNUMBER(DCOUNTA(Omätta,B33,AH29:AH30)),IF(DCOUNTA(Omätta,B33,AH29:AH30)&gt;0,AND(DCOUNTA(Omätta,AG29,AH29:AH30)&gt;0,DCOUNTA(Omätta,AG29,AH29:AH30)=DCOUNTA(Omätta,AH29,AH29:AH30)),TRUE),FALSE))),B33,IF(COUNTIF(I$11:I$22,B33+1)&gt;0,B33+1,"")),"")</f>
        <v/>
      </c>
      <c r="C34" s="447" t="str">
        <f t="shared" si="4"/>
        <v/>
      </c>
      <c r="D34" s="447" t="str">
        <f>IF(B34&lt;&gt;"",IF(ROUND((ROW(C33)-ROW(C$26))/2,0)=INT((ROW(D33)-ROW(D$26))/2),DCOUNT(Beräkningshjälp!$AC$2:$AI$1082,Beräkningshjälp!AH$2,AC30:AE31)-DCOUNT(Beräkningshjälp!$AC$2:$AI$1082,Beräkningshjälp!AH$2,AC30:AF31)+IF(VLOOKUP(B34,Beräkningshjälp!$M$2:$U$60,4,FALSE)&gt;0,IF(B34=B35,DSUM('Antal &amp; Längder (vikter)'!$O$10:$T$27,'Antal &amp; Längder (vikter)'!$R$10,AB30:AC31),DSUM('Antal &amp; Längder (vikter)'!$O$10:$T$27,'Antal &amp; Längder (vikter)'!$R$10,AC30:AC31)-IF(B34=B33,DSUM('Antal &amp; Längder (vikter)'!$O$10:$T$27,'Antal &amp; Längder (vikter)'!$R$10,AB30:AC31),0)),DSUM('Antal &amp; Längder (vikter)'!$O$10:$T$27,'Antal &amp; Längder (vikter)'!$R$10,AC30:AC31)),DCOUNT(Beräkningshjälp!$AC$2:$AI$1082,Beräkningshjälp!AH$2,AH30:AJ31)-DCOUNT(Beräkningshjälp!$AC$2:$AI$1082,Beräkningshjälp!AH$2,AH30:AK31)+IF(VLOOKUP(B34,Beräkningshjälp!$M$2:$U$60,4,FALSE)&gt;0,IF(B34=B35,DSUM('Antal &amp; Längder (vikter)'!$O$10:$T$27,'Antal &amp; Längder (vikter)'!$R$10,AG30:AH31),DSUM('Antal &amp; Längder (vikter)'!$O$10:$T$27,'Antal &amp; Längder (vikter)'!$R$10,AH30:AH31)-IF(B34=B33,DSUM('Antal &amp; Längder (vikter)'!$O$10:$T$27,'Antal &amp; Längder (vikter)'!$R$10,AG30:AH31),0)),DSUM('Antal &amp; Längder (vikter)'!$O$10:$T$27,'Antal &amp; Längder (vikter)'!$R$10,AH30:AH31))),IF(C34="Totalt:",SUM(D$26:D33),""))</f>
        <v/>
      </c>
      <c r="E34" s="447" t="str">
        <f>IF(AND(B34&lt;&gt;"",protokollAntalutfisk&gt;1),IF(ROUND((ROW(C33)-ROW(C$26))/2,0)=INT((ROW(D33)-ROW(D$26))/2),DCOUNT(Beräkningshjälp!$AC$2:$AI$1082,Beräkningshjälp!AH$2,AC30:AF31)+IF(VLOOKUP(B34,Beräkningshjälp!$M$2:$U$60,4,FALSE)&gt;0,IF(B34=B35,DSUM('Antal &amp; Längder (vikter)'!$O$10:$T$27,'Antal &amp; Längder (vikter)'!$S$10,AB30:AC31),DSUM('Antal &amp; Längder (vikter)'!$O$10:$T$27,'Antal &amp; Längder (vikter)'!$S$10,AC30:AC31)-IF(B34=B33,DSUM('Antal &amp; Längder (vikter)'!$O$10:$T$27,'Antal &amp; Längder (vikter)'!$S$10,AB30:AC31),0)),DSUM('Antal &amp; Längder (vikter)'!$O$10:$T$27,'Antal &amp; Längder (vikter)'!$S$10,AC30:AC31)),DCOUNT(Beräkningshjälp!$AC$2:$AI$1082,Beräkningshjälp!AH$2,AH30:AK31)+IF(VLOOKUP(B34,Beräkningshjälp!$M$2:$U$60,4,FALSE)&gt;0,IF(B34=B35,DSUM('Antal &amp; Längder (vikter)'!$O$10:$T$27,'Antal &amp; Längder (vikter)'!$S$10,AG30:AH31),DSUM('Antal &amp; Längder (vikter)'!$O$10:$T$27,'Antal &amp; Längder (vikter)'!$S$10,AH30:AH31)-IF(B34=B33,DSUM('Antal &amp; Längder (vikter)'!$O$10:$T$27,'Antal &amp; Längder (vikter)'!$S$10,AG30:AH31),0)),DSUM('Antal &amp; Längder (vikter)'!$O$10:$T$27,'Antal &amp; Längder (vikter)'!$S$10,AH30:AH31))),IF(C34="Totalt:",SUM(E$26:E33),""))</f>
        <v/>
      </c>
      <c r="F34" s="447" t="str">
        <f>IF(AND(B34&lt;&gt;"",protokollAntalutfisk&gt;2),IF(ROUND((ROW(C33)-ROW(C$26))/2,0)=INT((ROW(D33)-ROW(D$26))/2),DCOUNT(Beräkningshjälp!$AC$2:$AI$1082,Beräkningshjälp!AH$2,AC30:AD31)-DCOUNT(Beräkningshjälp!$AC$2:$AI$1082,Beräkningshjälp!AH$2,AC30:AE31)+IF(VLOOKUP(B34,Beräkningshjälp!$M$2:$U$60,4,FALSE)&gt;0,IF(B34=B35,DSUM('Antal &amp; Längder (vikter)'!$O$10:$T$27,'Antal &amp; Längder (vikter)'!$T$10,AB30:AC31),DSUM('Antal &amp; Längder (vikter)'!$O$10:$T$27,'Antal &amp; Längder (vikter)'!$T$10,AC30:AC31)-IF(B34=B33,DSUM('Antal &amp; Längder (vikter)'!$O$10:$T$27,'Antal &amp; Längder (vikter)'!$T$10,AB30:AC31),0)),DSUM('Antal &amp; Längder (vikter)'!$O$10:$T$27,'Antal &amp; Längder (vikter)'!$T$10,AC30:AC31)),DCOUNT(Beräkningshjälp!$AC$2:$AI$1082,Beräkningshjälp!AH$2,AH30:AI31)-DCOUNT(Beräkningshjälp!$AC$2:$AI$1082,Beräkningshjälp!AH$2,AH30:AJ31)+IF(VLOOKUP(B34,Beräkningshjälp!$M$2:$U$60,4,FALSE)&gt;0,DSUM('Antal &amp; Längder (vikter)'!$O$10:$T$27,'Antal &amp; Längder (vikter)'!$T$10,AH30:AH31)-IF(B34=B33,DSUM('Antal &amp; Längder (vikter)'!$O$10:$T$27,'Antal &amp; Längder (vikter)'!$T$10,AG30:AH31),0),DSUM('Antal &amp; Längder (vikter)'!$O$10:$T$27,'Antal &amp; Längder (vikter)'!$T$10,AH30:AH31))),IF(C34="Totalt:",SUM(F$26:F33),""))</f>
        <v/>
      </c>
      <c r="G34" s="447" t="str">
        <f t="shared" si="5"/>
        <v/>
      </c>
      <c r="H34" s="450" t="str">
        <f>IF(AND(C34&lt;&gt;"Totalt:",SUM(G34)&gt;0),IF(Protokoll!$H$13=3,IF(OR(K34="AREA",K34="EST",N34&lt;&gt;""),IF(K34="AREA",G34,G34/((L34+L34*(1-L34))*(1-L34)+L34)),IF(OR(AND(L34&gt;=0.25,D34=E34,E34=F34),AND(L34&gt;=0.25,F34&gt;=D34)),IF(ISNUMBER(VLOOKUP(C34,Beräkningshjälp!$A$3:$E$42,2,FALSE)),G34/(VLOOKUP(C34,Beräkningshjälp!$A$3:$E$42,2,FALSE)/((L34+L34*(1-L34))*(1-L34)+L34)),G34),(6*(2*D34+E34)^2-(3*(2*D34+E34)*(D34+E34+F34))-(D34+E34+F34)^2+(D34+E34+F34)*(((D34+E34+F34)^2)+6*(2*D34+E34)*(D34+E34+F34)-3*(2*D34+E34)^2)^0.5)/(18*(D34-F34)))),IF(Protokoll!$H$13=2,IF(OR(K34="EST",N34&lt;&gt;""),G34/(L34+L34*(1-L34)),IF(E34&gt;=D34,IF(ISNUMBER(VLOOKUP(C34,Beräkningshjälp!$A$3:$E$42,2,FALSE)),G34/(VLOOKUP(C34,Beräkningshjälp!$A$3:$E$42,2,FALSE)/(L34+L34*(1-L34))),G34),IF(K34="AREA",G34,D34^2/(D34-E34)))),IF(OR(K34="EST",N34&lt;&gt;""),IF(N34&lt;&gt;"",G34/N34,IF(ISNUMBER(VLOOKUP(C34,Beräkningshjälp!$A$3:$E$42,2,FALSE)),G34/VLOOKUP(C34,Beräkningshjälp!$A$3:$E$42,2,FALSE),G34)),G34))),IF(C34="Totalt:",SUM(H$26:H33),IF(AND(G34&lt;&gt;"",G34=0),0,"")))</f>
        <v/>
      </c>
      <c r="I34" s="492" t="str">
        <f>IF(Protokoll!$AC$19&lt;&gt;"",IF(COUNT(H34)&gt;0,H34/Protokoll!$AC$19*100,""),"")</f>
        <v/>
      </c>
      <c r="J34" s="464" t="str">
        <f>IF(B34&lt;&gt;"",IF(H34&lt;&gt;"",IF(K34="ZIPP",IF(Protokoll!$H$13=3,(1.96*((H34*(1-(1-L34)^3)*(1-L34)^3)/((1-(1-L34)^3)^2-9*L34^2*(1-L34)^2))^0.5)/('DATA TILL SLU'!$Q$7/100),IF(Protokoll!$H$13=2,(1.96*D34*E34*(D34+E34)^0.5/(D34-E34)^2)/('DATA TILL SLU'!$Q$7/100),"")),"-"),""),"")</f>
        <v/>
      </c>
      <c r="K34" s="448" t="str">
        <f>IF(AND(D34&gt;0,G34&gt;0,B34&lt;&gt;""),IF(Protokoll!$H$13=3,IF(OR(AND(D34&gt;=E34,E34&gt;F34),AND(D34&gt;E34,E34&gt;=F34),AND(D34&lt;=E34,D34&gt;F34,D34&gt;F34),AND(D34&gt;=E34,D34&gt;=F34,E34&lt;&gt;F34)),IF((3*(2*D34+E34)-D34-E34-F34-((D34+E34+F34)^2+6*(2*D34+E34)*(D34+E34+F34)-3*(2*D34+E34)^2)^0.5)/(4*D34+2*E34)&gt;=0.25,IF(N34="","ZIPP","EST"),IF(OR(ISNUMBER(VLOOKUP(C34,Beräkningshjälp!$A$3:$E$42,2,FALSE)),N34&lt;&gt;""),"EST","AREA")),IF(OR(ISNUMBER(VLOOKUP(C34,Beräkningshjälp!$A$3:$E$42,2,FALSE)),N34&lt;&gt;""),"EST","AREA")),IF(Protokoll!$H$13=2,IF((D34-E34)/D34&gt;=0.25,IF(N34="","ZIPP","EST"),IF(OR(ISNUMBER(VLOOKUP(C34,Beräkningshjälp!$A$3:$E$42,2,FALSE)),N34&lt;&gt;""),"EST","AREA")),IF(OR(ISNUMBER(VLOOKUP(C34,Beräkningshjälp!$A$3:$E$42,2,FALSE)),N34&lt;&gt;""),"EST","AREA"))),IF(AND(G34&gt;0,B34&lt;&gt;""),IF(OR(ISNUMBER(VLOOKUP(C34,Beräkningshjälp!$A$3:$E$42,2,FALSE)),N34&lt;&gt;""),"EST","AREA"),""))</f>
        <v/>
      </c>
      <c r="L34" s="449" t="str">
        <f>IF(AND(K34&lt;&gt;"",B34&lt;&gt;""),IF(Protokoll!$H$13=3,IF(N34&lt;&gt;"",N34,IF(K34="ZIPP",(3*(2*D34+E34)-D34-E34-F34-((D34+E34+F34)^2+6*(2*D34+E34)*(D34+E34+F34)-3*(2*D34+E34)^2)^0.5)/(4*D34+2*E34),IF(ISNUMBER(VLOOKUP(C34,Beräkningshjälp!$A$3:$E$42,2,FALSE)),VLOOKUP(C34,Beräkningshjälp!$A$3:$E$42,2,FALSE),IF(B34&lt;&gt;"","-","")))),IF(Protokoll!$H$13=2,IF(N34&lt;&gt;"",N34,IF(K34="ZIPP",(D34-E34)/D34,IF(ISNUMBER(VLOOKUP(C34,Beräkningshjälp!$A$3:$E$42,2,FALSE)),VLOOKUP(C34,Beräkningshjälp!$A$3:$E$42,2,FALSE),IF(B34&lt;&gt;"","-","")))),IF(N34&lt;&gt;"",N34,IF(ISNUMBER(VLOOKUP(C34,Beräkningshjälp!$A$3:$E$42,2,FALSE)),VLOOKUP(C34,Beräkningshjälp!$A$3:$E$42,2,FALSE),IF(B34&lt;&gt;"","-",""))))),"")</f>
        <v/>
      </c>
      <c r="M34" s="449" t="str">
        <f>IF(B34&lt;&gt;"",IF(OR(G34=0,K34="AREA",Protokoll!$H$13="",Protokoll!$H$13=1),"",2*L34-L34^2+IF(Protokoll!$H$13=3,L34*(1-(2*L34-L34^2)),0)),"")</f>
        <v/>
      </c>
      <c r="N34" s="502"/>
      <c r="O34" s="353"/>
      <c r="P34" s="461"/>
      <c r="Q34" s="2" t="str">
        <f>RIGHT(U34,LEN(U34)-2)&amp;" - "&amp;RIGHT(V34,LEN(V34)-2)</f>
        <v>141 - 145</v>
      </c>
      <c r="R34" s="136">
        <f>IF($B$1&lt;&gt;"",DCOUNT(Beräkningshjälp!$AC$2:$AI$1082,Beräkningshjälp!$AH$2,U33:W34),0)</f>
        <v>0</v>
      </c>
      <c r="S34" s="513">
        <f>IF($B$1&lt;&gt;"",IF(AND($S$4&gt;=RIGHT(U34,LEN(U34)-2)*1,AND($S$4&lt;=RIGHT(V34,LEN(V34)-2)*1)),MAX(T$6:T$56),0),0)</f>
        <v>0</v>
      </c>
      <c r="T34" s="515">
        <f t="shared" si="0"/>
        <v>9</v>
      </c>
      <c r="U34" s="445" t="str">
        <f>"&gt;="&amp;RIGHT(Y33,LEN(Y33)-2)*1+1</f>
        <v>&gt;=141</v>
      </c>
      <c r="V34" s="444" t="str">
        <f>"&lt;="&amp;IF($B$3&lt;&gt;"",$B$3,5)+RIGHT(U34,LEN(U34)-2)*1-1</f>
        <v>&lt;=145</v>
      </c>
      <c r="W34" s="551" t="str">
        <f>IF($W$6&lt;&gt;"",$W$6,"")</f>
        <v/>
      </c>
      <c r="X34" s="353" t="s">
        <v>1984</v>
      </c>
      <c r="Y34" s="353" t="s">
        <v>1984</v>
      </c>
      <c r="Z34" s="119" t="s">
        <v>75</v>
      </c>
      <c r="AB34" s="439" t="str">
        <f>IF($B37&lt;&gt;"",IF(ISNUMBER(VLOOKUP($B37,Artlista_alla,4,FALSE)),"0+",""),"")</f>
        <v/>
      </c>
      <c r="AC34" s="440" t="str">
        <f>$B37</f>
        <v/>
      </c>
      <c r="AD34" s="441" t="str">
        <f>IF(OR(VLOOKUP(AC34,$I$11:$M$22,3,FALSE)="X",AND(COUNTIF($B$27:$B$50,$B37)=2,VLOOKUP(AC34,$I$11:$M$22,3,FALSE)=0)),IF($B37=$B38,0,"&lt;10000"),IF(AND($B37&lt;&gt;"",$B37=$B36,$B37&lt;&gt;$B38),IF(ISNUMBER(VLOOKUP($B37,$I$11:$M$22,3,FALSE)),"&gt;"&amp;VLOOKUP($B37,$I$11:$M$22,3,FALSE),IF(ISNUMBER(RIGHT(VLOOKUP($B37,$I$11:$M$22,3,FALSE),LEN(VLOOKUP($B37,$I$11:$M$22,3,FALSE))-1)*1),"&gt;="&amp;RIGHT(VLOOKUP($B37,$I$11:$M$22,3,FALSE),LEN(VLOOKUP($B37,$I$11:$M$22,3,FALSE))-1),"&gt;"&amp;RIGHT(VLOOKUP($B37,$I$11:$M$22,3,FALSE),LEN(VLOOKUP($B37,$I$11:$M$22,3,FALSE))-2))),IF(AND($B37&lt;&gt;"",$B37=$B38,$B37&lt;&gt;$B36),IF(ISNUMBER(VLOOKUP($B37,$I$11:$M$22,3,FALSE)),"&lt;=","")&amp;VLOOKUP($B37,$I$11:$M$22,3,FALSE),"&lt;10000")))</f>
        <v>&lt;10000</v>
      </c>
      <c r="AE34" s="352" t="s">
        <v>1995</v>
      </c>
      <c r="AF34" s="115">
        <v>2</v>
      </c>
      <c r="AG34" s="115" t="s">
        <v>462</v>
      </c>
      <c r="AH34" t="s">
        <v>75</v>
      </c>
      <c r="AI34" t="s">
        <v>1984</v>
      </c>
      <c r="AJ34" s="115" t="s">
        <v>1983</v>
      </c>
      <c r="AK34" s="115" t="s">
        <v>1983</v>
      </c>
    </row>
    <row r="35" spans="1:37" ht="13.8" thickBot="1" x14ac:dyDescent="0.3">
      <c r="A35" s="508" t="str">
        <f>IF(VLOOKUP(B35,Beräkningshjälp!$M$2:$U$60,4,FALSE)&gt;0,IF(ROUND((ROW(B34)-ROW(B$26))/2,0)=INT((ROW(B34)-ROW(B$26))/2),IF(DCOUNTA('Antal &amp; Längder (vikter)'!$O$10:$T$27,'Antal &amp; Längder (vikter)'!$Q$10,AC31:AC32)&lt;&gt;DCOUNT('Antal &amp; Längder (vikter)'!$O$10:$T$27,'Antal &amp; Längder (vikter)'!$R$10,AC31:AC32),"Icke längdmätta ej uppdelade 0+/&gt;0+",IF(AND(DCOUNT(Beräkningshjälp!$AB$2:$AI$1082,Beräkningshjälp!$AH$2,AC31:AC32)&gt;0,COUNTIF(B$27:B$50,B35)=1,VLOOKUP(B35,I$11:K$22,3,FALSE)=0),"Ange gräns 0+/&gt;0+ i fält K"&amp;10+B35&amp;" ovan","")),IF(DCOUNTA('Antal &amp; Längder (vikter)'!$O$10:$T$27,'Antal &amp; Längder (vikter)'!$Q$10,AH31:AH32)&lt;&gt;DCOUNT('Antal &amp; Längder (vikter)'!$O$10:$T$27,'Antal &amp; Längder (vikter)'!$R$10,AH31:AH32),"Icke längdmätta ej uppdelade 0+/&gt;0+",IF(AND(DCOUNT(Beräkningshjälp!$AB$2:$AI$1082,Beräkningshjälp!$AH$2,Artuppgifter!AH31:AH32)&gt;0,COUNTIF(B$27:B$50,B35)=1,VLOOKUP(B35,I$11:K$22,3,FALSE)=0),"Ange gräns 0+/&gt;0+ i fält K"&amp;10+B35&amp;" ovan",""))),"")</f>
        <v/>
      </c>
      <c r="B35" s="515" t="str">
        <f>IF(B34&lt;&gt;"",IF(AND(COUNTIF(B$26:B34,B34)=1,VLOOKUP(B34,Artlista_alla,4,FALSE)&gt;0,VLOOKUP(B34,I$11:M$22,3,FALSE)&gt;0,IF((ROW()-ROW($B$26))/2=INT((ROW()-ROW($B$26))/2),IF(ISNUMBER(DCOUNTA(Omätta,B34,AC30:AC31)),IF(DCOUNTA(Omätta,B34,AC30:AC31)&gt;0,AND(DCOUNTA(Omätta,AB30,AC30:AC31)&gt;0,DCOUNTA(Omätta,AB30,AC30:AC31)=DCOUNTA(Omätta,AC30,AC30:AC31)),TRUE),FALSE),IF(ISNUMBER(DCOUNTA(Omätta,B34,AH30:AH31)),IF(DCOUNTA(Omätta,B34,AH30:AH31)&gt;0,AND(DCOUNTA(Omätta,AG30,AH30:AH31)&gt;0,DCOUNTA(Omätta,AG30,AH30:AH31)=DCOUNTA(Omätta,AH30,AH30:AH31)),TRUE),FALSE))),B34,IF(COUNTIF(I$11:I$22,B34+1)&gt;0,B34+1,"")),"")</f>
        <v/>
      </c>
      <c r="C35" s="447" t="str">
        <f t="shared" si="4"/>
        <v/>
      </c>
      <c r="D35" s="447" t="str">
        <f>IF(B35&lt;&gt;"",IF(ROUND((ROW(C34)-ROW(C$26))/2,0)=INT((ROW(D34)-ROW(D$26))/2),DCOUNT(Beräkningshjälp!$AC$2:$AI$1082,Beräkningshjälp!AH$2,AC31:AE32)-DCOUNT(Beräkningshjälp!$AC$2:$AI$1082,Beräkningshjälp!AH$2,AC31:AF32)+IF(VLOOKUP(B35,Beräkningshjälp!$M$2:$U$60,4,FALSE)&gt;0,IF(B35=B36,DSUM('Antal &amp; Längder (vikter)'!$O$10:$T$27,'Antal &amp; Längder (vikter)'!$R$10,AB31:AC32),DSUM('Antal &amp; Längder (vikter)'!$O$10:$T$27,'Antal &amp; Längder (vikter)'!$R$10,AC31:AC32)-IF(B35=B34,DSUM('Antal &amp; Längder (vikter)'!$O$10:$T$27,'Antal &amp; Längder (vikter)'!$R$10,AB31:AC32),0)),DSUM('Antal &amp; Längder (vikter)'!$O$10:$T$27,'Antal &amp; Längder (vikter)'!$R$10,AC31:AC32)),DCOUNT(Beräkningshjälp!$AC$2:$AI$1082,Beräkningshjälp!AH$2,AH31:AJ32)-DCOUNT(Beräkningshjälp!$AC$2:$AI$1082,Beräkningshjälp!AH$2,AH31:AK32)+IF(VLOOKUP(B35,Beräkningshjälp!$M$2:$U$60,4,FALSE)&gt;0,IF(B35=B36,DSUM('Antal &amp; Längder (vikter)'!$O$10:$T$27,'Antal &amp; Längder (vikter)'!$R$10,AG31:AH32),DSUM('Antal &amp; Längder (vikter)'!$O$10:$T$27,'Antal &amp; Längder (vikter)'!$R$10,AH31:AH32)-IF(B35=B34,DSUM('Antal &amp; Längder (vikter)'!$O$10:$T$27,'Antal &amp; Längder (vikter)'!$R$10,AG31:AH32),0)),DSUM('Antal &amp; Längder (vikter)'!$O$10:$T$27,'Antal &amp; Längder (vikter)'!$R$10,AH31:AH32))),IF(C35="Totalt:",SUM(D$26:D34),""))</f>
        <v/>
      </c>
      <c r="E35" s="447" t="str">
        <f>IF(AND(B35&lt;&gt;"",protokollAntalutfisk&gt;1),IF(ROUND((ROW(C34)-ROW(C$26))/2,0)=INT((ROW(D34)-ROW(D$26))/2),DCOUNT(Beräkningshjälp!$AC$2:$AI$1082,Beräkningshjälp!AH$2,AC31:AF32)+IF(VLOOKUP(B35,Beräkningshjälp!$M$2:$U$60,4,FALSE)&gt;0,IF(B35=B36,DSUM('Antal &amp; Längder (vikter)'!$O$10:$T$27,'Antal &amp; Längder (vikter)'!$S$10,AB31:AC32),DSUM('Antal &amp; Längder (vikter)'!$O$10:$T$27,'Antal &amp; Längder (vikter)'!$S$10,AC31:AC32)-IF(B35=B34,DSUM('Antal &amp; Längder (vikter)'!$O$10:$T$27,'Antal &amp; Längder (vikter)'!$S$10,AB31:AC32),0)),DSUM('Antal &amp; Längder (vikter)'!$O$10:$T$27,'Antal &amp; Längder (vikter)'!$S$10,AC31:AC32)),DCOUNT(Beräkningshjälp!$AC$2:$AI$1082,Beräkningshjälp!AH$2,AH31:AK32)+IF(VLOOKUP(B35,Beräkningshjälp!$M$2:$U$60,4,FALSE)&gt;0,IF(B35=B36,DSUM('Antal &amp; Längder (vikter)'!$O$10:$T$27,'Antal &amp; Längder (vikter)'!$S$10,AG31:AH32),DSUM('Antal &amp; Längder (vikter)'!$O$10:$T$27,'Antal &amp; Längder (vikter)'!$S$10,AH31:AH32)-IF(B35=B34,DSUM('Antal &amp; Längder (vikter)'!$O$10:$T$27,'Antal &amp; Längder (vikter)'!$S$10,AG31:AH32),0)),DSUM('Antal &amp; Längder (vikter)'!$O$10:$T$27,'Antal &amp; Längder (vikter)'!$S$10,AH31:AH32))),IF(C35="Totalt:",SUM(E$26:E34),""))</f>
        <v/>
      </c>
      <c r="F35" s="447" t="str">
        <f>IF(AND(B35&lt;&gt;"",protokollAntalutfisk&gt;2),IF(ROUND((ROW(C34)-ROW(C$26))/2,0)=INT((ROW(D34)-ROW(D$26))/2),DCOUNT(Beräkningshjälp!$AC$2:$AI$1082,Beräkningshjälp!AH$2,AC31:AD32)-DCOUNT(Beräkningshjälp!$AC$2:$AI$1082,Beräkningshjälp!AH$2,AC31:AE32)+IF(VLOOKUP(B35,Beräkningshjälp!$M$2:$U$60,4,FALSE)&gt;0,IF(B35=B36,DSUM('Antal &amp; Längder (vikter)'!$O$10:$T$27,'Antal &amp; Längder (vikter)'!$T$10,AB31:AC32),DSUM('Antal &amp; Längder (vikter)'!$O$10:$T$27,'Antal &amp; Längder (vikter)'!$T$10,AC31:AC32)-IF(B35=B34,DSUM('Antal &amp; Längder (vikter)'!$O$10:$T$27,'Antal &amp; Längder (vikter)'!$T$10,AB31:AC32),0)),DSUM('Antal &amp; Längder (vikter)'!$O$10:$T$27,'Antal &amp; Längder (vikter)'!$T$10,AC31:AC32)),DCOUNT(Beräkningshjälp!$AC$2:$AI$1082,Beräkningshjälp!AH$2,AH31:AI32)-DCOUNT(Beräkningshjälp!$AC$2:$AI$1082,Beräkningshjälp!AH$2,AH31:AJ32)+IF(VLOOKUP(B35,Beräkningshjälp!$M$2:$U$60,4,FALSE)&gt;0,DSUM('Antal &amp; Längder (vikter)'!$O$10:$T$27,'Antal &amp; Längder (vikter)'!$T$10,AH31:AH32)-IF(B35=B34,DSUM('Antal &amp; Längder (vikter)'!$O$10:$T$27,'Antal &amp; Längder (vikter)'!$T$10,AG31:AH32),0),DSUM('Antal &amp; Längder (vikter)'!$O$10:$T$27,'Antal &amp; Längder (vikter)'!$T$10,AH31:AH32))),IF(C35="Totalt:",SUM(F$26:F34),""))</f>
        <v/>
      </c>
      <c r="G35" s="447" t="str">
        <f t="shared" si="5"/>
        <v/>
      </c>
      <c r="H35" s="450" t="str">
        <f>IF(AND(C35&lt;&gt;"Totalt:",SUM(G35)&gt;0),IF(Protokoll!$H$13=3,IF(OR(K35="AREA",K35="EST",N35&lt;&gt;""),IF(K35="AREA",G35,G35/((L35+L35*(1-L35))*(1-L35)+L35)),IF(OR(AND(L35&gt;=0.25,D35=E35,E35=F35),AND(L35&gt;=0.25,F35&gt;=D35)),IF(ISNUMBER(VLOOKUP(C35,Beräkningshjälp!$A$3:$E$42,2,FALSE)),G35/(VLOOKUP(C35,Beräkningshjälp!$A$3:$E$42,2,FALSE)/((L35+L35*(1-L35))*(1-L35)+L35)),G35),(6*(2*D35+E35)^2-(3*(2*D35+E35)*(D35+E35+F35))-(D35+E35+F35)^2+(D35+E35+F35)*(((D35+E35+F35)^2)+6*(2*D35+E35)*(D35+E35+F35)-3*(2*D35+E35)^2)^0.5)/(18*(D35-F35)))),IF(Protokoll!$H$13=2,IF(OR(K35="EST",N35&lt;&gt;""),G35/(L35+L35*(1-L35)),IF(E35&gt;=D35,IF(ISNUMBER(VLOOKUP(C35,Beräkningshjälp!$A$3:$E$42,2,FALSE)),G35/(VLOOKUP(C35,Beräkningshjälp!$A$3:$E$42,2,FALSE)/(L35+L35*(1-L35))),G35),IF(K35="AREA",G35,D35^2/(D35-E35)))),IF(OR(K35="EST",N35&lt;&gt;""),IF(N35&lt;&gt;"",G35/N35,IF(ISNUMBER(VLOOKUP(C35,Beräkningshjälp!$A$3:$E$42,2,FALSE)),G35/VLOOKUP(C35,Beräkningshjälp!$A$3:$E$42,2,FALSE),G35)),G35))),IF(C35="Totalt:",SUM(H$26:H34),IF(AND(G35&lt;&gt;"",G35=0),0,"")))</f>
        <v/>
      </c>
      <c r="I35" s="492" t="str">
        <f>IF(Protokoll!$AC$19&lt;&gt;"",IF(COUNT(H35)&gt;0,H35/Protokoll!$AC$19*100,""),"")</f>
        <v/>
      </c>
      <c r="J35" s="464" t="str">
        <f>IF(B35&lt;&gt;"",IF(H35&lt;&gt;"",IF(K35="ZIPP",IF(Protokoll!$H$13=3,(1.96*((H35*(1-(1-L35)^3)*(1-L35)^3)/((1-(1-L35)^3)^2-9*L35^2*(1-L35)^2))^0.5)/('DATA TILL SLU'!$Q$7/100),IF(Protokoll!$H$13=2,(1.96*D35*E35*(D35+E35)^0.5/(D35-E35)^2)/('DATA TILL SLU'!$Q$7/100),"")),"-"),""),"")</f>
        <v/>
      </c>
      <c r="K35" s="448" t="str">
        <f>IF(AND(D35&gt;0,G35&gt;0,B35&lt;&gt;""),IF(Protokoll!$H$13=3,IF(OR(AND(D35&gt;=E35,E35&gt;F35),AND(D35&gt;E35,E35&gt;=F35),AND(D35&lt;=E35,D35&gt;F35,D35&gt;F35),AND(D35&gt;=E35,D35&gt;=F35,E35&lt;&gt;F35)),IF((3*(2*D35+E35)-D35-E35-F35-((D35+E35+F35)^2+6*(2*D35+E35)*(D35+E35+F35)-3*(2*D35+E35)^2)^0.5)/(4*D35+2*E35)&gt;=0.25,IF(N35="","ZIPP","EST"),IF(OR(ISNUMBER(VLOOKUP(C35,Beräkningshjälp!$A$3:$E$42,2,FALSE)),N35&lt;&gt;""),"EST","AREA")),IF(OR(ISNUMBER(VLOOKUP(C35,Beräkningshjälp!$A$3:$E$42,2,FALSE)),N35&lt;&gt;""),"EST","AREA")),IF(Protokoll!$H$13=2,IF((D35-E35)/D35&gt;=0.25,IF(N35="","ZIPP","EST"),IF(OR(ISNUMBER(VLOOKUP(C35,Beräkningshjälp!$A$3:$E$42,2,FALSE)),N35&lt;&gt;""),"EST","AREA")),IF(OR(ISNUMBER(VLOOKUP(C35,Beräkningshjälp!$A$3:$E$42,2,FALSE)),N35&lt;&gt;""),"EST","AREA"))),IF(AND(G35&gt;0,B35&lt;&gt;""),IF(OR(ISNUMBER(VLOOKUP(C35,Beräkningshjälp!$A$3:$E$42,2,FALSE)),N35&lt;&gt;""),"EST","AREA"),""))</f>
        <v/>
      </c>
      <c r="L35" s="449" t="str">
        <f>IF(AND(K35&lt;&gt;"",B35&lt;&gt;""),IF(Protokoll!$H$13=3,IF(N35&lt;&gt;"",N35,IF(K35="ZIPP",(3*(2*D35+E35)-D35-E35-F35-((D35+E35+F35)^2+6*(2*D35+E35)*(D35+E35+F35)-3*(2*D35+E35)^2)^0.5)/(4*D35+2*E35),IF(ISNUMBER(VLOOKUP(C35,Beräkningshjälp!$A$3:$E$42,2,FALSE)),VLOOKUP(C35,Beräkningshjälp!$A$3:$E$42,2,FALSE),IF(B35&lt;&gt;"","-","")))),IF(Protokoll!$H$13=2,IF(N35&lt;&gt;"",N35,IF(K35="ZIPP",(D35-E35)/D35,IF(ISNUMBER(VLOOKUP(C35,Beräkningshjälp!$A$3:$E$42,2,FALSE)),VLOOKUP(C35,Beräkningshjälp!$A$3:$E$42,2,FALSE),IF(B35&lt;&gt;"","-","")))),IF(N35&lt;&gt;"",N35,IF(ISNUMBER(VLOOKUP(C35,Beräkningshjälp!$A$3:$E$42,2,FALSE)),VLOOKUP(C35,Beräkningshjälp!$A$3:$E$42,2,FALSE),IF(B35&lt;&gt;"","-",""))))),"")</f>
        <v/>
      </c>
      <c r="M35" s="449" t="str">
        <f>IF(B35&lt;&gt;"",IF(OR(G35=0,K35="AREA",Protokoll!$H$13="",Protokoll!$H$13=1),"",2*L35-L35^2+IF(Protokoll!$H$13=3,L35*(1-(2*L35-L35^2)),0)),"")</f>
        <v/>
      </c>
      <c r="N35" s="502"/>
      <c r="P35" s="461"/>
      <c r="Q35" s="2" t="str">
        <f>RIGHT(X35,LEN(X35)-2)&amp;" - "&amp;RIGHT(Y35,LEN(Y35)-2)</f>
        <v>146 - 150</v>
      </c>
      <c r="R35" s="136">
        <f>IF($B$1&lt;&gt;"",DCOUNT(Beräkningshjälp!$AC$2:$AI$1082,Beräkningshjälp!$AH$2,X34:Z35),0)</f>
        <v>0</v>
      </c>
      <c r="S35" s="513">
        <f>IF($B$1&lt;&gt;"",IF(AND($S$4&gt;=RIGHT(X35,LEN(X35)-2)*1,AND($S$4&lt;=RIGHT(Y35,LEN(Y35)-2)*1)),MAX(T$6:T$56),0),0)</f>
        <v>0</v>
      </c>
      <c r="T35" s="515">
        <f t="shared" si="0"/>
        <v>9</v>
      </c>
      <c r="U35" s="353" t="s">
        <v>1984</v>
      </c>
      <c r="V35" s="353" t="s">
        <v>1984</v>
      </c>
      <c r="W35" s="119" t="s">
        <v>75</v>
      </c>
      <c r="X35" s="442" t="str">
        <f>"&gt;="&amp;RIGHT(V34,LEN(V34)-2)*1+1</f>
        <v>&gt;=146</v>
      </c>
      <c r="Y35" s="445" t="str">
        <f>"&lt;="&amp;IF($B$3&lt;&gt;"",$B$3,5)+RIGHT(X35,LEN(X35)-2)*1-1</f>
        <v>&lt;=150</v>
      </c>
      <c r="Z35" s="551" t="str">
        <f>IF($W$6&lt;&gt;"",$W$6,"")</f>
        <v/>
      </c>
      <c r="AB35" s="115" t="s">
        <v>462</v>
      </c>
      <c r="AC35" t="s">
        <v>75</v>
      </c>
      <c r="AD35" t="s">
        <v>1984</v>
      </c>
      <c r="AE35" s="115" t="s">
        <v>1983</v>
      </c>
      <c r="AF35" s="115" t="s">
        <v>1983</v>
      </c>
      <c r="AG35" s="439" t="str">
        <f>IF($B38&lt;&gt;"",IF(ISNUMBER(VLOOKUP($B38,Artlista_alla,4,FALSE)),"0+",""),"")</f>
        <v/>
      </c>
      <c r="AH35" s="440" t="str">
        <f>$B38</f>
        <v/>
      </c>
      <c r="AI35" s="441" t="str">
        <f>IF(OR(VLOOKUP(AH35,$I$11:$M$22,3,FALSE)="X",AND(COUNTIF($B$27:$B$50,$B38)=2,VLOOKUP(AH35,$I$11:$M$22,3,FALSE)=0)),IF($B38=$B39,0,"&lt;10000"),IF(AND($B38&lt;&gt;"",$B38=$B37,$B38&lt;&gt;$B39),IF(ISNUMBER(VLOOKUP($B38,$I$11:$M$22,3,FALSE)),"&gt;"&amp;VLOOKUP($B38,$I$11:$M$22,3,FALSE),IF(ISNUMBER(RIGHT(VLOOKUP($B38,$I$11:$M$22,3,FALSE),LEN(VLOOKUP($B38,$I$11:$M$22,3,FALSE))-1)*1),"&gt;="&amp;RIGHT(VLOOKUP($B38,$I$11:$M$22,3,FALSE),LEN(VLOOKUP($B38,$I$11:$M$22,3,FALSE))-1),"&gt;"&amp;RIGHT(VLOOKUP($B38,$I$11:$M$22,3,FALSE),LEN(VLOOKUP($B38,$I$11:$M$22,3,FALSE))-2))),IF(AND($B38&lt;&gt;"",$B38=$B39,$B38&lt;&gt;$B37),IF(ISNUMBER(VLOOKUP($B38,$I$11:$M$22,3,FALSE)),"&lt;=","")&amp;VLOOKUP($B38,$I$11:$M$22,3,FALSE),"&lt;10000")))</f>
        <v>&lt;10000</v>
      </c>
      <c r="AJ35" s="352" t="s">
        <v>1995</v>
      </c>
      <c r="AK35" s="115">
        <v>2</v>
      </c>
    </row>
    <row r="36" spans="1:37" ht="13.8" thickBot="1" x14ac:dyDescent="0.3">
      <c r="A36" s="508" t="str">
        <f>IF(VLOOKUP(B36,Beräkningshjälp!$M$2:$U$60,4,FALSE)&gt;0,IF(ROUND((ROW(B35)-ROW(B$26))/2,0)=INT((ROW(B35)-ROW(B$26))/2),IF(DCOUNTA('Antal &amp; Längder (vikter)'!$O$10:$T$27,'Antal &amp; Längder (vikter)'!$Q$10,AC32:AC33)&lt;&gt;DCOUNT('Antal &amp; Längder (vikter)'!$O$10:$T$27,'Antal &amp; Längder (vikter)'!$R$10,AC32:AC33),"Icke längdmätta ej uppdelade 0+/&gt;0+",IF(AND(DCOUNT(Beräkningshjälp!$AB$2:$AI$1082,Beräkningshjälp!$AH$2,AC32:AC33)&gt;0,COUNTIF(B$27:B$50,B36)=1,VLOOKUP(B36,I$11:K$22,3,FALSE)=0),"Ange gräns 0+/&gt;0+ i fält K"&amp;10+B36&amp;" ovan","")),IF(DCOUNTA('Antal &amp; Längder (vikter)'!$O$10:$T$27,'Antal &amp; Längder (vikter)'!$Q$10,AH32:AH33)&lt;&gt;DCOUNT('Antal &amp; Längder (vikter)'!$O$10:$T$27,'Antal &amp; Längder (vikter)'!$R$10,AH32:AH33),"Icke längdmätta ej uppdelade 0+/&gt;0+",IF(AND(DCOUNT(Beräkningshjälp!$AB$2:$AI$1082,Beräkningshjälp!$AH$2,Artuppgifter!AH32:AH33)&gt;0,COUNTIF(B$27:B$50,B36)=1,VLOOKUP(B36,I$11:K$22,3,FALSE)=0),"Ange gräns 0+/&gt;0+ i fält K"&amp;10+B36&amp;" ovan",""))),"")</f>
        <v/>
      </c>
      <c r="B36" s="515" t="str">
        <f>IF(B35&lt;&gt;"",IF(AND(COUNTIF(B$26:B35,B35)=1,VLOOKUP(B35,Artlista_alla,4,FALSE)&gt;0,VLOOKUP(B35,I$11:M$22,3,FALSE)&gt;0,IF((ROW()-ROW($B$26))/2=INT((ROW()-ROW($B$26))/2),IF(ISNUMBER(DCOUNTA(Omätta,B35,AC31:AC32)),IF(DCOUNTA(Omätta,B35,AC31:AC32)&gt;0,AND(DCOUNTA(Omätta,AB31,AC31:AC32)&gt;0,DCOUNTA(Omätta,AB31,AC31:AC32)=DCOUNTA(Omätta,AC31,AC31:AC32)),TRUE),FALSE),IF(ISNUMBER(DCOUNTA(Omätta,B35,AH31:AH32)),IF(DCOUNTA(Omätta,B35,AH31:AH32)&gt;0,AND(DCOUNTA(Omätta,AG31,AH31:AH32)&gt;0,DCOUNTA(Omätta,AG31,AH31:AH32)=DCOUNTA(Omätta,AH31,AH31:AH32)),TRUE),FALSE))),B35,IF(COUNTIF(I$11:I$22,B35+1)&gt;0,B35+1,"")),"")</f>
        <v/>
      </c>
      <c r="C36" s="447" t="str">
        <f t="shared" si="4"/>
        <v/>
      </c>
      <c r="D36" s="447" t="str">
        <f>IF(B36&lt;&gt;"",IF(ROUND((ROW(C35)-ROW(C$26))/2,0)=INT((ROW(D35)-ROW(D$26))/2),DCOUNT(Beräkningshjälp!$AC$2:$AI$1082,Beräkningshjälp!AH$2,AC32:AE33)-DCOUNT(Beräkningshjälp!$AC$2:$AI$1082,Beräkningshjälp!AH$2,AC32:AF33)+IF(VLOOKUP(B36,Beräkningshjälp!$M$2:$U$60,4,FALSE)&gt;0,IF(B36=B37,DSUM('Antal &amp; Längder (vikter)'!$O$10:$T$27,'Antal &amp; Längder (vikter)'!$R$10,AB32:AC33),DSUM('Antal &amp; Längder (vikter)'!$O$10:$T$27,'Antal &amp; Längder (vikter)'!$R$10,AC32:AC33)-IF(B36=B35,DSUM('Antal &amp; Längder (vikter)'!$O$10:$T$27,'Antal &amp; Längder (vikter)'!$R$10,AB32:AC33),0)),DSUM('Antal &amp; Längder (vikter)'!$O$10:$T$27,'Antal &amp; Längder (vikter)'!$R$10,AC32:AC33)),DCOUNT(Beräkningshjälp!$AC$2:$AI$1082,Beräkningshjälp!AH$2,AH32:AJ33)-DCOUNT(Beräkningshjälp!$AC$2:$AI$1082,Beräkningshjälp!AH$2,AH32:AK33)+IF(VLOOKUP(B36,Beräkningshjälp!$M$2:$U$60,4,FALSE)&gt;0,IF(B36=B37,DSUM('Antal &amp; Längder (vikter)'!$O$10:$T$27,'Antal &amp; Längder (vikter)'!$R$10,AG32:AH33),DSUM('Antal &amp; Längder (vikter)'!$O$10:$T$27,'Antal &amp; Längder (vikter)'!$R$10,AH32:AH33)-IF(B36=B35,DSUM('Antal &amp; Längder (vikter)'!$O$10:$T$27,'Antal &amp; Längder (vikter)'!$R$10,AG32:AH33),0)),DSUM('Antal &amp; Längder (vikter)'!$O$10:$T$27,'Antal &amp; Längder (vikter)'!$R$10,AH32:AH33))),IF(C36="Totalt:",SUM(D$26:D35),""))</f>
        <v/>
      </c>
      <c r="E36" s="447" t="str">
        <f>IF(AND(B36&lt;&gt;"",protokollAntalutfisk&gt;1),IF(ROUND((ROW(C35)-ROW(C$26))/2,0)=INT((ROW(D35)-ROW(D$26))/2),DCOUNT(Beräkningshjälp!$AC$2:$AI$1082,Beräkningshjälp!AH$2,AC32:AF33)+IF(VLOOKUP(B36,Beräkningshjälp!$M$2:$U$60,4,FALSE)&gt;0,IF(B36=B37,DSUM('Antal &amp; Längder (vikter)'!$O$10:$T$27,'Antal &amp; Längder (vikter)'!$S$10,AB32:AC33),DSUM('Antal &amp; Längder (vikter)'!$O$10:$T$27,'Antal &amp; Längder (vikter)'!$S$10,AC32:AC33)-IF(B36=B35,DSUM('Antal &amp; Längder (vikter)'!$O$10:$T$27,'Antal &amp; Längder (vikter)'!$S$10,AB32:AC33),0)),DSUM('Antal &amp; Längder (vikter)'!$O$10:$T$27,'Antal &amp; Längder (vikter)'!$S$10,AC32:AC33)),DCOUNT(Beräkningshjälp!$AC$2:$AI$1082,Beräkningshjälp!AH$2,AH32:AK33)+IF(VLOOKUP(B36,Beräkningshjälp!$M$2:$U$60,4,FALSE)&gt;0,IF(B36=B37,DSUM('Antal &amp; Längder (vikter)'!$O$10:$T$27,'Antal &amp; Längder (vikter)'!$S$10,AG32:AH33),DSUM('Antal &amp; Längder (vikter)'!$O$10:$T$27,'Antal &amp; Längder (vikter)'!$S$10,AH32:AH33)-IF(B36=B35,DSUM('Antal &amp; Längder (vikter)'!$O$10:$T$27,'Antal &amp; Längder (vikter)'!$S$10,AG32:AH33),0)),DSUM('Antal &amp; Längder (vikter)'!$O$10:$T$27,'Antal &amp; Längder (vikter)'!$S$10,AH32:AH33))),IF(C36="Totalt:",SUM(E$26:E35),""))</f>
        <v/>
      </c>
      <c r="F36" s="447" t="str">
        <f>IF(AND(B36&lt;&gt;"",protokollAntalutfisk&gt;2),IF(ROUND((ROW(C35)-ROW(C$26))/2,0)=INT((ROW(D35)-ROW(D$26))/2),DCOUNT(Beräkningshjälp!$AC$2:$AI$1082,Beräkningshjälp!AH$2,AC32:AD33)-DCOUNT(Beräkningshjälp!$AC$2:$AI$1082,Beräkningshjälp!AH$2,AC32:AE33)+IF(VLOOKUP(B36,Beräkningshjälp!$M$2:$U$60,4,FALSE)&gt;0,IF(B36=B37,DSUM('Antal &amp; Längder (vikter)'!$O$10:$T$27,'Antal &amp; Längder (vikter)'!$T$10,AB32:AC33),DSUM('Antal &amp; Längder (vikter)'!$O$10:$T$27,'Antal &amp; Längder (vikter)'!$T$10,AC32:AC33)-IF(B36=B35,DSUM('Antal &amp; Längder (vikter)'!$O$10:$T$27,'Antal &amp; Längder (vikter)'!$T$10,AB32:AC33),0)),DSUM('Antal &amp; Längder (vikter)'!$O$10:$T$27,'Antal &amp; Längder (vikter)'!$T$10,AC32:AC33)),DCOUNT(Beräkningshjälp!$AC$2:$AI$1082,Beräkningshjälp!AH$2,AH32:AI33)-DCOUNT(Beräkningshjälp!$AC$2:$AI$1082,Beräkningshjälp!AH$2,AH32:AJ33)+IF(VLOOKUP(B36,Beräkningshjälp!$M$2:$U$60,4,FALSE)&gt;0,DSUM('Antal &amp; Längder (vikter)'!$O$10:$T$27,'Antal &amp; Längder (vikter)'!$T$10,AH32:AH33)-IF(B36=B35,DSUM('Antal &amp; Längder (vikter)'!$O$10:$T$27,'Antal &amp; Längder (vikter)'!$T$10,AG32:AH33),0),DSUM('Antal &amp; Längder (vikter)'!$O$10:$T$27,'Antal &amp; Längder (vikter)'!$T$10,AH32:AH33))),IF(C36="Totalt:",SUM(F$26:F35),""))</f>
        <v/>
      </c>
      <c r="G36" s="447" t="str">
        <f t="shared" si="5"/>
        <v/>
      </c>
      <c r="H36" s="450" t="str">
        <f>IF(AND(C36&lt;&gt;"Totalt:",SUM(G36)&gt;0),IF(Protokoll!$H$13=3,IF(OR(K36="AREA",K36="EST",N36&lt;&gt;""),IF(K36="AREA",G36,G36/((L36+L36*(1-L36))*(1-L36)+L36)),IF(OR(AND(L36&gt;=0.25,D36=E36,E36=F36),AND(L36&gt;=0.25,F36&gt;=D36)),IF(ISNUMBER(VLOOKUP(C36,Beräkningshjälp!$A$3:$E$42,2,FALSE)),G36/(VLOOKUP(C36,Beräkningshjälp!$A$3:$E$42,2,FALSE)/((L36+L36*(1-L36))*(1-L36)+L36)),G36),(6*(2*D36+E36)^2-(3*(2*D36+E36)*(D36+E36+F36))-(D36+E36+F36)^2+(D36+E36+F36)*(((D36+E36+F36)^2)+6*(2*D36+E36)*(D36+E36+F36)-3*(2*D36+E36)^2)^0.5)/(18*(D36-F36)))),IF(Protokoll!$H$13=2,IF(OR(K36="EST",N36&lt;&gt;""),G36/(L36+L36*(1-L36)),IF(E36&gt;=D36,IF(ISNUMBER(VLOOKUP(C36,Beräkningshjälp!$A$3:$E$42,2,FALSE)),G36/(VLOOKUP(C36,Beräkningshjälp!$A$3:$E$42,2,FALSE)/(L36+L36*(1-L36))),G36),IF(K36="AREA",G36,D36^2/(D36-E36)))),IF(OR(K36="EST",N36&lt;&gt;""),IF(N36&lt;&gt;"",G36/N36,IF(ISNUMBER(VLOOKUP(C36,Beräkningshjälp!$A$3:$E$42,2,FALSE)),G36/VLOOKUP(C36,Beräkningshjälp!$A$3:$E$42,2,FALSE),G36)),G36))),IF(C36="Totalt:",SUM(H$26:H35),IF(AND(G36&lt;&gt;"",G36=0),0,"")))</f>
        <v/>
      </c>
      <c r="I36" s="492" t="str">
        <f>IF(Protokoll!$AC$19&lt;&gt;"",IF(COUNT(H36)&gt;0,H36/Protokoll!$AC$19*100,""),"")</f>
        <v/>
      </c>
      <c r="J36" s="464" t="str">
        <f>IF(B36&lt;&gt;"",IF(H36&lt;&gt;"",IF(K36="ZIPP",IF(Protokoll!$H$13=3,(1.96*((H36*(1-(1-L36)^3)*(1-L36)^3)/((1-(1-L36)^3)^2-9*L36^2*(1-L36)^2))^0.5)/('DATA TILL SLU'!$Q$7/100),IF(Protokoll!$H$13=2,(1.96*D36*E36*(D36+E36)^0.5/(D36-E36)^2)/('DATA TILL SLU'!$Q$7/100),"")),"-"),""),"")</f>
        <v/>
      </c>
      <c r="K36" s="448" t="str">
        <f>IF(AND(D36&gt;0,G36&gt;0,B36&lt;&gt;""),IF(Protokoll!$H$13=3,IF(OR(AND(D36&gt;=E36,E36&gt;F36),AND(D36&gt;E36,E36&gt;=F36),AND(D36&lt;=E36,D36&gt;F36,D36&gt;F36),AND(D36&gt;=E36,D36&gt;=F36,E36&lt;&gt;F36)),IF((3*(2*D36+E36)-D36-E36-F36-((D36+E36+F36)^2+6*(2*D36+E36)*(D36+E36+F36)-3*(2*D36+E36)^2)^0.5)/(4*D36+2*E36)&gt;=0.25,IF(N36="","ZIPP","EST"),IF(OR(ISNUMBER(VLOOKUP(C36,Beräkningshjälp!$A$3:$E$42,2,FALSE)),N36&lt;&gt;""),"EST","AREA")),IF(OR(ISNUMBER(VLOOKUP(C36,Beräkningshjälp!$A$3:$E$42,2,FALSE)),N36&lt;&gt;""),"EST","AREA")),IF(Protokoll!$H$13=2,IF((D36-E36)/D36&gt;=0.25,IF(N36="","ZIPP","EST"),IF(OR(ISNUMBER(VLOOKUP(C36,Beräkningshjälp!$A$3:$E$42,2,FALSE)),N36&lt;&gt;""),"EST","AREA")),IF(OR(ISNUMBER(VLOOKUP(C36,Beräkningshjälp!$A$3:$E$42,2,FALSE)),N36&lt;&gt;""),"EST","AREA"))),IF(AND(G36&gt;0,B36&lt;&gt;""),IF(OR(ISNUMBER(VLOOKUP(C36,Beräkningshjälp!$A$3:$E$42,2,FALSE)),N36&lt;&gt;""),"EST","AREA"),""))</f>
        <v/>
      </c>
      <c r="L36" s="449" t="str">
        <f>IF(AND(K36&lt;&gt;"",B36&lt;&gt;""),IF(Protokoll!$H$13=3,IF(N36&lt;&gt;"",N36,IF(K36="ZIPP",(3*(2*D36+E36)-D36-E36-F36-((D36+E36+F36)^2+6*(2*D36+E36)*(D36+E36+F36)-3*(2*D36+E36)^2)^0.5)/(4*D36+2*E36),IF(ISNUMBER(VLOOKUP(C36,Beräkningshjälp!$A$3:$E$42,2,FALSE)),VLOOKUP(C36,Beräkningshjälp!$A$3:$E$42,2,FALSE),IF(B36&lt;&gt;"","-","")))),IF(Protokoll!$H$13=2,IF(N36&lt;&gt;"",N36,IF(K36="ZIPP",(D36-E36)/D36,IF(ISNUMBER(VLOOKUP(C36,Beräkningshjälp!$A$3:$E$42,2,FALSE)),VLOOKUP(C36,Beräkningshjälp!$A$3:$E$42,2,FALSE),IF(B36&lt;&gt;"","-","")))),IF(N36&lt;&gt;"",N36,IF(ISNUMBER(VLOOKUP(C36,Beräkningshjälp!$A$3:$E$42,2,FALSE)),VLOOKUP(C36,Beräkningshjälp!$A$3:$E$42,2,FALSE),IF(B36&lt;&gt;"","-",""))))),"")</f>
        <v/>
      </c>
      <c r="M36" s="449" t="str">
        <f>IF(B36&lt;&gt;"",IF(OR(G36=0,K36="AREA",Protokoll!$H$13="",Protokoll!$H$13=1),"",2*L36-L36^2+IF(Protokoll!$H$13=3,L36*(1-(2*L36-L36^2)),0)),"")</f>
        <v/>
      </c>
      <c r="N36" s="502"/>
      <c r="P36" s="461"/>
      <c r="Q36" s="2" t="str">
        <f>RIGHT(U36,LEN(U36)-2)&amp;" - "&amp;RIGHT(V36,LEN(V36)-2)</f>
        <v>151 - 155</v>
      </c>
      <c r="R36" s="136">
        <f>IF($B$1&lt;&gt;"",DCOUNT(Beräkningshjälp!$AC$2:$AI$1082,Beräkningshjälp!$AH$2,U35:W36),0)</f>
        <v>0</v>
      </c>
      <c r="S36" s="513">
        <f>IF($B$1&lt;&gt;"",IF(AND($S$4&gt;=RIGHT(U36,LEN(U36)-2)*1,AND($S$4&lt;=RIGHT(V36,LEN(V36)-2)*1)),MAX(T$6:T$56),0),0)</f>
        <v>0</v>
      </c>
      <c r="T36" s="515">
        <f t="shared" si="0"/>
        <v>9</v>
      </c>
      <c r="U36" s="445" t="str">
        <f>"&gt;="&amp;RIGHT(Y35,LEN(Y35)-2)*1+1</f>
        <v>&gt;=151</v>
      </c>
      <c r="V36" s="444" t="str">
        <f>"&lt;="&amp;IF($B$3&lt;&gt;"",$B$3,5)+RIGHT(U36,LEN(U36)-2)*1-1</f>
        <v>&lt;=155</v>
      </c>
      <c r="W36" s="551" t="str">
        <f>IF($W$6&lt;&gt;"",$W$6,"")</f>
        <v/>
      </c>
      <c r="X36" s="353" t="s">
        <v>1984</v>
      </c>
      <c r="Y36" s="353" t="s">
        <v>1984</v>
      </c>
      <c r="Z36" s="119" t="s">
        <v>75</v>
      </c>
      <c r="AB36" s="439" t="str">
        <f>IF($B39&lt;&gt;"",IF(ISNUMBER(VLOOKUP($B39,Artlista_alla,4,FALSE)),"0+",""),"")</f>
        <v/>
      </c>
      <c r="AC36" s="440" t="str">
        <f>$B39</f>
        <v/>
      </c>
      <c r="AD36" s="441" t="str">
        <f>IF(OR(VLOOKUP(AC36,$I$11:$M$22,3,FALSE)="X",AND(COUNTIF($B$27:$B$50,$B39)=2,VLOOKUP(AC36,$I$11:$M$22,3,FALSE)=0)),IF($B39=$B40,0,"&lt;10000"),IF(AND($B39&lt;&gt;"",$B39=$B38,$B39&lt;&gt;$B40),IF(ISNUMBER(VLOOKUP($B39,$I$11:$M$22,3,FALSE)),"&gt;"&amp;VLOOKUP($B39,$I$11:$M$22,3,FALSE),IF(ISNUMBER(RIGHT(VLOOKUP($B39,$I$11:$M$22,3,FALSE),LEN(VLOOKUP($B39,$I$11:$M$22,3,FALSE))-1)*1),"&gt;="&amp;RIGHT(VLOOKUP($B39,$I$11:$M$22,3,FALSE),LEN(VLOOKUP($B39,$I$11:$M$22,3,FALSE))-1),"&gt;"&amp;RIGHT(VLOOKUP($B39,$I$11:$M$22,3,FALSE),LEN(VLOOKUP($B39,$I$11:$M$22,3,FALSE))-2))),IF(AND($B39&lt;&gt;"",$B39=$B40,$B39&lt;&gt;$B38),IF(ISNUMBER(VLOOKUP($B39,$I$11:$M$22,3,FALSE)),"&lt;=","")&amp;VLOOKUP($B39,$I$11:$M$22,3,FALSE),"&lt;10000")))</f>
        <v>&lt;10000</v>
      </c>
      <c r="AE36" s="352" t="s">
        <v>1995</v>
      </c>
      <c r="AF36" s="115">
        <v>2</v>
      </c>
      <c r="AG36" s="115" t="s">
        <v>462</v>
      </c>
      <c r="AH36" t="s">
        <v>75</v>
      </c>
      <c r="AI36" t="s">
        <v>1984</v>
      </c>
      <c r="AJ36" s="115" t="s">
        <v>1983</v>
      </c>
      <c r="AK36" s="115" t="s">
        <v>1983</v>
      </c>
    </row>
    <row r="37" spans="1:37" ht="13.8" thickBot="1" x14ac:dyDescent="0.3">
      <c r="A37" s="508" t="str">
        <f>IF(VLOOKUP(B37,Beräkningshjälp!$M$2:$U$60,4,FALSE)&gt;0,IF(ROUND((ROW(B36)-ROW(B$26))/2,0)=INT((ROW(B36)-ROW(B$26))/2),IF(DCOUNTA('Antal &amp; Längder (vikter)'!$O$10:$T$27,'Antal &amp; Längder (vikter)'!$Q$10,AC33:AC34)&lt;&gt;DCOUNT('Antal &amp; Längder (vikter)'!$O$10:$T$27,'Antal &amp; Längder (vikter)'!$R$10,AC33:AC34),"Icke längdmätta ej uppdelade 0+/&gt;0+",IF(AND(DCOUNT(Beräkningshjälp!$AB$2:$AI$1082,Beräkningshjälp!$AH$2,AC33:AC34)&gt;0,COUNTIF(B$27:B$50,B37)=1,VLOOKUP(B37,I$11:K$22,3,FALSE)=0),"Ange gräns 0+/&gt;0+ i fält K"&amp;10+B37&amp;" ovan","")),IF(DCOUNTA('Antal &amp; Längder (vikter)'!$O$10:$T$27,'Antal &amp; Längder (vikter)'!$Q$10,AH33:AH34)&lt;&gt;DCOUNT('Antal &amp; Längder (vikter)'!$O$10:$T$27,'Antal &amp; Längder (vikter)'!$R$10,AH33:AH34),"Icke längdmätta ej uppdelade 0+/&gt;0+",IF(AND(DCOUNT(Beräkningshjälp!$AB$2:$AI$1082,Beräkningshjälp!$AH$2,Artuppgifter!AH33:AH34)&gt;0,COUNTIF(B$27:B$50,B37)=1,VLOOKUP(B37,I$11:K$22,3,FALSE)=0),"Ange gräns 0+/&gt;0+ i fält K"&amp;10+B37&amp;" ovan",""))),"")</f>
        <v/>
      </c>
      <c r="B37" s="515" t="str">
        <f>IF(B36&lt;&gt;"",IF(AND(COUNTIF(B$26:B36,B36)=1,VLOOKUP(B36,Artlista_alla,4,FALSE)&gt;0,VLOOKUP(B36,I$11:M$22,3,FALSE)&gt;0,IF((ROW()-ROW($B$26))/2=INT((ROW()-ROW($B$26))/2),IF(ISNUMBER(DCOUNTA(Omätta,B36,AC32:AC33)),IF(DCOUNTA(Omätta,B36,AC32:AC33)&gt;0,AND(DCOUNTA(Omätta,AB32,AC32:AC33)&gt;0,DCOUNTA(Omätta,AB32,AC32:AC33)=DCOUNTA(Omätta,AC32,AC32:AC33)),TRUE),FALSE),IF(ISNUMBER(DCOUNTA(Omätta,B36,AH32:AH33)),IF(DCOUNTA(Omätta,B36,AH32:AH33)&gt;0,AND(DCOUNTA(Omätta,AG32,AH32:AH33)&gt;0,DCOUNTA(Omätta,AG32,AH32:AH33)=DCOUNTA(Omätta,AH32,AH32:AH33)),TRUE),FALSE))),B36,IF(COUNTIF(I$11:I$22,B36+1)&gt;0,B36+1,"")),"")</f>
        <v/>
      </c>
      <c r="C37" s="447" t="str">
        <f t="shared" si="4"/>
        <v/>
      </c>
      <c r="D37" s="447" t="str">
        <f>IF(B37&lt;&gt;"",IF(ROUND((ROW(C36)-ROW(C$26))/2,0)=INT((ROW(D36)-ROW(D$26))/2),DCOUNT(Beräkningshjälp!$AC$2:$AI$1082,Beräkningshjälp!AH$2,AC33:AE34)-DCOUNT(Beräkningshjälp!$AC$2:$AI$1082,Beräkningshjälp!AH$2,AC33:AF34)+IF(VLOOKUP(B37,Beräkningshjälp!$M$2:$U$60,4,FALSE)&gt;0,IF(B37=B38,DSUM('Antal &amp; Längder (vikter)'!$O$10:$T$27,'Antal &amp; Längder (vikter)'!$R$10,AB33:AC34),DSUM('Antal &amp; Längder (vikter)'!$O$10:$T$27,'Antal &amp; Längder (vikter)'!$R$10,AC33:AC34)-IF(B37=B36,DSUM('Antal &amp; Längder (vikter)'!$O$10:$T$27,'Antal &amp; Längder (vikter)'!$R$10,AB33:AC34),0)),DSUM('Antal &amp; Längder (vikter)'!$O$10:$T$27,'Antal &amp; Längder (vikter)'!$R$10,AC33:AC34)),DCOUNT(Beräkningshjälp!$AC$2:$AI$1082,Beräkningshjälp!AH$2,AH33:AJ34)-DCOUNT(Beräkningshjälp!$AC$2:$AI$1082,Beräkningshjälp!AH$2,AH33:AK34)+IF(VLOOKUP(B37,Beräkningshjälp!$M$2:$U$60,4,FALSE)&gt;0,IF(B37=B38,DSUM('Antal &amp; Längder (vikter)'!$O$10:$T$27,'Antal &amp; Längder (vikter)'!$R$10,AG33:AH34),DSUM('Antal &amp; Längder (vikter)'!$O$10:$T$27,'Antal &amp; Längder (vikter)'!$R$10,AH33:AH34)-IF(B37=B36,DSUM('Antal &amp; Längder (vikter)'!$O$10:$T$27,'Antal &amp; Längder (vikter)'!$R$10,AG33:AH34),0)),DSUM('Antal &amp; Längder (vikter)'!$O$10:$T$27,'Antal &amp; Längder (vikter)'!$R$10,AH33:AH34))),IF(C37="Totalt:",SUM(D$26:D36),""))</f>
        <v/>
      </c>
      <c r="E37" s="447" t="str">
        <f>IF(AND(B37&lt;&gt;"",protokollAntalutfisk&gt;1),IF(ROUND((ROW(C36)-ROW(C$26))/2,0)=INT((ROW(D36)-ROW(D$26))/2),DCOUNT(Beräkningshjälp!$AC$2:$AI$1082,Beräkningshjälp!AH$2,AC33:AF34)+IF(VLOOKUP(B37,Beräkningshjälp!$M$2:$U$60,4,FALSE)&gt;0,IF(B37=B38,DSUM('Antal &amp; Längder (vikter)'!$O$10:$T$27,'Antal &amp; Längder (vikter)'!$S$10,AB33:AC34),DSUM('Antal &amp; Längder (vikter)'!$O$10:$T$27,'Antal &amp; Längder (vikter)'!$S$10,AC33:AC34)-IF(B37=B36,DSUM('Antal &amp; Längder (vikter)'!$O$10:$T$27,'Antal &amp; Längder (vikter)'!$S$10,AB33:AC34),0)),DSUM('Antal &amp; Längder (vikter)'!$O$10:$T$27,'Antal &amp; Längder (vikter)'!$S$10,AC33:AC34)),DCOUNT(Beräkningshjälp!$AC$2:$AI$1082,Beräkningshjälp!AH$2,AH33:AK34)+IF(VLOOKUP(B37,Beräkningshjälp!$M$2:$U$60,4,FALSE)&gt;0,IF(B37=B38,DSUM('Antal &amp; Längder (vikter)'!$O$10:$T$27,'Antal &amp; Längder (vikter)'!$S$10,AG33:AH34),DSUM('Antal &amp; Längder (vikter)'!$O$10:$T$27,'Antal &amp; Längder (vikter)'!$S$10,AH33:AH34)-IF(B37=B36,DSUM('Antal &amp; Längder (vikter)'!$O$10:$T$27,'Antal &amp; Längder (vikter)'!$S$10,AG33:AH34),0)),DSUM('Antal &amp; Längder (vikter)'!$O$10:$T$27,'Antal &amp; Längder (vikter)'!$S$10,AH33:AH34))),IF(C37="Totalt:",SUM(E$26:E36),""))</f>
        <v/>
      </c>
      <c r="F37" s="447" t="str">
        <f>IF(AND(B37&lt;&gt;"",protokollAntalutfisk&gt;2),IF(ROUND((ROW(C36)-ROW(C$26))/2,0)=INT((ROW(D36)-ROW(D$26))/2),DCOUNT(Beräkningshjälp!$AC$2:$AI$1082,Beräkningshjälp!AH$2,AC33:AD34)-DCOUNT(Beräkningshjälp!$AC$2:$AI$1082,Beräkningshjälp!AH$2,AC33:AE34)+IF(VLOOKUP(B37,Beräkningshjälp!$M$2:$U$60,4,FALSE)&gt;0,IF(B37=B38,DSUM('Antal &amp; Längder (vikter)'!$O$10:$T$27,'Antal &amp; Längder (vikter)'!$T$10,AB33:AC34),DSUM('Antal &amp; Längder (vikter)'!$O$10:$T$27,'Antal &amp; Längder (vikter)'!$T$10,AC33:AC34)-IF(B37=B36,DSUM('Antal &amp; Längder (vikter)'!$O$10:$T$27,'Antal &amp; Längder (vikter)'!$T$10,AB33:AC34),0)),DSUM('Antal &amp; Längder (vikter)'!$O$10:$T$27,'Antal &amp; Längder (vikter)'!$T$10,AC33:AC34)),DCOUNT(Beräkningshjälp!$AC$2:$AI$1082,Beräkningshjälp!AH$2,AH33:AI34)-DCOUNT(Beräkningshjälp!$AC$2:$AI$1082,Beräkningshjälp!AH$2,AH33:AJ34)+IF(VLOOKUP(B37,Beräkningshjälp!$M$2:$U$60,4,FALSE)&gt;0,DSUM('Antal &amp; Längder (vikter)'!$O$10:$T$27,'Antal &amp; Längder (vikter)'!$T$10,AH33:AH34)-IF(B37=B36,DSUM('Antal &amp; Längder (vikter)'!$O$10:$T$27,'Antal &amp; Längder (vikter)'!$T$10,AG33:AH34),0),DSUM('Antal &amp; Längder (vikter)'!$O$10:$T$27,'Antal &amp; Längder (vikter)'!$T$10,AH33:AH34))),IF(C37="Totalt:",SUM(F$26:F36),""))</f>
        <v/>
      </c>
      <c r="G37" s="447" t="str">
        <f t="shared" si="5"/>
        <v/>
      </c>
      <c r="H37" s="450" t="str">
        <f>IF(AND(C37&lt;&gt;"Totalt:",SUM(G37)&gt;0),IF(Protokoll!$H$13=3,IF(OR(K37="AREA",K37="EST",N37&lt;&gt;""),IF(K37="AREA",G37,G37/((L37+L37*(1-L37))*(1-L37)+L37)),IF(OR(AND(L37&gt;=0.25,D37=E37,E37=F37),AND(L37&gt;=0.25,F37&gt;=D37)),IF(ISNUMBER(VLOOKUP(C37,Beräkningshjälp!$A$3:$E$42,2,FALSE)),G37/(VLOOKUP(C37,Beräkningshjälp!$A$3:$E$42,2,FALSE)/((L37+L37*(1-L37))*(1-L37)+L37)),G37),(6*(2*D37+E37)^2-(3*(2*D37+E37)*(D37+E37+F37))-(D37+E37+F37)^2+(D37+E37+F37)*(((D37+E37+F37)^2)+6*(2*D37+E37)*(D37+E37+F37)-3*(2*D37+E37)^2)^0.5)/(18*(D37-F37)))),IF(Protokoll!$H$13=2,IF(OR(K37="EST",N37&lt;&gt;""),G37/(L37+L37*(1-L37)),IF(E37&gt;=D37,IF(ISNUMBER(VLOOKUP(C37,Beräkningshjälp!$A$3:$E$42,2,FALSE)),G37/(VLOOKUP(C37,Beräkningshjälp!$A$3:$E$42,2,FALSE)/(L37+L37*(1-L37))),G37),IF(K37="AREA",G37,D37^2/(D37-E37)))),IF(OR(K37="EST",N37&lt;&gt;""),IF(N37&lt;&gt;"",G37/N37,IF(ISNUMBER(VLOOKUP(C37,Beräkningshjälp!$A$3:$E$42,2,FALSE)),G37/VLOOKUP(C37,Beräkningshjälp!$A$3:$E$42,2,FALSE),G37)),G37))),IF(C37="Totalt:",SUM(H$26:H36),IF(AND(G37&lt;&gt;"",G37=0),0,"")))</f>
        <v/>
      </c>
      <c r="I37" s="492" t="str">
        <f>IF(Protokoll!$AC$19&lt;&gt;"",IF(COUNT(H37)&gt;0,H37/Protokoll!$AC$19*100,""),"")</f>
        <v/>
      </c>
      <c r="J37" s="464" t="str">
        <f>IF(B37&lt;&gt;"",IF(H37&lt;&gt;"",IF(K37="ZIPP",IF(Protokoll!$H$13=3,(1.96*((H37*(1-(1-L37)^3)*(1-L37)^3)/((1-(1-L37)^3)^2-9*L37^2*(1-L37)^2))^0.5)/('DATA TILL SLU'!$Q$7/100),IF(Protokoll!$H$13=2,(1.96*D37*E37*(D37+E37)^0.5/(D37-E37)^2)/('DATA TILL SLU'!$Q$7/100),"")),"-"),""),"")</f>
        <v/>
      </c>
      <c r="K37" s="448" t="str">
        <f>IF(AND(D37&gt;0,G37&gt;0,B37&lt;&gt;""),IF(Protokoll!$H$13=3,IF(OR(AND(D37&gt;=E37,E37&gt;F37),AND(D37&gt;E37,E37&gt;=F37),AND(D37&lt;=E37,D37&gt;F37,D37&gt;F37),AND(D37&gt;=E37,D37&gt;=F37,E37&lt;&gt;F37)),IF((3*(2*D37+E37)-D37-E37-F37-((D37+E37+F37)^2+6*(2*D37+E37)*(D37+E37+F37)-3*(2*D37+E37)^2)^0.5)/(4*D37+2*E37)&gt;=0.25,IF(N37="","ZIPP","EST"),IF(OR(ISNUMBER(VLOOKUP(C37,Beräkningshjälp!$A$3:$E$42,2,FALSE)),N37&lt;&gt;""),"EST","AREA")),IF(OR(ISNUMBER(VLOOKUP(C37,Beräkningshjälp!$A$3:$E$42,2,FALSE)),N37&lt;&gt;""),"EST","AREA")),IF(Protokoll!$H$13=2,IF((D37-E37)/D37&gt;=0.25,IF(N37="","ZIPP","EST"),IF(OR(ISNUMBER(VLOOKUP(C37,Beräkningshjälp!$A$3:$E$42,2,FALSE)),N37&lt;&gt;""),"EST","AREA")),IF(OR(ISNUMBER(VLOOKUP(C37,Beräkningshjälp!$A$3:$E$42,2,FALSE)),N37&lt;&gt;""),"EST","AREA"))),IF(AND(G37&gt;0,B37&lt;&gt;""),IF(OR(ISNUMBER(VLOOKUP(C37,Beräkningshjälp!$A$3:$E$42,2,FALSE)),N37&lt;&gt;""),"EST","AREA"),""))</f>
        <v/>
      </c>
      <c r="L37" s="449" t="str">
        <f>IF(AND(K37&lt;&gt;"",B37&lt;&gt;""),IF(Protokoll!$H$13=3,IF(N37&lt;&gt;"",N37,IF(K37="ZIPP",(3*(2*D37+E37)-D37-E37-F37-((D37+E37+F37)^2+6*(2*D37+E37)*(D37+E37+F37)-3*(2*D37+E37)^2)^0.5)/(4*D37+2*E37),IF(ISNUMBER(VLOOKUP(C37,Beräkningshjälp!$A$3:$E$42,2,FALSE)),VLOOKUP(C37,Beräkningshjälp!$A$3:$E$42,2,FALSE),IF(B37&lt;&gt;"","-","")))),IF(Protokoll!$H$13=2,IF(N37&lt;&gt;"",N37,IF(K37="ZIPP",(D37-E37)/D37,IF(ISNUMBER(VLOOKUP(C37,Beräkningshjälp!$A$3:$E$42,2,FALSE)),VLOOKUP(C37,Beräkningshjälp!$A$3:$E$42,2,FALSE),IF(B37&lt;&gt;"","-","")))),IF(N37&lt;&gt;"",N37,IF(ISNUMBER(VLOOKUP(C37,Beräkningshjälp!$A$3:$E$42,2,FALSE)),VLOOKUP(C37,Beräkningshjälp!$A$3:$E$42,2,FALSE),IF(B37&lt;&gt;"","-",""))))),"")</f>
        <v/>
      </c>
      <c r="M37" s="449" t="str">
        <f>IF(B37&lt;&gt;"",IF(OR(G37=0,K37="AREA",Protokoll!$H$13="",Protokoll!$H$13=1),"",2*L37-L37^2+IF(Protokoll!$H$13=3,L37*(1-(2*L37-L37^2)),0)),"")</f>
        <v/>
      </c>
      <c r="N37" s="502"/>
      <c r="O37" s="461"/>
      <c r="P37" s="461"/>
      <c r="Q37" s="2" t="str">
        <f>RIGHT(X37,LEN(X37)-2)&amp;" - "&amp;RIGHT(Y37,LEN(Y37)-2)</f>
        <v>156 - 160</v>
      </c>
      <c r="R37" s="136">
        <f>IF($B$1&lt;&gt;"",DCOUNT(Beräkningshjälp!$AC$2:$AI$1082,Beräkningshjälp!$AH$2,X36:Z37),0)</f>
        <v>0</v>
      </c>
      <c r="S37" s="513">
        <f>IF($B$1&lt;&gt;"",IF(AND($S$4&gt;=RIGHT(X37,LEN(X37)-2)*1,AND($S$4&lt;=RIGHT(Y37,LEN(Y37)-2)*1)),MAX(T$6:T$56),0),0)</f>
        <v>0</v>
      </c>
      <c r="T37" s="515">
        <f t="shared" si="0"/>
        <v>9</v>
      </c>
      <c r="U37" s="353" t="s">
        <v>1984</v>
      </c>
      <c r="V37" s="353" t="s">
        <v>1984</v>
      </c>
      <c r="W37" s="119" t="s">
        <v>75</v>
      </c>
      <c r="X37" s="442" t="str">
        <f>"&gt;="&amp;RIGHT(V36,LEN(V36)-2)*1+1</f>
        <v>&gt;=156</v>
      </c>
      <c r="Y37" s="445" t="str">
        <f>"&lt;="&amp;IF($B$3&lt;&gt;"",$B$3,5)+RIGHT(X37,LEN(X37)-2)*1-1</f>
        <v>&lt;=160</v>
      </c>
      <c r="Z37" s="551" t="str">
        <f>IF($W$6&lt;&gt;"",$W$6,"")</f>
        <v/>
      </c>
      <c r="AB37" s="115" t="s">
        <v>462</v>
      </c>
      <c r="AC37" t="s">
        <v>75</v>
      </c>
      <c r="AD37" t="s">
        <v>1984</v>
      </c>
      <c r="AE37" s="115" t="s">
        <v>1983</v>
      </c>
      <c r="AF37" s="115" t="s">
        <v>1983</v>
      </c>
      <c r="AG37" s="439" t="str">
        <f>IF($B40&lt;&gt;"",IF(ISNUMBER(VLOOKUP($B40,Artlista_alla,4,FALSE)),"0+",""),"")</f>
        <v/>
      </c>
      <c r="AH37" s="440" t="str">
        <f>$B40</f>
        <v/>
      </c>
      <c r="AI37" s="441" t="str">
        <f>IF(OR(VLOOKUP(AH37,$I$11:$M$22,3,FALSE)="X",AND(COUNTIF($B$27:$B$50,$B40)=2,VLOOKUP(AH37,$I$11:$M$22,3,FALSE)=0)),IF($B40=$B41,0,"&lt;10000"),IF(AND($B40&lt;&gt;"",$B40=$B39,$B40&lt;&gt;$B41),IF(ISNUMBER(VLOOKUP($B40,$I$11:$M$22,3,FALSE)),"&gt;"&amp;VLOOKUP($B40,$I$11:$M$22,3,FALSE),IF(ISNUMBER(RIGHT(VLOOKUP($B40,$I$11:$M$22,3,FALSE),LEN(VLOOKUP($B40,$I$11:$M$22,3,FALSE))-1)*1),"&gt;="&amp;RIGHT(VLOOKUP($B40,$I$11:$M$22,3,FALSE),LEN(VLOOKUP($B40,$I$11:$M$22,3,FALSE))-1),"&gt;"&amp;RIGHT(VLOOKUP($B40,$I$11:$M$22,3,FALSE),LEN(VLOOKUP($B40,$I$11:$M$22,3,FALSE))-2))),IF(AND($B40&lt;&gt;"",$B40=$B41,$B40&lt;&gt;$B39),IF(ISNUMBER(VLOOKUP($B40,$I$11:$M$22,3,FALSE)),"&lt;=","")&amp;VLOOKUP($B40,$I$11:$M$22,3,FALSE),"&lt;10000")))</f>
        <v>&lt;10000</v>
      </c>
      <c r="AJ37" s="352" t="s">
        <v>1995</v>
      </c>
      <c r="AK37" s="115">
        <v>2</v>
      </c>
    </row>
    <row r="38" spans="1:37" ht="13.8" thickBot="1" x14ac:dyDescent="0.3">
      <c r="A38" s="508" t="str">
        <f>IF(VLOOKUP(B38,Beräkningshjälp!$M$2:$U$60,4,FALSE)&gt;0,IF(ROUND((ROW(B37)-ROW(B$26))/2,0)=INT((ROW(B37)-ROW(B$26))/2),IF(DCOUNTA('Antal &amp; Längder (vikter)'!$O$10:$T$27,'Antal &amp; Längder (vikter)'!$Q$10,AC34:AC35)&lt;&gt;DCOUNT('Antal &amp; Längder (vikter)'!$O$10:$T$27,'Antal &amp; Längder (vikter)'!$R$10,AC34:AC35),"Icke längdmätta ej uppdelade 0+/&gt;0+",IF(AND(DCOUNT(Beräkningshjälp!$AB$2:$AI$1082,Beräkningshjälp!$AH$2,AC34:AC35)&gt;0,COUNTIF(B$27:B$50,B38)=1,VLOOKUP(B38,I$11:K$22,3,FALSE)=0),"Ange gräns 0+/&gt;0+ i fält K"&amp;10+B38&amp;" ovan","")),IF(DCOUNTA('Antal &amp; Längder (vikter)'!$O$10:$T$27,'Antal &amp; Längder (vikter)'!$Q$10,AH34:AH35)&lt;&gt;DCOUNT('Antal &amp; Längder (vikter)'!$O$10:$T$27,'Antal &amp; Längder (vikter)'!$R$10,AH34:AH35),"Icke längdmätta ej uppdelade 0+/&gt;0+",IF(AND(DCOUNT(Beräkningshjälp!$AB$2:$AI$1082,Beräkningshjälp!$AH$2,Artuppgifter!AH34:AH35)&gt;0,COUNTIF(B$27:B$50,B38)=1,VLOOKUP(B38,I$11:K$22,3,FALSE)=0),"Ange gräns 0+/&gt;0+ i fält K"&amp;10+B38&amp;" ovan",""))),"")</f>
        <v/>
      </c>
      <c r="B38" s="515" t="str">
        <f>IF(B37&lt;&gt;"",IF(AND(COUNTIF(B$26:B37,B37)=1,VLOOKUP(B37,Artlista_alla,4,FALSE)&gt;0,VLOOKUP(B37,I$11:M$22,3,FALSE)&gt;0,IF((ROW()-ROW($B$26))/2=INT((ROW()-ROW($B$26))/2),IF(ISNUMBER(DCOUNTA(Omätta,B37,AC33:AC34)),IF(DCOUNTA(Omätta,B37,AC33:AC34)&gt;0,AND(DCOUNTA(Omätta,AB33,AC33:AC34)&gt;0,DCOUNTA(Omätta,AB33,AC33:AC34)=DCOUNTA(Omätta,AC33,AC33:AC34)),TRUE),FALSE),IF(ISNUMBER(DCOUNTA(Omätta,B37,AH33:AH34)),IF(DCOUNTA(Omätta,B37,AH33:AH34)&gt;0,AND(DCOUNTA(Omätta,AG33,AH33:AH34)&gt;0,DCOUNTA(Omätta,AG33,AH33:AH34)=DCOUNTA(Omätta,AH33,AH33:AH34)),TRUE),FALSE))),B37,IF(COUNTIF(I$11:I$22,B37+1)&gt;0,B37+1,"")),"")</f>
        <v/>
      </c>
      <c r="C38" s="447" t="str">
        <f t="shared" si="4"/>
        <v/>
      </c>
      <c r="D38" s="447" t="str">
        <f>IF(B38&lt;&gt;"",IF(ROUND((ROW(C37)-ROW(C$26))/2,0)=INT((ROW(D37)-ROW(D$26))/2),DCOUNT(Beräkningshjälp!$AC$2:$AI$1082,Beräkningshjälp!AH$2,AC34:AE35)-DCOUNT(Beräkningshjälp!$AC$2:$AI$1082,Beräkningshjälp!AH$2,AC34:AF35)+IF(VLOOKUP(B38,Beräkningshjälp!$M$2:$U$60,4,FALSE)&gt;0,IF(B38=B39,DSUM('Antal &amp; Längder (vikter)'!$O$10:$T$27,'Antal &amp; Längder (vikter)'!$R$10,AB34:AC35),DSUM('Antal &amp; Längder (vikter)'!$O$10:$T$27,'Antal &amp; Längder (vikter)'!$R$10,AC34:AC35)-IF(B38=B37,DSUM('Antal &amp; Längder (vikter)'!$O$10:$T$27,'Antal &amp; Längder (vikter)'!$R$10,AB34:AC35),0)),DSUM('Antal &amp; Längder (vikter)'!$O$10:$T$27,'Antal &amp; Längder (vikter)'!$R$10,AC34:AC35)),DCOUNT(Beräkningshjälp!$AC$2:$AI$1082,Beräkningshjälp!AH$2,AH34:AJ35)-DCOUNT(Beräkningshjälp!$AC$2:$AI$1082,Beräkningshjälp!AH$2,AH34:AK35)+IF(VLOOKUP(B38,Beräkningshjälp!$M$2:$U$60,4,FALSE)&gt;0,IF(B38=B39,DSUM('Antal &amp; Längder (vikter)'!$O$10:$T$27,'Antal &amp; Längder (vikter)'!$R$10,AG34:AH35),DSUM('Antal &amp; Längder (vikter)'!$O$10:$T$27,'Antal &amp; Längder (vikter)'!$R$10,AH34:AH35)-IF(B38=B37,DSUM('Antal &amp; Längder (vikter)'!$O$10:$T$27,'Antal &amp; Längder (vikter)'!$R$10,AG34:AH35),0)),DSUM('Antal &amp; Längder (vikter)'!$O$10:$T$27,'Antal &amp; Längder (vikter)'!$R$10,AH34:AH35))),IF(C38="Totalt:",SUM(D$26:D37),""))</f>
        <v/>
      </c>
      <c r="E38" s="447" t="str">
        <f>IF(AND(B38&lt;&gt;"",protokollAntalutfisk&gt;1),IF(ROUND((ROW(C37)-ROW(C$26))/2,0)=INT((ROW(D37)-ROW(D$26))/2),DCOUNT(Beräkningshjälp!$AC$2:$AI$1082,Beräkningshjälp!AH$2,AC34:AF35)+IF(VLOOKUP(B38,Beräkningshjälp!$M$2:$U$60,4,FALSE)&gt;0,IF(B38=B39,DSUM('Antal &amp; Längder (vikter)'!$O$10:$T$27,'Antal &amp; Längder (vikter)'!$S$10,AB34:AC35),DSUM('Antal &amp; Längder (vikter)'!$O$10:$T$27,'Antal &amp; Längder (vikter)'!$S$10,AC34:AC35)-IF(B38=B37,DSUM('Antal &amp; Längder (vikter)'!$O$10:$T$27,'Antal &amp; Längder (vikter)'!$S$10,AB34:AC35),0)),DSUM('Antal &amp; Längder (vikter)'!$O$10:$T$27,'Antal &amp; Längder (vikter)'!$S$10,AC34:AC35)),DCOUNT(Beräkningshjälp!$AC$2:$AI$1082,Beräkningshjälp!AH$2,AH34:AK35)+IF(VLOOKUP(B38,Beräkningshjälp!$M$2:$U$60,4,FALSE)&gt;0,IF(B38=B39,DSUM('Antal &amp; Längder (vikter)'!$O$10:$T$27,'Antal &amp; Längder (vikter)'!$S$10,AG34:AH35),DSUM('Antal &amp; Längder (vikter)'!$O$10:$T$27,'Antal &amp; Längder (vikter)'!$S$10,AH34:AH35)-IF(B38=B37,DSUM('Antal &amp; Längder (vikter)'!$O$10:$T$27,'Antal &amp; Längder (vikter)'!$S$10,AG34:AH35),0)),DSUM('Antal &amp; Längder (vikter)'!$O$10:$T$27,'Antal &amp; Längder (vikter)'!$S$10,AH34:AH35))),IF(C38="Totalt:",SUM(E$26:E37),""))</f>
        <v/>
      </c>
      <c r="F38" s="447" t="str">
        <f>IF(AND(B38&lt;&gt;"",protokollAntalutfisk&gt;2),IF(ROUND((ROW(C37)-ROW(C$26))/2,0)=INT((ROW(D37)-ROW(D$26))/2),DCOUNT(Beräkningshjälp!$AC$2:$AI$1082,Beräkningshjälp!AH$2,AC34:AD35)-DCOUNT(Beräkningshjälp!$AC$2:$AI$1082,Beräkningshjälp!AH$2,AC34:AE35)+IF(VLOOKUP(B38,Beräkningshjälp!$M$2:$U$60,4,FALSE)&gt;0,IF(B38=B39,DSUM('Antal &amp; Längder (vikter)'!$O$10:$T$27,'Antal &amp; Längder (vikter)'!$T$10,AB34:AC35),DSUM('Antal &amp; Längder (vikter)'!$O$10:$T$27,'Antal &amp; Längder (vikter)'!$T$10,AC34:AC35)-IF(B38=B37,DSUM('Antal &amp; Längder (vikter)'!$O$10:$T$27,'Antal &amp; Längder (vikter)'!$T$10,AB34:AC35),0)),DSUM('Antal &amp; Längder (vikter)'!$O$10:$T$27,'Antal &amp; Längder (vikter)'!$T$10,AC34:AC35)),DCOUNT(Beräkningshjälp!$AC$2:$AI$1082,Beräkningshjälp!AH$2,AH34:AI35)-DCOUNT(Beräkningshjälp!$AC$2:$AI$1082,Beräkningshjälp!AH$2,AH34:AJ35)+IF(VLOOKUP(B38,Beräkningshjälp!$M$2:$U$60,4,FALSE)&gt;0,DSUM('Antal &amp; Längder (vikter)'!$O$10:$T$27,'Antal &amp; Längder (vikter)'!$T$10,AH34:AH35)-IF(B38=B37,DSUM('Antal &amp; Längder (vikter)'!$O$10:$T$27,'Antal &amp; Längder (vikter)'!$T$10,AG34:AH35),0),DSUM('Antal &amp; Längder (vikter)'!$O$10:$T$27,'Antal &amp; Längder (vikter)'!$T$10,AH34:AH35))),IF(C38="Totalt:",SUM(F$26:F37),""))</f>
        <v/>
      </c>
      <c r="G38" s="447" t="str">
        <f t="shared" si="5"/>
        <v/>
      </c>
      <c r="H38" s="450" t="str">
        <f>IF(AND(C38&lt;&gt;"Totalt:",SUM(G38)&gt;0),IF(Protokoll!$H$13=3,IF(OR(K38="AREA",K38="EST",N38&lt;&gt;""),IF(K38="AREA",G38,G38/((L38+L38*(1-L38))*(1-L38)+L38)),IF(OR(AND(L38&gt;=0.25,D38=E38,E38=F38),AND(L38&gt;=0.25,F38&gt;=D38)),IF(ISNUMBER(VLOOKUP(C38,Beräkningshjälp!$A$3:$E$42,2,FALSE)),G38/(VLOOKUP(C38,Beräkningshjälp!$A$3:$E$42,2,FALSE)/((L38+L38*(1-L38))*(1-L38)+L38)),G38),(6*(2*D38+E38)^2-(3*(2*D38+E38)*(D38+E38+F38))-(D38+E38+F38)^2+(D38+E38+F38)*(((D38+E38+F38)^2)+6*(2*D38+E38)*(D38+E38+F38)-3*(2*D38+E38)^2)^0.5)/(18*(D38-F38)))),IF(Protokoll!$H$13=2,IF(OR(K38="EST",N38&lt;&gt;""),G38/(L38+L38*(1-L38)),IF(E38&gt;=D38,IF(ISNUMBER(VLOOKUP(C38,Beräkningshjälp!$A$3:$E$42,2,FALSE)),G38/(VLOOKUP(C38,Beräkningshjälp!$A$3:$E$42,2,FALSE)/(L38+L38*(1-L38))),G38),IF(K38="AREA",G38,D38^2/(D38-E38)))),IF(OR(K38="EST",N38&lt;&gt;""),IF(N38&lt;&gt;"",G38/N38,IF(ISNUMBER(VLOOKUP(C38,Beräkningshjälp!$A$3:$E$42,2,FALSE)),G38/VLOOKUP(C38,Beräkningshjälp!$A$3:$E$42,2,FALSE),G38)),G38))),IF(C38="Totalt:",SUM(H$26:H37),IF(AND(G38&lt;&gt;"",G38=0),0,"")))</f>
        <v/>
      </c>
      <c r="I38" s="492" t="str">
        <f>IF(Protokoll!$AC$19&lt;&gt;"",IF(COUNT(H38)&gt;0,H38/Protokoll!$AC$19*100,""),"")</f>
        <v/>
      </c>
      <c r="J38" s="464" t="str">
        <f>IF(B38&lt;&gt;"",IF(H38&lt;&gt;"",IF(K38="ZIPP",IF(Protokoll!$H$13=3,(1.96*((H38*(1-(1-L38)^3)*(1-L38)^3)/((1-(1-L38)^3)^2-9*L38^2*(1-L38)^2))^0.5)/('DATA TILL SLU'!$Q$7/100),IF(Protokoll!$H$13=2,(1.96*D38*E38*(D38+E38)^0.5/(D38-E38)^2)/('DATA TILL SLU'!$Q$7/100),"")),"-"),""),"")</f>
        <v/>
      </c>
      <c r="K38" s="448" t="str">
        <f>IF(AND(D38&gt;0,G38&gt;0,B38&lt;&gt;""),IF(Protokoll!$H$13=3,IF(OR(AND(D38&gt;=E38,E38&gt;F38),AND(D38&gt;E38,E38&gt;=F38),AND(D38&lt;=E38,D38&gt;F38,D38&gt;F38),AND(D38&gt;=E38,D38&gt;=F38,E38&lt;&gt;F38)),IF((3*(2*D38+E38)-D38-E38-F38-((D38+E38+F38)^2+6*(2*D38+E38)*(D38+E38+F38)-3*(2*D38+E38)^2)^0.5)/(4*D38+2*E38)&gt;=0.25,IF(N38="","ZIPP","EST"),IF(OR(ISNUMBER(VLOOKUP(C38,Beräkningshjälp!$A$3:$E$42,2,FALSE)),N38&lt;&gt;""),"EST","AREA")),IF(OR(ISNUMBER(VLOOKUP(C38,Beräkningshjälp!$A$3:$E$42,2,FALSE)),N38&lt;&gt;""),"EST","AREA")),IF(Protokoll!$H$13=2,IF((D38-E38)/D38&gt;=0.25,IF(N38="","ZIPP","EST"),IF(OR(ISNUMBER(VLOOKUP(C38,Beräkningshjälp!$A$3:$E$42,2,FALSE)),N38&lt;&gt;""),"EST","AREA")),IF(OR(ISNUMBER(VLOOKUP(C38,Beräkningshjälp!$A$3:$E$42,2,FALSE)),N38&lt;&gt;""),"EST","AREA"))),IF(AND(G38&gt;0,B38&lt;&gt;""),IF(OR(ISNUMBER(VLOOKUP(C38,Beräkningshjälp!$A$3:$E$42,2,FALSE)),N38&lt;&gt;""),"EST","AREA"),""))</f>
        <v/>
      </c>
      <c r="L38" s="449" t="str">
        <f>IF(AND(K38&lt;&gt;"",B38&lt;&gt;""),IF(Protokoll!$H$13=3,IF(N38&lt;&gt;"",N38,IF(K38="ZIPP",(3*(2*D38+E38)-D38-E38-F38-((D38+E38+F38)^2+6*(2*D38+E38)*(D38+E38+F38)-3*(2*D38+E38)^2)^0.5)/(4*D38+2*E38),IF(ISNUMBER(VLOOKUP(C38,Beräkningshjälp!$A$3:$E$42,2,FALSE)),VLOOKUP(C38,Beräkningshjälp!$A$3:$E$42,2,FALSE),IF(B38&lt;&gt;"","-","")))),IF(Protokoll!$H$13=2,IF(N38&lt;&gt;"",N38,IF(K38="ZIPP",(D38-E38)/D38,IF(ISNUMBER(VLOOKUP(C38,Beräkningshjälp!$A$3:$E$42,2,FALSE)),VLOOKUP(C38,Beräkningshjälp!$A$3:$E$42,2,FALSE),IF(B38&lt;&gt;"","-","")))),IF(N38&lt;&gt;"",N38,IF(ISNUMBER(VLOOKUP(C38,Beräkningshjälp!$A$3:$E$42,2,FALSE)),VLOOKUP(C38,Beräkningshjälp!$A$3:$E$42,2,FALSE),IF(B38&lt;&gt;"","-",""))))),"")</f>
        <v/>
      </c>
      <c r="M38" s="449" t="str">
        <f>IF(B38&lt;&gt;"",IF(OR(G38=0,K38="AREA",Protokoll!$H$13="",Protokoll!$H$13=1),"",2*L38-L38^2+IF(Protokoll!$H$13=3,L38*(1-(2*L38-L38^2)),0)),"")</f>
        <v/>
      </c>
      <c r="N38" s="502"/>
      <c r="P38" s="461"/>
      <c r="Q38" s="2" t="str">
        <f>RIGHT(U38,LEN(U38)-2)&amp;" - "&amp;RIGHT(V38,LEN(V38)-2)</f>
        <v>161 - 165</v>
      </c>
      <c r="R38" s="136">
        <f>IF($B$1&lt;&gt;"",DCOUNT(Beräkningshjälp!$AC$2:$AI$1082,Beräkningshjälp!$AH$2,U37:W38),0)</f>
        <v>0</v>
      </c>
      <c r="S38" s="513">
        <f>IF($B$1&lt;&gt;"",IF(AND($S$4&gt;=RIGHT(U38,LEN(U38)-2)*1,AND($S$4&lt;=RIGHT(V38,LEN(V38)-2)*1)),MAX(T$6:T$56),0),0)</f>
        <v>0</v>
      </c>
      <c r="T38" s="515">
        <f t="shared" si="0"/>
        <v>9</v>
      </c>
      <c r="U38" s="445" t="str">
        <f>"&gt;="&amp;RIGHT(Y37,LEN(Y37)-2)*1+1</f>
        <v>&gt;=161</v>
      </c>
      <c r="V38" s="444" t="str">
        <f>"&lt;="&amp;IF($B$3&lt;&gt;"",$B$3,5)+RIGHT(U38,LEN(U38)-2)*1-1</f>
        <v>&lt;=165</v>
      </c>
      <c r="W38" s="551" t="str">
        <f>IF($W$6&lt;&gt;"",$W$6,"")</f>
        <v/>
      </c>
      <c r="X38" s="353" t="s">
        <v>1984</v>
      </c>
      <c r="Y38" s="353" t="s">
        <v>1984</v>
      </c>
      <c r="Z38" s="119" t="s">
        <v>75</v>
      </c>
      <c r="AB38" s="439" t="str">
        <f>IF($B41&lt;&gt;"",IF(ISNUMBER(VLOOKUP($B41,Artlista_alla,4,FALSE)),"0+",""),"")</f>
        <v/>
      </c>
      <c r="AC38" s="440" t="str">
        <f>$B41</f>
        <v/>
      </c>
      <c r="AD38" s="441" t="str">
        <f>IF(OR(VLOOKUP(AC38,$I$11:$M$22,3,FALSE)="X",AND(COUNTIF($B$27:$B$50,$B41)=2,VLOOKUP(AC38,$I$11:$M$22,3,FALSE)=0)),IF($B41=$B42,0,"&lt;10000"),IF(AND($B41&lt;&gt;"",$B41=$B40,$B41&lt;&gt;$B42),IF(ISNUMBER(VLOOKUP($B41,$I$11:$M$22,3,FALSE)),"&gt;"&amp;VLOOKUP($B41,$I$11:$M$22,3,FALSE),IF(ISNUMBER(RIGHT(VLOOKUP($B41,$I$11:$M$22,3,FALSE),LEN(VLOOKUP($B41,$I$11:$M$22,3,FALSE))-1)*1),"&gt;="&amp;RIGHT(VLOOKUP($B41,$I$11:$M$22,3,FALSE),LEN(VLOOKUP($B41,$I$11:$M$22,3,FALSE))-1),"&gt;"&amp;RIGHT(VLOOKUP($B41,$I$11:$M$22,3,FALSE),LEN(VLOOKUP($B41,$I$11:$M$22,3,FALSE))-2))),IF(AND($B41&lt;&gt;"",$B41=$B42,$B41&lt;&gt;$B40),IF(ISNUMBER(VLOOKUP($B41,$I$11:$M$22,3,FALSE)),"&lt;=","")&amp;VLOOKUP($B41,$I$11:$M$22,3,FALSE),"&lt;10000")))</f>
        <v>&lt;10000</v>
      </c>
      <c r="AE38" s="352" t="s">
        <v>1995</v>
      </c>
      <c r="AF38" s="115">
        <v>2</v>
      </c>
      <c r="AG38" s="115" t="s">
        <v>462</v>
      </c>
      <c r="AH38" t="s">
        <v>75</v>
      </c>
      <c r="AI38" t="s">
        <v>1984</v>
      </c>
      <c r="AJ38" s="115" t="s">
        <v>1983</v>
      </c>
      <c r="AK38" s="115" t="s">
        <v>1983</v>
      </c>
    </row>
    <row r="39" spans="1:37" ht="13.8" thickBot="1" x14ac:dyDescent="0.3">
      <c r="A39" s="508" t="str">
        <f>IF(VLOOKUP(B39,Beräkningshjälp!$M$2:$U$60,4,FALSE)&gt;0,IF(ROUND((ROW(B38)-ROW(B$26))/2,0)=INT((ROW(B38)-ROW(B$26))/2),IF(DCOUNTA('Antal &amp; Längder (vikter)'!$O$10:$T$27,'Antal &amp; Längder (vikter)'!$Q$10,AC35:AC36)&lt;&gt;DCOUNT('Antal &amp; Längder (vikter)'!$O$10:$T$27,'Antal &amp; Längder (vikter)'!$R$10,AC35:AC36),"Icke längdmätta ej uppdelade 0+/&gt;0+",IF(AND(DCOUNT(Beräkningshjälp!$AB$2:$AI$1082,Beräkningshjälp!$AH$2,AC35:AC36)&gt;0,COUNTIF(B$27:B$50,B39)=1,VLOOKUP(B39,I$11:K$22,3,FALSE)=0),"Ange gräns 0+/&gt;0+ i fält K"&amp;10+B39&amp;" ovan","")),IF(DCOUNTA('Antal &amp; Längder (vikter)'!$O$10:$T$27,'Antal &amp; Längder (vikter)'!$Q$10,AH35:AH36)&lt;&gt;DCOUNT('Antal &amp; Längder (vikter)'!$O$10:$T$27,'Antal &amp; Längder (vikter)'!$R$10,AH35:AH36),"Icke längdmätta ej uppdelade 0+/&gt;0+",IF(AND(DCOUNT(Beräkningshjälp!$AB$2:$AI$1082,Beräkningshjälp!$AH$2,Artuppgifter!AH35:AH36)&gt;0,COUNTIF(B$27:B$50,B39)=1,VLOOKUP(B39,I$11:K$22,3,FALSE)=0),"Ange gräns 0+/&gt;0+ i fält K"&amp;10+B39&amp;" ovan",""))),"")</f>
        <v/>
      </c>
      <c r="B39" s="515" t="str">
        <f>IF(B38&lt;&gt;"",IF(AND(COUNTIF(B$26:B38,B38)=1,VLOOKUP(B38,Artlista_alla,4,FALSE)&gt;0,VLOOKUP(B38,I$11:M$22,3,FALSE)&gt;0,IF((ROW()-ROW($B$26))/2=INT((ROW()-ROW($B$26))/2),IF(ISNUMBER(DCOUNTA(Omätta,B38,AC34:AC35)),IF(DCOUNTA(Omätta,B38,AC34:AC35)&gt;0,AND(DCOUNTA(Omätta,AB34,AC34:AC35)&gt;0,DCOUNTA(Omätta,AB34,AC34:AC35)=DCOUNTA(Omätta,AC34,AC34:AC35)),TRUE),FALSE),IF(ISNUMBER(DCOUNTA(Omätta,B38,AH34:AH35)),IF(DCOUNTA(Omätta,B38,AH34:AH35)&gt;0,AND(DCOUNTA(Omätta,AG34,AH34:AH35)&gt;0,DCOUNTA(Omätta,AG34,AH34:AH35)=DCOUNTA(Omätta,AH34,AH34:AH35)),TRUE),FALSE))),B38,IF(COUNTIF(I$11:I$22,B38+1)&gt;0,B38+1,"")),"")</f>
        <v/>
      </c>
      <c r="C39" s="447" t="str">
        <f t="shared" si="4"/>
        <v/>
      </c>
      <c r="D39" s="447" t="str">
        <f>IF(B39&lt;&gt;"",IF(ROUND((ROW(C38)-ROW(C$26))/2,0)=INT((ROW(D38)-ROW(D$26))/2),DCOUNT(Beräkningshjälp!$AC$2:$AI$1082,Beräkningshjälp!AH$2,AC35:AE36)-DCOUNT(Beräkningshjälp!$AC$2:$AI$1082,Beräkningshjälp!AH$2,AC35:AF36)+IF(VLOOKUP(B39,Beräkningshjälp!$M$2:$U$60,4,FALSE)&gt;0,IF(B39=B40,DSUM('Antal &amp; Längder (vikter)'!$O$10:$T$27,'Antal &amp; Längder (vikter)'!$R$10,AB35:AC36),DSUM('Antal &amp; Längder (vikter)'!$O$10:$T$27,'Antal &amp; Längder (vikter)'!$R$10,AC35:AC36)-IF(B39=B38,DSUM('Antal &amp; Längder (vikter)'!$O$10:$T$27,'Antal &amp; Längder (vikter)'!$R$10,AB35:AC36),0)),DSUM('Antal &amp; Längder (vikter)'!$O$10:$T$27,'Antal &amp; Längder (vikter)'!$R$10,AC35:AC36)),DCOUNT(Beräkningshjälp!$AC$2:$AI$1082,Beräkningshjälp!AH$2,AH35:AJ36)-DCOUNT(Beräkningshjälp!$AC$2:$AI$1082,Beräkningshjälp!AH$2,AH35:AK36)+IF(VLOOKUP(B39,Beräkningshjälp!$M$2:$U$60,4,FALSE)&gt;0,IF(B39=B40,DSUM('Antal &amp; Längder (vikter)'!$O$10:$T$27,'Antal &amp; Längder (vikter)'!$R$10,AG35:AH36),DSUM('Antal &amp; Längder (vikter)'!$O$10:$T$27,'Antal &amp; Längder (vikter)'!$R$10,AH35:AH36)-IF(B39=B38,DSUM('Antal &amp; Längder (vikter)'!$O$10:$T$27,'Antal &amp; Längder (vikter)'!$R$10,AG35:AH36),0)),DSUM('Antal &amp; Längder (vikter)'!$O$10:$T$27,'Antal &amp; Längder (vikter)'!$R$10,AH35:AH36))),IF(C39="Totalt:",SUM(D$26:D38),""))</f>
        <v/>
      </c>
      <c r="E39" s="447" t="str">
        <f>IF(AND(B39&lt;&gt;"",protokollAntalutfisk&gt;1),IF(ROUND((ROW(C38)-ROW(C$26))/2,0)=INT((ROW(D38)-ROW(D$26))/2),DCOUNT(Beräkningshjälp!$AC$2:$AI$1082,Beräkningshjälp!AH$2,AC35:AF36)+IF(VLOOKUP(B39,Beräkningshjälp!$M$2:$U$60,4,FALSE)&gt;0,IF(B39=B40,DSUM('Antal &amp; Längder (vikter)'!$O$10:$T$27,'Antal &amp; Längder (vikter)'!$S$10,AB35:AC36),DSUM('Antal &amp; Längder (vikter)'!$O$10:$T$27,'Antal &amp; Längder (vikter)'!$S$10,AC35:AC36)-IF(B39=B38,DSUM('Antal &amp; Längder (vikter)'!$O$10:$T$27,'Antal &amp; Längder (vikter)'!$S$10,AB35:AC36),0)),DSUM('Antal &amp; Längder (vikter)'!$O$10:$T$27,'Antal &amp; Längder (vikter)'!$S$10,AC35:AC36)),DCOUNT(Beräkningshjälp!$AC$2:$AI$1082,Beräkningshjälp!AH$2,AH35:AK36)+IF(VLOOKUP(B39,Beräkningshjälp!$M$2:$U$60,4,FALSE)&gt;0,IF(B39=B40,DSUM('Antal &amp; Längder (vikter)'!$O$10:$T$27,'Antal &amp; Längder (vikter)'!$S$10,AG35:AH36),DSUM('Antal &amp; Längder (vikter)'!$O$10:$T$27,'Antal &amp; Längder (vikter)'!$S$10,AH35:AH36)-IF(B39=B38,DSUM('Antal &amp; Längder (vikter)'!$O$10:$T$27,'Antal &amp; Längder (vikter)'!$S$10,AG35:AH36),0)),DSUM('Antal &amp; Längder (vikter)'!$O$10:$T$27,'Antal &amp; Längder (vikter)'!$S$10,AH35:AH36))),IF(C39="Totalt:",SUM(E$26:E38),""))</f>
        <v/>
      </c>
      <c r="F39" s="447" t="str">
        <f>IF(AND(B39&lt;&gt;"",protokollAntalutfisk&gt;2),IF(ROUND((ROW(C38)-ROW(C$26))/2,0)=INT((ROW(D38)-ROW(D$26))/2),DCOUNT(Beräkningshjälp!$AC$2:$AI$1082,Beräkningshjälp!AH$2,AC35:AD36)-DCOUNT(Beräkningshjälp!$AC$2:$AI$1082,Beräkningshjälp!AH$2,AC35:AE36)+IF(VLOOKUP(B39,Beräkningshjälp!$M$2:$U$60,4,FALSE)&gt;0,IF(B39=B40,DSUM('Antal &amp; Längder (vikter)'!$O$10:$T$27,'Antal &amp; Längder (vikter)'!$T$10,AB35:AC36),DSUM('Antal &amp; Längder (vikter)'!$O$10:$T$27,'Antal &amp; Längder (vikter)'!$T$10,AC35:AC36)-IF(B39=B38,DSUM('Antal &amp; Längder (vikter)'!$O$10:$T$27,'Antal &amp; Längder (vikter)'!$T$10,AB35:AC36),0)),DSUM('Antal &amp; Längder (vikter)'!$O$10:$T$27,'Antal &amp; Längder (vikter)'!$T$10,AC35:AC36)),DCOUNT(Beräkningshjälp!$AC$2:$AI$1082,Beräkningshjälp!AH$2,AH35:AI36)-DCOUNT(Beräkningshjälp!$AC$2:$AI$1082,Beräkningshjälp!AH$2,AH35:AJ36)+IF(VLOOKUP(B39,Beräkningshjälp!$M$2:$U$60,4,FALSE)&gt;0,DSUM('Antal &amp; Längder (vikter)'!$O$10:$T$27,'Antal &amp; Längder (vikter)'!$T$10,AH35:AH36)-IF(B39=B38,DSUM('Antal &amp; Längder (vikter)'!$O$10:$T$27,'Antal &amp; Längder (vikter)'!$T$10,AG35:AH36),0),DSUM('Antal &amp; Längder (vikter)'!$O$10:$T$27,'Antal &amp; Längder (vikter)'!$T$10,AH35:AH36))),IF(C39="Totalt:",SUM(F$26:F38),""))</f>
        <v/>
      </c>
      <c r="G39" s="447" t="str">
        <f t="shared" si="5"/>
        <v/>
      </c>
      <c r="H39" s="450" t="str">
        <f>IF(AND(C39&lt;&gt;"Totalt:",SUM(G39)&gt;0),IF(Protokoll!$H$13=3,IF(OR(K39="AREA",K39="EST",N39&lt;&gt;""),IF(K39="AREA",G39,G39/((L39+L39*(1-L39))*(1-L39)+L39)),IF(OR(AND(L39&gt;=0.25,D39=E39,E39=F39),AND(L39&gt;=0.25,F39&gt;=D39)),IF(ISNUMBER(VLOOKUP(C39,Beräkningshjälp!$A$3:$E$42,2,FALSE)),G39/(VLOOKUP(C39,Beräkningshjälp!$A$3:$E$42,2,FALSE)/((L39+L39*(1-L39))*(1-L39)+L39)),G39),(6*(2*D39+E39)^2-(3*(2*D39+E39)*(D39+E39+F39))-(D39+E39+F39)^2+(D39+E39+F39)*(((D39+E39+F39)^2)+6*(2*D39+E39)*(D39+E39+F39)-3*(2*D39+E39)^2)^0.5)/(18*(D39-F39)))),IF(Protokoll!$H$13=2,IF(OR(K39="EST",N39&lt;&gt;""),G39/(L39+L39*(1-L39)),IF(E39&gt;=D39,IF(ISNUMBER(VLOOKUP(C39,Beräkningshjälp!$A$3:$E$42,2,FALSE)),G39/(VLOOKUP(C39,Beräkningshjälp!$A$3:$E$42,2,FALSE)/(L39+L39*(1-L39))),G39),IF(K39="AREA",G39,D39^2/(D39-E39)))),IF(OR(K39="EST",N39&lt;&gt;""),IF(N39&lt;&gt;"",G39/N39,IF(ISNUMBER(VLOOKUP(C39,Beräkningshjälp!$A$3:$E$42,2,FALSE)),G39/VLOOKUP(C39,Beräkningshjälp!$A$3:$E$42,2,FALSE),G39)),G39))),IF(C39="Totalt:",SUM(H$26:H38),IF(AND(G39&lt;&gt;"",G39=0),0,"")))</f>
        <v/>
      </c>
      <c r="I39" s="492" t="str">
        <f>IF(Protokoll!$AC$19&lt;&gt;"",IF(COUNT(H39)&gt;0,H39/Protokoll!$AC$19*100,""),"")</f>
        <v/>
      </c>
      <c r="J39" s="464" t="str">
        <f>IF(B39&lt;&gt;"",IF(H39&lt;&gt;"",IF(K39="ZIPP",IF(Protokoll!$H$13=3,(1.96*((H39*(1-(1-L39)^3)*(1-L39)^3)/((1-(1-L39)^3)^2-9*L39^2*(1-L39)^2))^0.5)/('DATA TILL SLU'!$Q$7/100),IF(Protokoll!$H$13=2,(1.96*D39*E39*(D39+E39)^0.5/(D39-E39)^2)/('DATA TILL SLU'!$Q$7/100),"")),"-"),""),"")</f>
        <v/>
      </c>
      <c r="K39" s="448" t="str">
        <f>IF(AND(D39&gt;0,G39&gt;0,B39&lt;&gt;""),IF(Protokoll!$H$13=3,IF(OR(AND(D39&gt;=E39,E39&gt;F39),AND(D39&gt;E39,E39&gt;=F39),AND(D39&lt;=E39,D39&gt;F39,D39&gt;F39),AND(D39&gt;=E39,D39&gt;=F39,E39&lt;&gt;F39)),IF((3*(2*D39+E39)-D39-E39-F39-((D39+E39+F39)^2+6*(2*D39+E39)*(D39+E39+F39)-3*(2*D39+E39)^2)^0.5)/(4*D39+2*E39)&gt;=0.25,IF(N39="","ZIPP","EST"),IF(OR(ISNUMBER(VLOOKUP(C39,Beräkningshjälp!$A$3:$E$42,2,FALSE)),N39&lt;&gt;""),"EST","AREA")),IF(OR(ISNUMBER(VLOOKUP(C39,Beräkningshjälp!$A$3:$E$42,2,FALSE)),N39&lt;&gt;""),"EST","AREA")),IF(Protokoll!$H$13=2,IF((D39-E39)/D39&gt;=0.25,IF(N39="","ZIPP","EST"),IF(OR(ISNUMBER(VLOOKUP(C39,Beräkningshjälp!$A$3:$E$42,2,FALSE)),N39&lt;&gt;""),"EST","AREA")),IF(OR(ISNUMBER(VLOOKUP(C39,Beräkningshjälp!$A$3:$E$42,2,FALSE)),N39&lt;&gt;""),"EST","AREA"))),IF(AND(G39&gt;0,B39&lt;&gt;""),IF(OR(ISNUMBER(VLOOKUP(C39,Beräkningshjälp!$A$3:$E$42,2,FALSE)),N39&lt;&gt;""),"EST","AREA"),""))</f>
        <v/>
      </c>
      <c r="L39" s="449" t="str">
        <f>IF(AND(K39&lt;&gt;"",B39&lt;&gt;""),IF(Protokoll!$H$13=3,IF(N39&lt;&gt;"",N39,IF(K39="ZIPP",(3*(2*D39+E39)-D39-E39-F39-((D39+E39+F39)^2+6*(2*D39+E39)*(D39+E39+F39)-3*(2*D39+E39)^2)^0.5)/(4*D39+2*E39),IF(ISNUMBER(VLOOKUP(C39,Beräkningshjälp!$A$3:$E$42,2,FALSE)),VLOOKUP(C39,Beräkningshjälp!$A$3:$E$42,2,FALSE),IF(B39&lt;&gt;"","-","")))),IF(Protokoll!$H$13=2,IF(N39&lt;&gt;"",N39,IF(K39="ZIPP",(D39-E39)/D39,IF(ISNUMBER(VLOOKUP(C39,Beräkningshjälp!$A$3:$E$42,2,FALSE)),VLOOKUP(C39,Beräkningshjälp!$A$3:$E$42,2,FALSE),IF(B39&lt;&gt;"","-","")))),IF(N39&lt;&gt;"",N39,IF(ISNUMBER(VLOOKUP(C39,Beräkningshjälp!$A$3:$E$42,2,FALSE)),VLOOKUP(C39,Beräkningshjälp!$A$3:$E$42,2,FALSE),IF(B39&lt;&gt;"","-",""))))),"")</f>
        <v/>
      </c>
      <c r="M39" s="449" t="str">
        <f>IF(B39&lt;&gt;"",IF(OR(G39=0,K39="AREA",Protokoll!$H$13="",Protokoll!$H$13=1),"",2*L39-L39^2+IF(Protokoll!$H$13=3,L39*(1-(2*L39-L39^2)),0)),"")</f>
        <v/>
      </c>
      <c r="N39" s="502"/>
      <c r="P39" s="461"/>
      <c r="Q39" s="2" t="str">
        <f>RIGHT(X39,LEN(X39)-2)&amp;" - "&amp;RIGHT(Y39,LEN(Y39)-2)</f>
        <v>166 - 170</v>
      </c>
      <c r="R39" s="136">
        <f>IF($B$1&lt;&gt;"",DCOUNT(Beräkningshjälp!$AC$2:$AI$1082,Beräkningshjälp!$AH$2,X38:Z39),0)</f>
        <v>0</v>
      </c>
      <c r="S39" s="513">
        <f>IF($B$1&lt;&gt;"",IF(AND($S$4&gt;=RIGHT(X39,LEN(X39)-2)*1,AND($S$4&lt;=RIGHT(Y39,LEN(Y39)-2)*1)),MAX(T$6:T$56),0),0)</f>
        <v>0</v>
      </c>
      <c r="T39" s="515">
        <f t="shared" si="0"/>
        <v>9</v>
      </c>
      <c r="U39" s="353" t="s">
        <v>1984</v>
      </c>
      <c r="V39" s="353" t="s">
        <v>1984</v>
      </c>
      <c r="W39" s="119" t="s">
        <v>75</v>
      </c>
      <c r="X39" s="442" t="str">
        <f>"&gt;="&amp;RIGHT(V38,LEN(V38)-2)*1+1</f>
        <v>&gt;=166</v>
      </c>
      <c r="Y39" s="445" t="str">
        <f>"&lt;="&amp;IF($B$3&lt;&gt;"",$B$3,5)+RIGHT(X39,LEN(X39)-2)*1-1</f>
        <v>&lt;=170</v>
      </c>
      <c r="Z39" s="551" t="str">
        <f>IF($W$6&lt;&gt;"",$W$6,"")</f>
        <v/>
      </c>
      <c r="AB39" s="115" t="s">
        <v>462</v>
      </c>
      <c r="AC39" t="s">
        <v>75</v>
      </c>
      <c r="AD39" t="s">
        <v>1984</v>
      </c>
      <c r="AE39" s="115" t="s">
        <v>1983</v>
      </c>
      <c r="AF39" s="115" t="s">
        <v>1983</v>
      </c>
      <c r="AG39" s="439" t="str">
        <f>IF($B42&lt;&gt;"",IF(ISNUMBER(VLOOKUP($B42,Artlista_alla,4,FALSE)),"0+",""),"")</f>
        <v/>
      </c>
      <c r="AH39" s="440" t="str">
        <f>$B42</f>
        <v/>
      </c>
      <c r="AI39" s="441" t="str">
        <f>IF(OR(VLOOKUP(AH39,$I$11:$M$22,3,FALSE)="X",AND(COUNTIF($B$27:$B$50,$B42)=2,VLOOKUP(AH39,$I$11:$M$22,3,FALSE)=0)),IF($B42=$B43,0,"&lt;10000"),IF(AND($B42&lt;&gt;"",$B42=$B41,$B42&lt;&gt;$B43),IF(ISNUMBER(VLOOKUP($B42,$I$11:$M$22,3,FALSE)),"&gt;"&amp;VLOOKUP($B42,$I$11:$M$22,3,FALSE),IF(ISNUMBER(RIGHT(VLOOKUP($B42,$I$11:$M$22,3,FALSE),LEN(VLOOKUP($B42,$I$11:$M$22,3,FALSE))-1)*1),"&gt;="&amp;RIGHT(VLOOKUP($B42,$I$11:$M$22,3,FALSE),LEN(VLOOKUP($B42,$I$11:$M$22,3,FALSE))-1),"&gt;"&amp;RIGHT(VLOOKUP($B42,$I$11:$M$22,3,FALSE),LEN(VLOOKUP($B42,$I$11:$M$22,3,FALSE))-2))),IF(AND($B42&lt;&gt;"",$B42=$B43,$B42&lt;&gt;$B41),IF(ISNUMBER(VLOOKUP($B42,$I$11:$M$22,3,FALSE)),"&lt;=","")&amp;VLOOKUP($B42,$I$11:$M$22,3,FALSE),"&lt;10000")))</f>
        <v>&lt;10000</v>
      </c>
      <c r="AJ39" s="352" t="s">
        <v>1995</v>
      </c>
      <c r="AK39" s="115">
        <v>2</v>
      </c>
    </row>
    <row r="40" spans="1:37" ht="13.8" thickBot="1" x14ac:dyDescent="0.3">
      <c r="A40" s="508" t="str">
        <f>IF(VLOOKUP(B40,Beräkningshjälp!$M$2:$U$60,4,FALSE)&gt;0,IF(ROUND((ROW(B39)-ROW(B$26))/2,0)=INT((ROW(B39)-ROW(B$26))/2),IF(DCOUNTA('Antal &amp; Längder (vikter)'!$O$10:$T$27,'Antal &amp; Längder (vikter)'!$Q$10,AC36:AC37)&lt;&gt;DCOUNT('Antal &amp; Längder (vikter)'!$O$10:$T$27,'Antal &amp; Längder (vikter)'!$R$10,AC36:AC37),"Icke längdmätta ej uppdelade 0+/&gt;0+",IF(AND(DCOUNT(Beräkningshjälp!$AB$2:$AI$1082,Beräkningshjälp!$AH$2,AC36:AC37)&gt;0,COUNTIF(B$27:B$50,B40)=1,VLOOKUP(B40,I$11:K$22,3,FALSE)=0),"Ange gräns 0+/&gt;0+ i fält K"&amp;10+B40&amp;" ovan","")),IF(DCOUNTA('Antal &amp; Längder (vikter)'!$O$10:$T$27,'Antal &amp; Längder (vikter)'!$Q$10,AH36:AH37)&lt;&gt;DCOUNT('Antal &amp; Längder (vikter)'!$O$10:$T$27,'Antal &amp; Längder (vikter)'!$R$10,AH36:AH37),"Icke längdmätta ej uppdelade 0+/&gt;0+",IF(AND(DCOUNT(Beräkningshjälp!$AB$2:$AI$1082,Beräkningshjälp!$AH$2,Artuppgifter!AH36:AH37)&gt;0,COUNTIF(B$27:B$50,B40)=1,VLOOKUP(B40,I$11:K$22,3,FALSE)=0),"Ange gräns 0+/&gt;0+ i fält K"&amp;10+B40&amp;" ovan",""))),"")</f>
        <v/>
      </c>
      <c r="B40" s="515" t="str">
        <f>IF(B39&lt;&gt;"",IF(AND(COUNTIF(B$26:B39,B39)=1,VLOOKUP(B39,Artlista_alla,4,FALSE)&gt;0,VLOOKUP(B39,I$11:M$22,3,FALSE)&gt;0,IF((ROW()-ROW($B$26))/2=INT((ROW()-ROW($B$26))/2),IF(ISNUMBER(DCOUNTA(Omätta,B39,AC35:AC36)),IF(DCOUNTA(Omätta,B39,AC35:AC36)&gt;0,AND(DCOUNTA(Omätta,AB35,AC35:AC36)&gt;0,DCOUNTA(Omätta,AB35,AC35:AC36)=DCOUNTA(Omätta,AC35,AC35:AC36)),TRUE),FALSE),IF(ISNUMBER(DCOUNTA(Omätta,B39,AH35:AH36)),IF(DCOUNTA(Omätta,B39,AH35:AH36)&gt;0,AND(DCOUNTA(Omätta,AG35,AH35:AH36)&gt;0,DCOUNTA(Omätta,AG35,AH35:AH36)=DCOUNTA(Omätta,AH35,AH35:AH36)),TRUE),FALSE))),B39,IF(COUNTIF(I$11:I$22,B39+1)&gt;0,B39+1,"")),"")</f>
        <v/>
      </c>
      <c r="C40" s="447" t="str">
        <f t="shared" si="4"/>
        <v/>
      </c>
      <c r="D40" s="447" t="str">
        <f>IF(B40&lt;&gt;"",IF(ROUND((ROW(C39)-ROW(C$26))/2,0)=INT((ROW(D39)-ROW(D$26))/2),DCOUNT(Beräkningshjälp!$AC$2:$AI$1082,Beräkningshjälp!AH$2,AC36:AE37)-DCOUNT(Beräkningshjälp!$AC$2:$AI$1082,Beräkningshjälp!AH$2,AC36:AF37)+IF(VLOOKUP(B40,Beräkningshjälp!$M$2:$U$60,4,FALSE)&gt;0,IF(B40=B41,DSUM('Antal &amp; Längder (vikter)'!$O$10:$T$27,'Antal &amp; Längder (vikter)'!$R$10,AB36:AC37),DSUM('Antal &amp; Längder (vikter)'!$O$10:$T$27,'Antal &amp; Längder (vikter)'!$R$10,AC36:AC37)-IF(B40=B39,DSUM('Antal &amp; Längder (vikter)'!$O$10:$T$27,'Antal &amp; Längder (vikter)'!$R$10,AB36:AC37),0)),DSUM('Antal &amp; Längder (vikter)'!$O$10:$T$27,'Antal &amp; Längder (vikter)'!$R$10,AC36:AC37)),DCOUNT(Beräkningshjälp!$AC$2:$AI$1082,Beräkningshjälp!AH$2,AH36:AJ37)-DCOUNT(Beräkningshjälp!$AC$2:$AI$1082,Beräkningshjälp!AH$2,AH36:AK37)+IF(VLOOKUP(B40,Beräkningshjälp!$M$2:$U$60,4,FALSE)&gt;0,IF(B40=B41,DSUM('Antal &amp; Längder (vikter)'!$O$10:$T$27,'Antal &amp; Längder (vikter)'!$R$10,AG36:AH37),DSUM('Antal &amp; Längder (vikter)'!$O$10:$T$27,'Antal &amp; Längder (vikter)'!$R$10,AH36:AH37)-IF(B40=B39,DSUM('Antal &amp; Längder (vikter)'!$O$10:$T$27,'Antal &amp; Längder (vikter)'!$R$10,AG36:AH37),0)),DSUM('Antal &amp; Längder (vikter)'!$O$10:$T$27,'Antal &amp; Längder (vikter)'!$R$10,AH36:AH37))),IF(C40="Totalt:",SUM(D$26:D39),""))</f>
        <v/>
      </c>
      <c r="E40" s="447" t="str">
        <f>IF(AND(B40&lt;&gt;"",protokollAntalutfisk&gt;1),IF(ROUND((ROW(C39)-ROW(C$26))/2,0)=INT((ROW(D39)-ROW(D$26))/2),DCOUNT(Beräkningshjälp!$AC$2:$AI$1082,Beräkningshjälp!AH$2,AC36:AF37)+IF(VLOOKUP(B40,Beräkningshjälp!$M$2:$U$60,4,FALSE)&gt;0,IF(B40=B41,DSUM('Antal &amp; Längder (vikter)'!$O$10:$T$27,'Antal &amp; Längder (vikter)'!$S$10,AB36:AC37),DSUM('Antal &amp; Längder (vikter)'!$O$10:$T$27,'Antal &amp; Längder (vikter)'!$S$10,AC36:AC37)-IF(B40=B39,DSUM('Antal &amp; Längder (vikter)'!$O$10:$T$27,'Antal &amp; Längder (vikter)'!$S$10,AB36:AC37),0)),DSUM('Antal &amp; Längder (vikter)'!$O$10:$T$27,'Antal &amp; Längder (vikter)'!$S$10,AC36:AC37)),DCOUNT(Beräkningshjälp!$AC$2:$AI$1082,Beräkningshjälp!AH$2,AH36:AK37)+IF(VLOOKUP(B40,Beräkningshjälp!$M$2:$U$60,4,FALSE)&gt;0,IF(B40=B41,DSUM('Antal &amp; Längder (vikter)'!$O$10:$T$27,'Antal &amp; Längder (vikter)'!$S$10,AG36:AH37),DSUM('Antal &amp; Längder (vikter)'!$O$10:$T$27,'Antal &amp; Längder (vikter)'!$S$10,AH36:AH37)-IF(B40=B39,DSUM('Antal &amp; Längder (vikter)'!$O$10:$T$27,'Antal &amp; Längder (vikter)'!$S$10,AG36:AH37),0)),DSUM('Antal &amp; Längder (vikter)'!$O$10:$T$27,'Antal &amp; Längder (vikter)'!$S$10,AH36:AH37))),IF(C40="Totalt:",SUM(E$26:E39),""))</f>
        <v/>
      </c>
      <c r="F40" s="447" t="str">
        <f>IF(AND(B40&lt;&gt;"",protokollAntalutfisk&gt;2),IF(ROUND((ROW(C39)-ROW(C$26))/2,0)=INT((ROW(D39)-ROW(D$26))/2),DCOUNT(Beräkningshjälp!$AC$2:$AI$1082,Beräkningshjälp!AH$2,AC36:AD37)-DCOUNT(Beräkningshjälp!$AC$2:$AI$1082,Beräkningshjälp!AH$2,AC36:AE37)+IF(VLOOKUP(B40,Beräkningshjälp!$M$2:$U$60,4,FALSE)&gt;0,IF(B40=B41,DSUM('Antal &amp; Längder (vikter)'!$O$10:$T$27,'Antal &amp; Längder (vikter)'!$T$10,AB36:AC37),DSUM('Antal &amp; Längder (vikter)'!$O$10:$T$27,'Antal &amp; Längder (vikter)'!$T$10,AC36:AC37)-IF(B40=B39,DSUM('Antal &amp; Längder (vikter)'!$O$10:$T$27,'Antal &amp; Längder (vikter)'!$T$10,AB36:AC37),0)),DSUM('Antal &amp; Längder (vikter)'!$O$10:$T$27,'Antal &amp; Längder (vikter)'!$T$10,AC36:AC37)),DCOUNT(Beräkningshjälp!$AC$2:$AI$1082,Beräkningshjälp!AH$2,AH36:AI37)-DCOUNT(Beräkningshjälp!$AC$2:$AI$1082,Beräkningshjälp!AH$2,AH36:AJ37)+IF(VLOOKUP(B40,Beräkningshjälp!$M$2:$U$60,4,FALSE)&gt;0,DSUM('Antal &amp; Längder (vikter)'!$O$10:$T$27,'Antal &amp; Längder (vikter)'!$T$10,AH36:AH37)-IF(B40=B39,DSUM('Antal &amp; Längder (vikter)'!$O$10:$T$27,'Antal &amp; Längder (vikter)'!$T$10,AG36:AH37),0),DSUM('Antal &amp; Längder (vikter)'!$O$10:$T$27,'Antal &amp; Längder (vikter)'!$T$10,AH36:AH37))),IF(C40="Totalt:",SUM(F$26:F39),""))</f>
        <v/>
      </c>
      <c r="G40" s="447" t="str">
        <f t="shared" si="5"/>
        <v/>
      </c>
      <c r="H40" s="450" t="str">
        <f>IF(AND(C40&lt;&gt;"Totalt:",SUM(G40)&gt;0),IF(Protokoll!$H$13=3,IF(OR(K40="AREA",K40="EST",N40&lt;&gt;""),IF(K40="AREA",G40,G40/((L40+L40*(1-L40))*(1-L40)+L40)),IF(OR(AND(L40&gt;=0.25,D40=E40,E40=F40),AND(L40&gt;=0.25,F40&gt;=D40)),IF(ISNUMBER(VLOOKUP(C40,Beräkningshjälp!$A$3:$E$42,2,FALSE)),G40/(VLOOKUP(C40,Beräkningshjälp!$A$3:$E$42,2,FALSE)/((L40+L40*(1-L40))*(1-L40)+L40)),G40),(6*(2*D40+E40)^2-(3*(2*D40+E40)*(D40+E40+F40))-(D40+E40+F40)^2+(D40+E40+F40)*(((D40+E40+F40)^2)+6*(2*D40+E40)*(D40+E40+F40)-3*(2*D40+E40)^2)^0.5)/(18*(D40-F40)))),IF(Protokoll!$H$13=2,IF(OR(K40="EST",N40&lt;&gt;""),G40/(L40+L40*(1-L40)),IF(E40&gt;=D40,IF(ISNUMBER(VLOOKUP(C40,Beräkningshjälp!$A$3:$E$42,2,FALSE)),G40/(VLOOKUP(C40,Beräkningshjälp!$A$3:$E$42,2,FALSE)/(L40+L40*(1-L40))),G40),IF(K40="AREA",G40,D40^2/(D40-E40)))),IF(OR(K40="EST",N40&lt;&gt;""),IF(N40&lt;&gt;"",G40/N40,IF(ISNUMBER(VLOOKUP(C40,Beräkningshjälp!$A$3:$E$42,2,FALSE)),G40/VLOOKUP(C40,Beräkningshjälp!$A$3:$E$42,2,FALSE),G40)),G40))),IF(C40="Totalt:",SUM(H$26:H39),IF(AND(G40&lt;&gt;"",G40=0),0,"")))</f>
        <v/>
      </c>
      <c r="I40" s="492" t="str">
        <f>IF(Protokoll!$AC$19&lt;&gt;"",IF(COUNT(H40)&gt;0,H40/Protokoll!$AC$19*100,""),"")</f>
        <v/>
      </c>
      <c r="J40" s="464" t="str">
        <f>IF(B40&lt;&gt;"",IF(H40&lt;&gt;"",IF(K40="ZIPP",IF(Protokoll!$H$13=3,(1.96*((H40*(1-(1-L40)^3)*(1-L40)^3)/((1-(1-L40)^3)^2-9*L40^2*(1-L40)^2))^0.5)/('DATA TILL SLU'!$Q$7/100),IF(Protokoll!$H$13=2,(1.96*D40*E40*(D40+E40)^0.5/(D40-E40)^2)/('DATA TILL SLU'!$Q$7/100),"")),"-"),""),"")</f>
        <v/>
      </c>
      <c r="K40" s="448" t="str">
        <f>IF(AND(D40&gt;0,G40&gt;0,B40&lt;&gt;""),IF(Protokoll!$H$13=3,IF(OR(AND(D40&gt;=E40,E40&gt;F40),AND(D40&gt;E40,E40&gt;=F40),AND(D40&lt;=E40,D40&gt;F40,D40&gt;F40),AND(D40&gt;=E40,D40&gt;=F40,E40&lt;&gt;F40)),IF((3*(2*D40+E40)-D40-E40-F40-((D40+E40+F40)^2+6*(2*D40+E40)*(D40+E40+F40)-3*(2*D40+E40)^2)^0.5)/(4*D40+2*E40)&gt;=0.25,IF(N40="","ZIPP","EST"),IF(OR(ISNUMBER(VLOOKUP(C40,Beräkningshjälp!$A$3:$E$42,2,FALSE)),N40&lt;&gt;""),"EST","AREA")),IF(OR(ISNUMBER(VLOOKUP(C40,Beräkningshjälp!$A$3:$E$42,2,FALSE)),N40&lt;&gt;""),"EST","AREA")),IF(Protokoll!$H$13=2,IF((D40-E40)/D40&gt;=0.25,IF(N40="","ZIPP","EST"),IF(OR(ISNUMBER(VLOOKUP(C40,Beräkningshjälp!$A$3:$E$42,2,FALSE)),N40&lt;&gt;""),"EST","AREA")),IF(OR(ISNUMBER(VLOOKUP(C40,Beräkningshjälp!$A$3:$E$42,2,FALSE)),N40&lt;&gt;""),"EST","AREA"))),IF(AND(G40&gt;0,B40&lt;&gt;""),IF(OR(ISNUMBER(VLOOKUP(C40,Beräkningshjälp!$A$3:$E$42,2,FALSE)),N40&lt;&gt;""),"EST","AREA"),""))</f>
        <v/>
      </c>
      <c r="L40" s="449" t="str">
        <f>IF(AND(K40&lt;&gt;"",B40&lt;&gt;""),IF(Protokoll!$H$13=3,IF(N40&lt;&gt;"",N40,IF(K40="ZIPP",(3*(2*D40+E40)-D40-E40-F40-((D40+E40+F40)^2+6*(2*D40+E40)*(D40+E40+F40)-3*(2*D40+E40)^2)^0.5)/(4*D40+2*E40),IF(ISNUMBER(VLOOKUP(C40,Beräkningshjälp!$A$3:$E$42,2,FALSE)),VLOOKUP(C40,Beräkningshjälp!$A$3:$E$42,2,FALSE),IF(B40&lt;&gt;"","-","")))),IF(Protokoll!$H$13=2,IF(N40&lt;&gt;"",N40,IF(K40="ZIPP",(D40-E40)/D40,IF(ISNUMBER(VLOOKUP(C40,Beräkningshjälp!$A$3:$E$42,2,FALSE)),VLOOKUP(C40,Beräkningshjälp!$A$3:$E$42,2,FALSE),IF(B40&lt;&gt;"","-","")))),IF(N40&lt;&gt;"",N40,IF(ISNUMBER(VLOOKUP(C40,Beräkningshjälp!$A$3:$E$42,2,FALSE)),VLOOKUP(C40,Beräkningshjälp!$A$3:$E$42,2,FALSE),IF(B40&lt;&gt;"","-",""))))),"")</f>
        <v/>
      </c>
      <c r="M40" s="449" t="str">
        <f>IF(B40&lt;&gt;"",IF(OR(G40=0,K40="AREA",Protokoll!$H$13="",Protokoll!$H$13=1),"",2*L40-L40^2+IF(Protokoll!$H$13=3,L40*(1-(2*L40-L40^2)),0)),"")</f>
        <v/>
      </c>
      <c r="N40" s="502"/>
      <c r="Q40" s="2" t="str">
        <f>RIGHT(U40,LEN(U40)-2)&amp;" - "&amp;RIGHT(V40,LEN(V40)-2)</f>
        <v>171 - 175</v>
      </c>
      <c r="R40" s="136">
        <f>IF($B$1&lt;&gt;"",DCOUNT(Beräkningshjälp!$AC$2:$AI$1082,Beräkningshjälp!$AH$2,U39:W40),0)</f>
        <v>0</v>
      </c>
      <c r="S40" s="513">
        <f>IF($B$1&lt;&gt;"",IF(AND($S$4&gt;=RIGHT(U40,LEN(U40)-2)*1,AND($S$4&lt;=RIGHT(V40,LEN(V40)-2)*1)),MAX(T$6:T$56),0),0)</f>
        <v>0</v>
      </c>
      <c r="T40" s="515">
        <f t="shared" si="0"/>
        <v>9</v>
      </c>
      <c r="U40" s="445" t="str">
        <f>"&gt;="&amp;RIGHT(Y39,LEN(Y39)-2)*1+1</f>
        <v>&gt;=171</v>
      </c>
      <c r="V40" s="444" t="str">
        <f>"&lt;="&amp;IF($B$3&lt;&gt;"",$B$3,5)+RIGHT(U40,LEN(U40)-2)*1-1</f>
        <v>&lt;=175</v>
      </c>
      <c r="W40" s="551" t="str">
        <f>IF($W$6&lt;&gt;"",$W$6,"")</f>
        <v/>
      </c>
      <c r="X40" s="353" t="s">
        <v>1984</v>
      </c>
      <c r="Y40" s="353" t="s">
        <v>1984</v>
      </c>
      <c r="Z40" s="119" t="s">
        <v>75</v>
      </c>
      <c r="AB40" s="439" t="str">
        <f>IF($B43&lt;&gt;"",IF(ISNUMBER(VLOOKUP($B43,Artlista_alla,4,FALSE)),"0+",""),"")</f>
        <v/>
      </c>
      <c r="AC40" s="440" t="str">
        <f>$B43</f>
        <v/>
      </c>
      <c r="AD40" s="441" t="str">
        <f>IF(OR(VLOOKUP(AC40,$I$11:$M$22,3,FALSE)="X",AND(COUNTIF($B$27:$B$50,$B43)=2,VLOOKUP(AC40,$I$11:$M$22,3,FALSE)=0)),IF($B43=$B44,0,"&lt;10000"),IF(AND($B43&lt;&gt;"",$B43=$B42,$B43&lt;&gt;$B44),IF(ISNUMBER(VLOOKUP($B43,$I$11:$M$22,3,FALSE)),"&gt;"&amp;VLOOKUP($B43,$I$11:$M$22,3,FALSE),IF(ISNUMBER(RIGHT(VLOOKUP($B43,$I$11:$M$22,3,FALSE),LEN(VLOOKUP($B43,$I$11:$M$22,3,FALSE))-1)*1),"&gt;="&amp;RIGHT(VLOOKUP($B43,$I$11:$M$22,3,FALSE),LEN(VLOOKUP($B43,$I$11:$M$22,3,FALSE))-1),"&gt;"&amp;RIGHT(VLOOKUP($B43,$I$11:$M$22,3,FALSE),LEN(VLOOKUP($B43,$I$11:$M$22,3,FALSE))-2))),IF(AND($B43&lt;&gt;"",$B43=$B44,$B43&lt;&gt;$B42),IF(ISNUMBER(VLOOKUP($B43,$I$11:$M$22,3,FALSE)),"&lt;=","")&amp;VLOOKUP($B43,$I$11:$M$22,3,FALSE),"&lt;10000")))</f>
        <v>&lt;10000</v>
      </c>
      <c r="AE40" s="352" t="s">
        <v>1995</v>
      </c>
      <c r="AF40" s="115">
        <v>2</v>
      </c>
      <c r="AG40" s="115" t="s">
        <v>462</v>
      </c>
      <c r="AH40" t="s">
        <v>75</v>
      </c>
      <c r="AI40" t="s">
        <v>1984</v>
      </c>
      <c r="AJ40" s="115" t="s">
        <v>1983</v>
      </c>
      <c r="AK40" s="115" t="s">
        <v>1983</v>
      </c>
    </row>
    <row r="41" spans="1:37" ht="13.8" thickBot="1" x14ac:dyDescent="0.3">
      <c r="A41" s="508" t="str">
        <f>IF(VLOOKUP(B41,Beräkningshjälp!$M$2:$U$60,4,FALSE)&gt;0,IF(ROUND((ROW(B40)-ROW(B$26))/2,0)=INT((ROW(B40)-ROW(B$26))/2),IF(DCOUNTA('Antal &amp; Längder (vikter)'!$O$10:$T$27,'Antal &amp; Längder (vikter)'!$Q$10,AC37:AC38)&lt;&gt;DCOUNT('Antal &amp; Längder (vikter)'!$O$10:$T$27,'Antal &amp; Längder (vikter)'!$R$10,AC37:AC38),"Icke längdmätta ej uppdelade 0+/&gt;0+",IF(AND(DCOUNT(Beräkningshjälp!$AB$2:$AI$1082,Beräkningshjälp!$AH$2,AC37:AC38)&gt;0,COUNTIF(B$27:B$50,B41)=1,VLOOKUP(B41,I$11:K$22,3,FALSE)=0),"Ange gräns 0+/&gt;0+ i fält K"&amp;10+B41&amp;" ovan","")),IF(DCOUNTA('Antal &amp; Längder (vikter)'!$O$10:$T$27,'Antal &amp; Längder (vikter)'!$Q$10,AH37:AH38)&lt;&gt;DCOUNT('Antal &amp; Längder (vikter)'!$O$10:$T$27,'Antal &amp; Längder (vikter)'!$R$10,AH37:AH38),"Icke längdmätta ej uppdelade 0+/&gt;0+",IF(AND(DCOUNT(Beräkningshjälp!$AB$2:$AI$1082,Beräkningshjälp!$AH$2,Artuppgifter!AH37:AH38)&gt;0,COUNTIF(B$27:B$50,B41)=1,VLOOKUP(B41,I$11:K$22,3,FALSE)=0),"Ange gräns 0+/&gt;0+ i fält K"&amp;10+B41&amp;" ovan",""))),"")</f>
        <v/>
      </c>
      <c r="B41" s="515" t="str">
        <f>IF(B40&lt;&gt;"",IF(AND(COUNTIF(B$26:B40,B40)=1,VLOOKUP(B40,Artlista_alla,4,FALSE)&gt;0,VLOOKUP(B40,I$11:M$22,3,FALSE)&gt;0,IF((ROW()-ROW($B$26))/2=INT((ROW()-ROW($B$26))/2),IF(ISNUMBER(DCOUNTA(Omätta,B40,AC36:AC37)),IF(DCOUNTA(Omätta,B40,AC36:AC37)&gt;0,AND(DCOUNTA(Omätta,AB36,AC36:AC37)&gt;0,DCOUNTA(Omätta,AB36,AC36:AC37)=DCOUNTA(Omätta,AC36,AC36:AC37)),TRUE),FALSE),IF(ISNUMBER(DCOUNTA(Omätta,B40,AH36:AH37)),IF(DCOUNTA(Omätta,B40,AH36:AH37)&gt;0,AND(DCOUNTA(Omätta,AG36,AH36:AH37)&gt;0,DCOUNTA(Omätta,AG36,AH36:AH37)=DCOUNTA(Omätta,AH36,AH36:AH37)),TRUE),FALSE))),B40,IF(COUNTIF(I$11:I$22,B40+1)&gt;0,B40+1,"")),"")</f>
        <v/>
      </c>
      <c r="C41" s="447" t="str">
        <f t="shared" si="4"/>
        <v/>
      </c>
      <c r="D41" s="447" t="str">
        <f>IF(B41&lt;&gt;"",IF(ROUND((ROW(C40)-ROW(C$26))/2,0)=INT((ROW(D40)-ROW(D$26))/2),DCOUNT(Beräkningshjälp!$AC$2:$AI$1082,Beräkningshjälp!AH$2,AC37:AE38)-DCOUNT(Beräkningshjälp!$AC$2:$AI$1082,Beräkningshjälp!AH$2,AC37:AF38)+IF(VLOOKUP(B41,Beräkningshjälp!$M$2:$U$60,4,FALSE)&gt;0,IF(B41=B42,DSUM('Antal &amp; Längder (vikter)'!$O$10:$T$27,'Antal &amp; Längder (vikter)'!$R$10,AB37:AC38),DSUM('Antal &amp; Längder (vikter)'!$O$10:$T$27,'Antal &amp; Längder (vikter)'!$R$10,AC37:AC38)-IF(B41=B40,DSUM('Antal &amp; Längder (vikter)'!$O$10:$T$27,'Antal &amp; Längder (vikter)'!$R$10,AB37:AC38),0)),DSUM('Antal &amp; Längder (vikter)'!$O$10:$T$27,'Antal &amp; Längder (vikter)'!$R$10,AC37:AC38)),DCOUNT(Beräkningshjälp!$AC$2:$AI$1082,Beräkningshjälp!AH$2,AH37:AJ38)-DCOUNT(Beräkningshjälp!$AC$2:$AI$1082,Beräkningshjälp!AH$2,AH37:AK38)+IF(VLOOKUP(B41,Beräkningshjälp!$M$2:$U$60,4,FALSE)&gt;0,IF(B41=B42,DSUM('Antal &amp; Längder (vikter)'!$O$10:$T$27,'Antal &amp; Längder (vikter)'!$R$10,AG37:AH38),DSUM('Antal &amp; Längder (vikter)'!$O$10:$T$27,'Antal &amp; Längder (vikter)'!$R$10,AH37:AH38)-IF(B41=B40,DSUM('Antal &amp; Längder (vikter)'!$O$10:$T$27,'Antal &amp; Längder (vikter)'!$R$10,AG37:AH38),0)),DSUM('Antal &amp; Längder (vikter)'!$O$10:$T$27,'Antal &amp; Längder (vikter)'!$R$10,AH37:AH38))),IF(C41="Totalt:",SUM(D$26:D40),""))</f>
        <v/>
      </c>
      <c r="E41" s="447" t="str">
        <f>IF(AND(B41&lt;&gt;"",protokollAntalutfisk&gt;1),IF(ROUND((ROW(C40)-ROW(C$26))/2,0)=INT((ROW(D40)-ROW(D$26))/2),DCOUNT(Beräkningshjälp!$AC$2:$AI$1082,Beräkningshjälp!AH$2,AC37:AF38)+IF(VLOOKUP(B41,Beräkningshjälp!$M$2:$U$60,4,FALSE)&gt;0,IF(B41=B42,DSUM('Antal &amp; Längder (vikter)'!$O$10:$T$27,'Antal &amp; Längder (vikter)'!$S$10,AB37:AC38),DSUM('Antal &amp; Längder (vikter)'!$O$10:$T$27,'Antal &amp; Längder (vikter)'!$S$10,AC37:AC38)-IF(B41=B40,DSUM('Antal &amp; Längder (vikter)'!$O$10:$T$27,'Antal &amp; Längder (vikter)'!$S$10,AB37:AC38),0)),DSUM('Antal &amp; Längder (vikter)'!$O$10:$T$27,'Antal &amp; Längder (vikter)'!$S$10,AC37:AC38)),DCOUNT(Beräkningshjälp!$AC$2:$AI$1082,Beräkningshjälp!AH$2,AH37:AK38)+IF(VLOOKUP(B41,Beräkningshjälp!$M$2:$U$60,4,FALSE)&gt;0,IF(B41=B42,DSUM('Antal &amp; Längder (vikter)'!$O$10:$T$27,'Antal &amp; Längder (vikter)'!$S$10,AG37:AH38),DSUM('Antal &amp; Längder (vikter)'!$O$10:$T$27,'Antal &amp; Längder (vikter)'!$S$10,AH37:AH38)-IF(B41=B40,DSUM('Antal &amp; Längder (vikter)'!$O$10:$T$27,'Antal &amp; Längder (vikter)'!$S$10,AG37:AH38),0)),DSUM('Antal &amp; Längder (vikter)'!$O$10:$T$27,'Antal &amp; Längder (vikter)'!$S$10,AH37:AH38))),IF(C41="Totalt:",SUM(E$26:E40),""))</f>
        <v/>
      </c>
      <c r="F41" s="447" t="str">
        <f>IF(AND(B41&lt;&gt;"",protokollAntalutfisk&gt;2),IF(ROUND((ROW(C40)-ROW(C$26))/2,0)=INT((ROW(D40)-ROW(D$26))/2),DCOUNT(Beräkningshjälp!$AC$2:$AI$1082,Beräkningshjälp!AH$2,AC37:AD38)-DCOUNT(Beräkningshjälp!$AC$2:$AI$1082,Beräkningshjälp!AH$2,AC37:AE38)+IF(VLOOKUP(B41,Beräkningshjälp!$M$2:$U$60,4,FALSE)&gt;0,IF(B41=B42,DSUM('Antal &amp; Längder (vikter)'!$O$10:$T$27,'Antal &amp; Längder (vikter)'!$T$10,AB37:AC38),DSUM('Antal &amp; Längder (vikter)'!$O$10:$T$27,'Antal &amp; Längder (vikter)'!$T$10,AC37:AC38)-IF(B41=B40,DSUM('Antal &amp; Längder (vikter)'!$O$10:$T$27,'Antal &amp; Längder (vikter)'!$T$10,AB37:AC38),0)),DSUM('Antal &amp; Längder (vikter)'!$O$10:$T$27,'Antal &amp; Längder (vikter)'!$T$10,AC37:AC38)),DCOUNT(Beräkningshjälp!$AC$2:$AI$1082,Beräkningshjälp!AH$2,AH37:AI38)-DCOUNT(Beräkningshjälp!$AC$2:$AI$1082,Beräkningshjälp!AH$2,AH37:AJ38)+IF(VLOOKUP(B41,Beräkningshjälp!$M$2:$U$60,4,FALSE)&gt;0,DSUM('Antal &amp; Längder (vikter)'!$O$10:$T$27,'Antal &amp; Längder (vikter)'!$T$10,AH37:AH38)-IF(B41=B40,DSUM('Antal &amp; Längder (vikter)'!$O$10:$T$27,'Antal &amp; Längder (vikter)'!$T$10,AG37:AH38),0),DSUM('Antal &amp; Längder (vikter)'!$O$10:$T$27,'Antal &amp; Längder (vikter)'!$T$10,AH37:AH38))),IF(C41="Totalt:",SUM(F$26:F40),""))</f>
        <v/>
      </c>
      <c r="G41" s="447" t="str">
        <f t="shared" si="5"/>
        <v/>
      </c>
      <c r="H41" s="450" t="str">
        <f>IF(AND(C41&lt;&gt;"Totalt:",SUM(G41)&gt;0),IF(Protokoll!$H$13=3,IF(OR(K41="AREA",K41="EST",N41&lt;&gt;""),IF(K41="AREA",G41,G41/((L41+L41*(1-L41))*(1-L41)+L41)),IF(OR(AND(L41&gt;=0.25,D41=E41,E41=F41),AND(L41&gt;=0.25,F41&gt;=D41)),IF(ISNUMBER(VLOOKUP(C41,Beräkningshjälp!$A$3:$E$42,2,FALSE)),G41/(VLOOKUP(C41,Beräkningshjälp!$A$3:$E$42,2,FALSE)/((L41+L41*(1-L41))*(1-L41)+L41)),G41),(6*(2*D41+E41)^2-(3*(2*D41+E41)*(D41+E41+F41))-(D41+E41+F41)^2+(D41+E41+F41)*(((D41+E41+F41)^2)+6*(2*D41+E41)*(D41+E41+F41)-3*(2*D41+E41)^2)^0.5)/(18*(D41-F41)))),IF(Protokoll!$H$13=2,IF(OR(K41="EST",N41&lt;&gt;""),G41/(L41+L41*(1-L41)),IF(E41&gt;=D41,IF(ISNUMBER(VLOOKUP(C41,Beräkningshjälp!$A$3:$E$42,2,FALSE)),G41/(VLOOKUP(C41,Beräkningshjälp!$A$3:$E$42,2,FALSE)/(L41+L41*(1-L41))),G41),IF(K41="AREA",G41,D41^2/(D41-E41)))),IF(OR(K41="EST",N41&lt;&gt;""),IF(N41&lt;&gt;"",G41/N41,IF(ISNUMBER(VLOOKUP(C41,Beräkningshjälp!$A$3:$E$42,2,FALSE)),G41/VLOOKUP(C41,Beräkningshjälp!$A$3:$E$42,2,FALSE),G41)),G41))),IF(C41="Totalt:",SUM(H$26:H40),IF(AND(G41&lt;&gt;"",G41=0),0,"")))</f>
        <v/>
      </c>
      <c r="I41" s="492" t="str">
        <f>IF(Protokoll!$AC$19&lt;&gt;"",IF(COUNT(H41)&gt;0,H41/Protokoll!$AC$19*100,""),"")</f>
        <v/>
      </c>
      <c r="J41" s="464" t="str">
        <f>IF(B41&lt;&gt;"",IF(H41&lt;&gt;"",IF(K41="ZIPP",IF(Protokoll!$H$13=3,(1.96*((H41*(1-(1-L41)^3)*(1-L41)^3)/((1-(1-L41)^3)^2-9*L41^2*(1-L41)^2))^0.5)/('DATA TILL SLU'!$Q$7/100),IF(Protokoll!$H$13=2,(1.96*D41*E41*(D41+E41)^0.5/(D41-E41)^2)/('DATA TILL SLU'!$Q$7/100),"")),"-"),""),"")</f>
        <v/>
      </c>
      <c r="K41" s="448" t="str">
        <f>IF(AND(D41&gt;0,G41&gt;0,B41&lt;&gt;""),IF(Protokoll!$H$13=3,IF(OR(AND(D41&gt;=E41,E41&gt;F41),AND(D41&gt;E41,E41&gt;=F41),AND(D41&lt;=E41,D41&gt;F41,D41&gt;F41),AND(D41&gt;=E41,D41&gt;=F41,E41&lt;&gt;F41)),IF((3*(2*D41+E41)-D41-E41-F41-((D41+E41+F41)^2+6*(2*D41+E41)*(D41+E41+F41)-3*(2*D41+E41)^2)^0.5)/(4*D41+2*E41)&gt;=0.25,IF(N41="","ZIPP","EST"),IF(OR(ISNUMBER(VLOOKUP(C41,Beräkningshjälp!$A$3:$E$42,2,FALSE)),N41&lt;&gt;""),"EST","AREA")),IF(OR(ISNUMBER(VLOOKUP(C41,Beräkningshjälp!$A$3:$E$42,2,FALSE)),N41&lt;&gt;""),"EST","AREA")),IF(Protokoll!$H$13=2,IF((D41-E41)/D41&gt;=0.25,IF(N41="","ZIPP","EST"),IF(OR(ISNUMBER(VLOOKUP(C41,Beräkningshjälp!$A$3:$E$42,2,FALSE)),N41&lt;&gt;""),"EST","AREA")),IF(OR(ISNUMBER(VLOOKUP(C41,Beräkningshjälp!$A$3:$E$42,2,FALSE)),N41&lt;&gt;""),"EST","AREA"))),IF(AND(G41&gt;0,B41&lt;&gt;""),IF(OR(ISNUMBER(VLOOKUP(C41,Beräkningshjälp!$A$3:$E$42,2,FALSE)),N41&lt;&gt;""),"EST","AREA"),""))</f>
        <v/>
      </c>
      <c r="L41" s="449" t="str">
        <f>IF(AND(K41&lt;&gt;"",B41&lt;&gt;""),IF(Protokoll!$H$13=3,IF(N41&lt;&gt;"",N41,IF(K41="ZIPP",(3*(2*D41+E41)-D41-E41-F41-((D41+E41+F41)^2+6*(2*D41+E41)*(D41+E41+F41)-3*(2*D41+E41)^2)^0.5)/(4*D41+2*E41),IF(ISNUMBER(VLOOKUP(C41,Beräkningshjälp!$A$3:$E$42,2,FALSE)),VLOOKUP(C41,Beräkningshjälp!$A$3:$E$42,2,FALSE),IF(B41&lt;&gt;"","-","")))),IF(Protokoll!$H$13=2,IF(N41&lt;&gt;"",N41,IF(K41="ZIPP",(D41-E41)/D41,IF(ISNUMBER(VLOOKUP(C41,Beräkningshjälp!$A$3:$E$42,2,FALSE)),VLOOKUP(C41,Beräkningshjälp!$A$3:$E$42,2,FALSE),IF(B41&lt;&gt;"","-","")))),IF(N41&lt;&gt;"",N41,IF(ISNUMBER(VLOOKUP(C41,Beräkningshjälp!$A$3:$E$42,2,FALSE)),VLOOKUP(C41,Beräkningshjälp!$A$3:$E$42,2,FALSE),IF(B41&lt;&gt;"","-",""))))),"")</f>
        <v/>
      </c>
      <c r="M41" s="449" t="str">
        <f>IF(B41&lt;&gt;"",IF(OR(G41=0,K41="AREA",Protokoll!$H$13="",Protokoll!$H$13=1),"",2*L41-L41^2+IF(Protokoll!$H$13=3,L41*(1-(2*L41-L41^2)),0)),"")</f>
        <v/>
      </c>
      <c r="N41" s="502"/>
      <c r="Q41" s="2" t="str">
        <f>RIGHT(X41,LEN(X41)-2)&amp;" - "&amp;RIGHT(Y41,LEN(Y41)-2)</f>
        <v>176 - 180</v>
      </c>
      <c r="R41" s="136">
        <f>IF($B$1&lt;&gt;"",DCOUNT(Beräkningshjälp!$AC$2:$AI$1082,Beräkningshjälp!$AH$2,X40:Z41),0)</f>
        <v>0</v>
      </c>
      <c r="S41" s="513">
        <f>IF($B$1&lt;&gt;"",IF(AND($S$4&gt;=RIGHT(X41,LEN(X41)-2)*1,AND($S$4&lt;=RIGHT(Y41,LEN(Y41)-2)*1)),MAX(T$6:T$56),0),0)</f>
        <v>0</v>
      </c>
      <c r="T41" s="515">
        <f t="shared" si="0"/>
        <v>9</v>
      </c>
      <c r="U41" s="353" t="s">
        <v>1984</v>
      </c>
      <c r="V41" s="353" t="s">
        <v>1984</v>
      </c>
      <c r="W41" s="119" t="s">
        <v>75</v>
      </c>
      <c r="X41" s="442" t="str">
        <f>"&gt;="&amp;RIGHT(V40,LEN(V40)-2)*1+1</f>
        <v>&gt;=176</v>
      </c>
      <c r="Y41" s="445" t="str">
        <f>"&lt;="&amp;IF($B$3&lt;&gt;"",$B$3,5)+RIGHT(X41,LEN(X41)-2)*1-1</f>
        <v>&lt;=180</v>
      </c>
      <c r="Z41" s="551" t="str">
        <f>IF($W$6&lt;&gt;"",$W$6,"")</f>
        <v/>
      </c>
      <c r="AB41" s="115" t="s">
        <v>462</v>
      </c>
      <c r="AC41" t="s">
        <v>75</v>
      </c>
      <c r="AD41" t="s">
        <v>1984</v>
      </c>
      <c r="AE41" s="115" t="s">
        <v>1983</v>
      </c>
      <c r="AF41" s="115" t="s">
        <v>1983</v>
      </c>
      <c r="AG41" s="439" t="str">
        <f>IF($B44&lt;&gt;"",IF(ISNUMBER(VLOOKUP($B44,Artlista_alla,4,FALSE)),"0+",""),"")</f>
        <v/>
      </c>
      <c r="AH41" s="440" t="str">
        <f>$B44</f>
        <v/>
      </c>
      <c r="AI41" s="441" t="str">
        <f>IF(OR(VLOOKUP(AH41,$I$11:$M$22,3,FALSE)="X",AND(COUNTIF($B$27:$B$50,$B44)=2,VLOOKUP(AH41,$I$11:$M$22,3,FALSE)=0)),IF($B44=$B45,0,"&lt;10000"),IF(AND($B44&lt;&gt;"",$B44=$B43,$B44&lt;&gt;$B45),IF(ISNUMBER(VLOOKUP($B44,$I$11:$M$22,3,FALSE)),"&gt;"&amp;VLOOKUP($B44,$I$11:$M$22,3,FALSE),IF(ISNUMBER(RIGHT(VLOOKUP($B44,$I$11:$M$22,3,FALSE),LEN(VLOOKUP($B44,$I$11:$M$22,3,FALSE))-1)*1),"&gt;="&amp;RIGHT(VLOOKUP($B44,$I$11:$M$22,3,FALSE),LEN(VLOOKUP($B44,$I$11:$M$22,3,FALSE))-1),"&gt;"&amp;RIGHT(VLOOKUP($B44,$I$11:$M$22,3,FALSE),LEN(VLOOKUP($B44,$I$11:$M$22,3,FALSE))-2))),IF(AND($B44&lt;&gt;"",$B44=$B45,$B44&lt;&gt;$B43),IF(ISNUMBER(VLOOKUP($B44,$I$11:$M$22,3,FALSE)),"&lt;=","")&amp;VLOOKUP($B44,$I$11:$M$22,3,FALSE),"&lt;10000")))</f>
        <v>&lt;10000</v>
      </c>
      <c r="AJ41" s="352" t="s">
        <v>1995</v>
      </c>
      <c r="AK41" s="115">
        <v>2</v>
      </c>
    </row>
    <row r="42" spans="1:37" ht="13.8" thickBot="1" x14ac:dyDescent="0.3">
      <c r="A42" s="508" t="str">
        <f>IF(VLOOKUP(B42,Beräkningshjälp!$M$2:$U$60,4,FALSE)&gt;0,IF(ROUND((ROW(B41)-ROW(B$26))/2,0)=INT((ROW(B41)-ROW(B$26))/2),IF(DCOUNTA('Antal &amp; Längder (vikter)'!$O$10:$T$27,'Antal &amp; Längder (vikter)'!$Q$10,AC38:AC39)&lt;&gt;DCOUNT('Antal &amp; Längder (vikter)'!$O$10:$T$27,'Antal &amp; Längder (vikter)'!$R$10,AC38:AC39),"Icke längdmätta ej uppdelade 0+/&gt;0+",IF(AND(DCOUNT(Beräkningshjälp!$AB$2:$AI$1082,Beräkningshjälp!$AH$2,AC38:AC39)&gt;0,COUNTIF(B$27:B$50,B42)=1,VLOOKUP(B42,I$11:K$22,3,FALSE)=0),"Ange gräns 0+/&gt;0+ i fält K"&amp;10+B42&amp;" ovan","")),IF(DCOUNTA('Antal &amp; Längder (vikter)'!$O$10:$T$27,'Antal &amp; Längder (vikter)'!$Q$10,AH38:AH39)&lt;&gt;DCOUNT('Antal &amp; Längder (vikter)'!$O$10:$T$27,'Antal &amp; Längder (vikter)'!$R$10,AH38:AH39),"Icke längdmätta ej uppdelade 0+/&gt;0+",IF(AND(DCOUNT(Beräkningshjälp!$AB$2:$AI$1082,Beräkningshjälp!$AH$2,Artuppgifter!AH38:AH39)&gt;0,COUNTIF(B$27:B$50,B42)=1,VLOOKUP(B42,I$11:K$22,3,FALSE)=0),"Ange gräns 0+/&gt;0+ i fält K"&amp;10+B42&amp;" ovan",""))),"")</f>
        <v/>
      </c>
      <c r="B42" s="515" t="str">
        <f>IF(B41&lt;&gt;"",IF(AND(COUNTIF(B$26:B41,B41)=1,VLOOKUP(B41,Artlista_alla,4,FALSE)&gt;0,VLOOKUP(B41,I$11:M$22,3,FALSE)&gt;0,IF((ROW()-ROW($B$26))/2=INT((ROW()-ROW($B$26))/2),IF(ISNUMBER(DCOUNTA(Omätta,B41,AC37:AC38)),IF(DCOUNTA(Omätta,B41,AC37:AC38)&gt;0,AND(DCOUNTA(Omätta,AB37,AC37:AC38)&gt;0,DCOUNTA(Omätta,AB37,AC37:AC38)=DCOUNTA(Omätta,AC37,AC37:AC38)),TRUE),FALSE),IF(ISNUMBER(DCOUNTA(Omätta,B41,AH37:AH38)),IF(DCOUNTA(Omätta,B41,AH37:AH38)&gt;0,AND(DCOUNTA(Omätta,AG37,AH37:AH38)&gt;0,DCOUNTA(Omätta,AG37,AH37:AH38)=DCOUNTA(Omätta,AH37,AH37:AH38)),TRUE),FALSE))),B41,IF(COUNTIF(I$11:I$22,B41+1)&gt;0,B41+1,"")),"")</f>
        <v/>
      </c>
      <c r="C42" s="447" t="str">
        <f t="shared" si="4"/>
        <v/>
      </c>
      <c r="D42" s="447" t="str">
        <f>IF(B42&lt;&gt;"",IF(ROUND((ROW(C41)-ROW(C$26))/2,0)=INT((ROW(D41)-ROW(D$26))/2),DCOUNT(Beräkningshjälp!$AC$2:$AI$1082,Beräkningshjälp!AH$2,AC38:AE39)-DCOUNT(Beräkningshjälp!$AC$2:$AI$1082,Beräkningshjälp!AH$2,AC38:AF39)+IF(VLOOKUP(B42,Beräkningshjälp!$M$2:$U$60,4,FALSE)&gt;0,IF(B42=B43,DSUM('Antal &amp; Längder (vikter)'!$O$10:$T$27,'Antal &amp; Längder (vikter)'!$R$10,AB38:AC39),DSUM('Antal &amp; Längder (vikter)'!$O$10:$T$27,'Antal &amp; Längder (vikter)'!$R$10,AC38:AC39)-IF(B42=B41,DSUM('Antal &amp; Längder (vikter)'!$O$10:$T$27,'Antal &amp; Längder (vikter)'!$R$10,AB38:AC39),0)),DSUM('Antal &amp; Längder (vikter)'!$O$10:$T$27,'Antal &amp; Längder (vikter)'!$R$10,AC38:AC39)),DCOUNT(Beräkningshjälp!$AC$2:$AI$1082,Beräkningshjälp!AH$2,AH38:AJ39)-DCOUNT(Beräkningshjälp!$AC$2:$AI$1082,Beräkningshjälp!AH$2,AH38:AK39)+IF(VLOOKUP(B42,Beräkningshjälp!$M$2:$U$60,4,FALSE)&gt;0,IF(B42=B43,DSUM('Antal &amp; Längder (vikter)'!$O$10:$T$27,'Antal &amp; Längder (vikter)'!$R$10,AG38:AH39),DSUM('Antal &amp; Längder (vikter)'!$O$10:$T$27,'Antal &amp; Längder (vikter)'!$R$10,AH38:AH39)-IF(B42=B41,DSUM('Antal &amp; Längder (vikter)'!$O$10:$T$27,'Antal &amp; Längder (vikter)'!$R$10,AG38:AH39),0)),DSUM('Antal &amp; Längder (vikter)'!$O$10:$T$27,'Antal &amp; Längder (vikter)'!$R$10,AH38:AH39))),IF(C42="Totalt:",SUM(D$26:D41),""))</f>
        <v/>
      </c>
      <c r="E42" s="447" t="str">
        <f>IF(AND(B42&lt;&gt;"",protokollAntalutfisk&gt;1),IF(ROUND((ROW(C41)-ROW(C$26))/2,0)=INT((ROW(D41)-ROW(D$26))/2),DCOUNT(Beräkningshjälp!$AC$2:$AI$1082,Beräkningshjälp!AH$2,AC38:AF39)+IF(VLOOKUP(B42,Beräkningshjälp!$M$2:$U$60,4,FALSE)&gt;0,IF(B42=B43,DSUM('Antal &amp; Längder (vikter)'!$O$10:$T$27,'Antal &amp; Längder (vikter)'!$S$10,AB38:AC39),DSUM('Antal &amp; Längder (vikter)'!$O$10:$T$27,'Antal &amp; Längder (vikter)'!$S$10,AC38:AC39)-IF(B42=B41,DSUM('Antal &amp; Längder (vikter)'!$O$10:$T$27,'Antal &amp; Längder (vikter)'!$S$10,AB38:AC39),0)),DSUM('Antal &amp; Längder (vikter)'!$O$10:$T$27,'Antal &amp; Längder (vikter)'!$S$10,AC38:AC39)),DCOUNT(Beräkningshjälp!$AC$2:$AI$1082,Beräkningshjälp!AH$2,AH38:AK39)+IF(VLOOKUP(B42,Beräkningshjälp!$M$2:$U$60,4,FALSE)&gt;0,IF(B42=B43,DSUM('Antal &amp; Längder (vikter)'!$O$10:$T$27,'Antal &amp; Längder (vikter)'!$S$10,AG38:AH39),DSUM('Antal &amp; Längder (vikter)'!$O$10:$T$27,'Antal &amp; Längder (vikter)'!$S$10,AH38:AH39)-IF(B42=B41,DSUM('Antal &amp; Längder (vikter)'!$O$10:$T$27,'Antal &amp; Längder (vikter)'!$S$10,AG38:AH39),0)),DSUM('Antal &amp; Längder (vikter)'!$O$10:$T$27,'Antal &amp; Längder (vikter)'!$S$10,AH38:AH39))),IF(C42="Totalt:",SUM(E$26:E41),""))</f>
        <v/>
      </c>
      <c r="F42" s="447" t="str">
        <f>IF(AND(B42&lt;&gt;"",protokollAntalutfisk&gt;2),IF(ROUND((ROW(C41)-ROW(C$26))/2,0)=INT((ROW(D41)-ROW(D$26))/2),DCOUNT(Beräkningshjälp!$AC$2:$AI$1082,Beräkningshjälp!AH$2,AC38:AD39)-DCOUNT(Beräkningshjälp!$AC$2:$AI$1082,Beräkningshjälp!AH$2,AC38:AE39)+IF(VLOOKUP(B42,Beräkningshjälp!$M$2:$U$60,4,FALSE)&gt;0,IF(B42=B43,DSUM('Antal &amp; Längder (vikter)'!$O$10:$T$27,'Antal &amp; Längder (vikter)'!$T$10,AB38:AC39),DSUM('Antal &amp; Längder (vikter)'!$O$10:$T$27,'Antal &amp; Längder (vikter)'!$T$10,AC38:AC39)-IF(B42=B41,DSUM('Antal &amp; Längder (vikter)'!$O$10:$T$27,'Antal &amp; Längder (vikter)'!$T$10,AB38:AC39),0)),DSUM('Antal &amp; Längder (vikter)'!$O$10:$T$27,'Antal &amp; Längder (vikter)'!$T$10,AC38:AC39)),DCOUNT(Beräkningshjälp!$AC$2:$AI$1082,Beräkningshjälp!AH$2,AH38:AI39)-DCOUNT(Beräkningshjälp!$AC$2:$AI$1082,Beräkningshjälp!AH$2,AH38:AJ39)+IF(VLOOKUP(B42,Beräkningshjälp!$M$2:$U$60,4,FALSE)&gt;0,DSUM('Antal &amp; Längder (vikter)'!$O$10:$T$27,'Antal &amp; Längder (vikter)'!$T$10,AH38:AH39)-IF(B42=B41,DSUM('Antal &amp; Längder (vikter)'!$O$10:$T$27,'Antal &amp; Längder (vikter)'!$T$10,AG38:AH39),0),DSUM('Antal &amp; Längder (vikter)'!$O$10:$T$27,'Antal &amp; Längder (vikter)'!$T$10,AH38:AH39))),IF(C42="Totalt:",SUM(F$26:F41),""))</f>
        <v/>
      </c>
      <c r="G42" s="447" t="str">
        <f t="shared" si="5"/>
        <v/>
      </c>
      <c r="H42" s="450" t="str">
        <f>IF(AND(C42&lt;&gt;"Totalt:",SUM(G42)&gt;0),IF(Protokoll!$H$13=3,IF(OR(K42="AREA",K42="EST",N42&lt;&gt;""),IF(K42="AREA",G42,G42/((L42+L42*(1-L42))*(1-L42)+L42)),IF(OR(AND(L42&gt;=0.25,D42=E42,E42=F42),AND(L42&gt;=0.25,F42&gt;=D42)),IF(ISNUMBER(VLOOKUP(C42,Beräkningshjälp!$A$3:$E$42,2,FALSE)),G42/(VLOOKUP(C42,Beräkningshjälp!$A$3:$E$42,2,FALSE)/((L42+L42*(1-L42))*(1-L42)+L42)),G42),(6*(2*D42+E42)^2-(3*(2*D42+E42)*(D42+E42+F42))-(D42+E42+F42)^2+(D42+E42+F42)*(((D42+E42+F42)^2)+6*(2*D42+E42)*(D42+E42+F42)-3*(2*D42+E42)^2)^0.5)/(18*(D42-F42)))),IF(Protokoll!$H$13=2,IF(OR(K42="EST",N42&lt;&gt;""),G42/(L42+L42*(1-L42)),IF(E42&gt;=D42,IF(ISNUMBER(VLOOKUP(C42,Beräkningshjälp!$A$3:$E$42,2,FALSE)),G42/(VLOOKUP(C42,Beräkningshjälp!$A$3:$E$42,2,FALSE)/(L42+L42*(1-L42))),G42),IF(K42="AREA",G42,D42^2/(D42-E42)))),IF(OR(K42="EST",N42&lt;&gt;""),IF(N42&lt;&gt;"",G42/N42,IF(ISNUMBER(VLOOKUP(C42,Beräkningshjälp!$A$3:$E$42,2,FALSE)),G42/VLOOKUP(C42,Beräkningshjälp!$A$3:$E$42,2,FALSE),G42)),G42))),IF(C42="Totalt:",SUM(H$26:H41),IF(AND(G42&lt;&gt;"",G42=0),0,"")))</f>
        <v/>
      </c>
      <c r="I42" s="492" t="str">
        <f>IF(Protokoll!$AC$19&lt;&gt;"",IF(COUNT(H42)&gt;0,H42/Protokoll!$AC$19*100,""),"")</f>
        <v/>
      </c>
      <c r="J42" s="464" t="str">
        <f>IF(B42&lt;&gt;"",IF(H42&lt;&gt;"",IF(K42="ZIPP",IF(Protokoll!$H$13=3,(1.96*((H42*(1-(1-L42)^3)*(1-L42)^3)/((1-(1-L42)^3)^2-9*L42^2*(1-L42)^2))^0.5)/('DATA TILL SLU'!$Q$7/100),IF(Protokoll!$H$13=2,(1.96*D42*E42*(D42+E42)^0.5/(D42-E42)^2)/('DATA TILL SLU'!$Q$7/100),"")),"-"),""),"")</f>
        <v/>
      </c>
      <c r="K42" s="448" t="str">
        <f>IF(AND(D42&gt;0,G42&gt;0,B42&lt;&gt;""),IF(Protokoll!$H$13=3,IF(OR(AND(D42&gt;=E42,E42&gt;F42),AND(D42&gt;E42,E42&gt;=F42),AND(D42&lt;=E42,D42&gt;F42,D42&gt;F42),AND(D42&gt;=E42,D42&gt;=F42,E42&lt;&gt;F42)),IF((3*(2*D42+E42)-D42-E42-F42-((D42+E42+F42)^2+6*(2*D42+E42)*(D42+E42+F42)-3*(2*D42+E42)^2)^0.5)/(4*D42+2*E42)&gt;=0.25,IF(N42="","ZIPP","EST"),IF(OR(ISNUMBER(VLOOKUP(C42,Beräkningshjälp!$A$3:$E$42,2,FALSE)),N42&lt;&gt;""),"EST","AREA")),IF(OR(ISNUMBER(VLOOKUP(C42,Beräkningshjälp!$A$3:$E$42,2,FALSE)),N42&lt;&gt;""),"EST","AREA")),IF(Protokoll!$H$13=2,IF((D42-E42)/D42&gt;=0.25,IF(N42="","ZIPP","EST"),IF(OR(ISNUMBER(VLOOKUP(C42,Beräkningshjälp!$A$3:$E$42,2,FALSE)),N42&lt;&gt;""),"EST","AREA")),IF(OR(ISNUMBER(VLOOKUP(C42,Beräkningshjälp!$A$3:$E$42,2,FALSE)),N42&lt;&gt;""),"EST","AREA"))),IF(AND(G42&gt;0,B42&lt;&gt;""),IF(OR(ISNUMBER(VLOOKUP(C42,Beräkningshjälp!$A$3:$E$42,2,FALSE)),N42&lt;&gt;""),"EST","AREA"),""))</f>
        <v/>
      </c>
      <c r="L42" s="449" t="str">
        <f>IF(AND(K42&lt;&gt;"",B42&lt;&gt;""),IF(Protokoll!$H$13=3,IF(N42&lt;&gt;"",N42,IF(K42="ZIPP",(3*(2*D42+E42)-D42-E42-F42-((D42+E42+F42)^2+6*(2*D42+E42)*(D42+E42+F42)-3*(2*D42+E42)^2)^0.5)/(4*D42+2*E42),IF(ISNUMBER(VLOOKUP(C42,Beräkningshjälp!$A$3:$E$42,2,FALSE)),VLOOKUP(C42,Beräkningshjälp!$A$3:$E$42,2,FALSE),IF(B42&lt;&gt;"","-","")))),IF(Protokoll!$H$13=2,IF(N42&lt;&gt;"",N42,IF(K42="ZIPP",(D42-E42)/D42,IF(ISNUMBER(VLOOKUP(C42,Beräkningshjälp!$A$3:$E$42,2,FALSE)),VLOOKUP(C42,Beräkningshjälp!$A$3:$E$42,2,FALSE),IF(B42&lt;&gt;"","-","")))),IF(N42&lt;&gt;"",N42,IF(ISNUMBER(VLOOKUP(C42,Beräkningshjälp!$A$3:$E$42,2,FALSE)),VLOOKUP(C42,Beräkningshjälp!$A$3:$E$42,2,FALSE),IF(B42&lt;&gt;"","-",""))))),"")</f>
        <v/>
      </c>
      <c r="M42" s="449" t="str">
        <f>IF(B42&lt;&gt;"",IF(OR(G42=0,K42="AREA",Protokoll!$H$13="",Protokoll!$H$13=1),"",2*L42-L42^2+IF(Protokoll!$H$13=3,L42*(1-(2*L42-L42^2)),0)),"")</f>
        <v/>
      </c>
      <c r="N42" s="502"/>
      <c r="Q42" s="2" t="str">
        <f>RIGHT(U42,LEN(U42)-2)&amp;" - "&amp;RIGHT(V42,LEN(V42)-2)</f>
        <v>181 - 185</v>
      </c>
      <c r="R42" s="136">
        <f>IF($B$1&lt;&gt;"",DCOUNT(Beräkningshjälp!$AC$2:$AI$1082,Beräkningshjälp!$AH$2,U41:W42),0)</f>
        <v>0</v>
      </c>
      <c r="S42" s="513">
        <f>IF($B$1&lt;&gt;"",IF(AND($S$4&gt;=RIGHT(U42,LEN(U42)-2)*1,AND($S$4&lt;=RIGHT(V42,LEN(V42)-2)*1)),MAX(T$6:T$56),0),0)</f>
        <v>0</v>
      </c>
      <c r="T42" s="515">
        <f t="shared" si="0"/>
        <v>9</v>
      </c>
      <c r="U42" s="445" t="str">
        <f>"&gt;="&amp;RIGHT(Y41,LEN(Y41)-2)*1+1</f>
        <v>&gt;=181</v>
      </c>
      <c r="V42" s="444" t="str">
        <f>"&lt;="&amp;IF($B$3&lt;&gt;"",$B$3,5)+RIGHT(U42,LEN(U42)-2)*1-1</f>
        <v>&lt;=185</v>
      </c>
      <c r="W42" s="551" t="str">
        <f>IF($W$6&lt;&gt;"",$W$6,"")</f>
        <v/>
      </c>
      <c r="X42" s="353" t="s">
        <v>1984</v>
      </c>
      <c r="Y42" s="353" t="s">
        <v>1984</v>
      </c>
      <c r="Z42" s="119" t="s">
        <v>75</v>
      </c>
      <c r="AB42" s="439" t="str">
        <f>IF($B45&lt;&gt;"",IF(ISNUMBER(VLOOKUP($B45,Artlista_alla,4,FALSE)),"0+",""),"")</f>
        <v/>
      </c>
      <c r="AC42" s="440" t="str">
        <f>$B45</f>
        <v/>
      </c>
      <c r="AD42" s="441" t="str">
        <f>IF(OR(VLOOKUP(AC42,$I$11:$M$22,3,FALSE)="X",AND(COUNTIF($B$27:$B$50,$B45)=2,VLOOKUP(AC42,$I$11:$M$22,3,FALSE)=0)),IF($B45=$B46,0,"&lt;10000"),IF(AND($B45&lt;&gt;"",$B45=$B44,$B45&lt;&gt;$B46),IF(ISNUMBER(VLOOKUP($B45,$I$11:$M$22,3,FALSE)),"&gt;"&amp;VLOOKUP($B45,$I$11:$M$22,3,FALSE),IF(ISNUMBER(RIGHT(VLOOKUP($B45,$I$11:$M$22,3,FALSE),LEN(VLOOKUP($B45,$I$11:$M$22,3,FALSE))-1)*1),"&gt;="&amp;RIGHT(VLOOKUP($B45,$I$11:$M$22,3,FALSE),LEN(VLOOKUP($B45,$I$11:$M$22,3,FALSE))-1),"&gt;"&amp;RIGHT(VLOOKUP($B45,$I$11:$M$22,3,FALSE),LEN(VLOOKUP($B45,$I$11:$M$22,3,FALSE))-2))),IF(AND($B45&lt;&gt;"",$B45=$B46,$B45&lt;&gt;$B44),IF(ISNUMBER(VLOOKUP($B45,$I$11:$M$22,3,FALSE)),"&lt;=","")&amp;VLOOKUP($B45,$I$11:$M$22,3,FALSE),"&lt;10000")))</f>
        <v>&lt;10000</v>
      </c>
      <c r="AE42" s="352" t="s">
        <v>1995</v>
      </c>
      <c r="AF42" s="115">
        <v>2</v>
      </c>
      <c r="AG42" s="115" t="s">
        <v>462</v>
      </c>
      <c r="AH42" t="s">
        <v>75</v>
      </c>
      <c r="AI42" t="s">
        <v>1984</v>
      </c>
      <c r="AJ42" s="115" t="s">
        <v>1983</v>
      </c>
      <c r="AK42" s="115" t="s">
        <v>1983</v>
      </c>
    </row>
    <row r="43" spans="1:37" ht="13.8" thickBot="1" x14ac:dyDescent="0.3">
      <c r="A43" s="508" t="str">
        <f>IF(VLOOKUP(B43,Beräkningshjälp!$M$2:$U$60,4,FALSE)&gt;0,IF(ROUND((ROW(B42)-ROW(B$26))/2,0)=INT((ROW(B42)-ROW(B$26))/2),IF(DCOUNTA('Antal &amp; Längder (vikter)'!$O$10:$T$27,'Antal &amp; Längder (vikter)'!$Q$10,AC39:AC40)&lt;&gt;DCOUNT('Antal &amp; Längder (vikter)'!$O$10:$T$27,'Antal &amp; Längder (vikter)'!$R$10,AC39:AC40),"Icke längdmätta ej uppdelade 0+/&gt;0+",IF(AND(DCOUNT(Beräkningshjälp!$AB$2:$AI$1082,Beräkningshjälp!$AH$2,AC39:AC40)&gt;0,COUNTIF(B$27:B$50,B43)=1,VLOOKUP(B43,I$11:K$22,3,FALSE)=0),"Ange gräns 0+/&gt;0+ i fält K"&amp;10+B43&amp;" ovan","")),IF(DCOUNTA('Antal &amp; Längder (vikter)'!$O$10:$T$27,'Antal &amp; Längder (vikter)'!$Q$10,AH39:AH40)&lt;&gt;DCOUNT('Antal &amp; Längder (vikter)'!$O$10:$T$27,'Antal &amp; Längder (vikter)'!$R$10,AH39:AH40),"Icke längdmätta ej uppdelade 0+/&gt;0+",IF(AND(DCOUNT(Beräkningshjälp!$AB$2:$AI$1082,Beräkningshjälp!$AH$2,Artuppgifter!AH39:AH40)&gt;0,COUNTIF(B$27:B$50,B43)=1,VLOOKUP(B43,I$11:K$22,3,FALSE)=0),"Ange gräns 0+/&gt;0+ i fält K"&amp;10+B43&amp;" ovan",""))),"")</f>
        <v/>
      </c>
      <c r="B43" s="515" t="str">
        <f>IF(B42&lt;&gt;"",IF(AND(COUNTIF(B$26:B42,B42)=1,VLOOKUP(B42,Artlista_alla,4,FALSE)&gt;0,VLOOKUP(B42,I$11:M$22,3,FALSE)&gt;0,IF((ROW()-ROW($B$26))/2=INT((ROW()-ROW($B$26))/2),IF(ISNUMBER(DCOUNTA(Omätta,B42,AC38:AC39)),IF(DCOUNTA(Omätta,B42,AC38:AC39)&gt;0,AND(DCOUNTA(Omätta,AB38,AC38:AC39)&gt;0,DCOUNTA(Omätta,AB38,AC38:AC39)=DCOUNTA(Omätta,AC38,AC38:AC39)),TRUE),FALSE),IF(ISNUMBER(DCOUNTA(Omätta,B42,AH38:AH39)),IF(DCOUNTA(Omätta,B42,AH38:AH39)&gt;0,AND(DCOUNTA(Omätta,AG38,AH38:AH39)&gt;0,DCOUNTA(Omätta,AG38,AH38:AH39)=DCOUNTA(Omätta,AH38,AH38:AH39)),TRUE),FALSE))),B42,IF(COUNTIF(I$11:I$22,B42+1)&gt;0,B42+1,"")),"")</f>
        <v/>
      </c>
      <c r="C43" s="447" t="str">
        <f t="shared" si="4"/>
        <v/>
      </c>
      <c r="D43" s="447" t="str">
        <f>IF(B43&lt;&gt;"",IF(ROUND((ROW(C42)-ROW(C$26))/2,0)=INT((ROW(D42)-ROW(D$26))/2),DCOUNT(Beräkningshjälp!$AC$2:$AI$1082,Beräkningshjälp!AH$2,AC39:AE40)-DCOUNT(Beräkningshjälp!$AC$2:$AI$1082,Beräkningshjälp!AH$2,AC39:AF40)+IF(VLOOKUP(B43,Beräkningshjälp!$M$2:$U$60,4,FALSE)&gt;0,IF(B43=B44,DSUM('Antal &amp; Längder (vikter)'!$O$10:$T$27,'Antal &amp; Längder (vikter)'!$R$10,AB39:AC40),DSUM('Antal &amp; Längder (vikter)'!$O$10:$T$27,'Antal &amp; Längder (vikter)'!$R$10,AC39:AC40)-IF(B43=B42,DSUM('Antal &amp; Längder (vikter)'!$O$10:$T$27,'Antal &amp; Längder (vikter)'!$R$10,AB39:AC40),0)),DSUM('Antal &amp; Längder (vikter)'!$O$10:$T$27,'Antal &amp; Längder (vikter)'!$R$10,AC39:AC40)),DCOUNT(Beräkningshjälp!$AC$2:$AI$1082,Beräkningshjälp!AH$2,AH39:AJ40)-DCOUNT(Beräkningshjälp!$AC$2:$AI$1082,Beräkningshjälp!AH$2,AH39:AK40)+IF(VLOOKUP(B43,Beräkningshjälp!$M$2:$U$60,4,FALSE)&gt;0,IF(B43=B44,DSUM('Antal &amp; Längder (vikter)'!$O$10:$T$27,'Antal &amp; Längder (vikter)'!$R$10,AG39:AH40),DSUM('Antal &amp; Längder (vikter)'!$O$10:$T$27,'Antal &amp; Längder (vikter)'!$R$10,AH39:AH40)-IF(B43=B42,DSUM('Antal &amp; Längder (vikter)'!$O$10:$T$27,'Antal &amp; Längder (vikter)'!$R$10,AG39:AH40),0)),DSUM('Antal &amp; Längder (vikter)'!$O$10:$T$27,'Antal &amp; Längder (vikter)'!$R$10,AH39:AH40))),IF(C43="Totalt:",SUM(D$26:D42),""))</f>
        <v/>
      </c>
      <c r="E43" s="447" t="str">
        <f>IF(AND(B43&lt;&gt;"",protokollAntalutfisk&gt;1),IF(ROUND((ROW(C42)-ROW(C$26))/2,0)=INT((ROW(D42)-ROW(D$26))/2),DCOUNT(Beräkningshjälp!$AC$2:$AI$1082,Beräkningshjälp!AH$2,AC39:AF40)+IF(VLOOKUP(B43,Beräkningshjälp!$M$2:$U$60,4,FALSE)&gt;0,IF(B43=B44,DSUM('Antal &amp; Längder (vikter)'!$O$10:$T$27,'Antal &amp; Längder (vikter)'!$S$10,AB39:AC40),DSUM('Antal &amp; Längder (vikter)'!$O$10:$T$27,'Antal &amp; Längder (vikter)'!$S$10,AC39:AC40)-IF(B43=B42,DSUM('Antal &amp; Längder (vikter)'!$O$10:$T$27,'Antal &amp; Längder (vikter)'!$S$10,AB39:AC40),0)),DSUM('Antal &amp; Längder (vikter)'!$O$10:$T$27,'Antal &amp; Längder (vikter)'!$S$10,AC39:AC40)),DCOUNT(Beräkningshjälp!$AC$2:$AI$1082,Beräkningshjälp!AH$2,AH39:AK40)+IF(VLOOKUP(B43,Beräkningshjälp!$M$2:$U$60,4,FALSE)&gt;0,IF(B43=B44,DSUM('Antal &amp; Längder (vikter)'!$O$10:$T$27,'Antal &amp; Längder (vikter)'!$S$10,AG39:AH40),DSUM('Antal &amp; Längder (vikter)'!$O$10:$T$27,'Antal &amp; Längder (vikter)'!$S$10,AH39:AH40)-IF(B43=B42,DSUM('Antal &amp; Längder (vikter)'!$O$10:$T$27,'Antal &amp; Längder (vikter)'!$S$10,AG39:AH40),0)),DSUM('Antal &amp; Längder (vikter)'!$O$10:$T$27,'Antal &amp; Längder (vikter)'!$S$10,AH39:AH40))),IF(C43="Totalt:",SUM(E$26:E42),""))</f>
        <v/>
      </c>
      <c r="F43" s="447" t="str">
        <f>IF(AND(B43&lt;&gt;"",protokollAntalutfisk&gt;2),IF(ROUND((ROW(C42)-ROW(C$26))/2,0)=INT((ROW(D42)-ROW(D$26))/2),DCOUNT(Beräkningshjälp!$AC$2:$AI$1082,Beräkningshjälp!AH$2,AC39:AD40)-DCOUNT(Beräkningshjälp!$AC$2:$AI$1082,Beräkningshjälp!AH$2,AC39:AE40)+IF(VLOOKUP(B43,Beräkningshjälp!$M$2:$U$60,4,FALSE)&gt;0,IF(B43=B44,DSUM('Antal &amp; Längder (vikter)'!$O$10:$T$27,'Antal &amp; Längder (vikter)'!$T$10,AB39:AC40),DSUM('Antal &amp; Längder (vikter)'!$O$10:$T$27,'Antal &amp; Längder (vikter)'!$T$10,AC39:AC40)-IF(B43=B42,DSUM('Antal &amp; Längder (vikter)'!$O$10:$T$27,'Antal &amp; Längder (vikter)'!$T$10,AB39:AC40),0)),DSUM('Antal &amp; Längder (vikter)'!$O$10:$T$27,'Antal &amp; Längder (vikter)'!$T$10,AC39:AC40)),DCOUNT(Beräkningshjälp!$AC$2:$AI$1082,Beräkningshjälp!AH$2,AH39:AI40)-DCOUNT(Beräkningshjälp!$AC$2:$AI$1082,Beräkningshjälp!AH$2,AH39:AJ40)+IF(VLOOKUP(B43,Beräkningshjälp!$M$2:$U$60,4,FALSE)&gt;0,DSUM('Antal &amp; Längder (vikter)'!$O$10:$T$27,'Antal &amp; Längder (vikter)'!$T$10,AH39:AH40)-IF(B43=B42,DSUM('Antal &amp; Längder (vikter)'!$O$10:$T$27,'Antal &amp; Längder (vikter)'!$T$10,AG39:AH40),0),DSUM('Antal &amp; Längder (vikter)'!$O$10:$T$27,'Antal &amp; Längder (vikter)'!$T$10,AH39:AH40))),IF(C43="Totalt:",SUM(F$26:F42),""))</f>
        <v/>
      </c>
      <c r="G43" s="447" t="str">
        <f t="shared" si="5"/>
        <v/>
      </c>
      <c r="H43" s="450" t="str">
        <f>IF(AND(C43&lt;&gt;"Totalt:",SUM(G43)&gt;0),IF(Protokoll!$H$13=3,IF(OR(K43="AREA",K43="EST",N43&lt;&gt;""),IF(K43="AREA",G43,G43/((L43+L43*(1-L43))*(1-L43)+L43)),IF(OR(AND(L43&gt;=0.25,D43=E43,E43=F43),AND(L43&gt;=0.25,F43&gt;=D43)),IF(ISNUMBER(VLOOKUP(C43,Beräkningshjälp!$A$3:$E$42,2,FALSE)),G43/(VLOOKUP(C43,Beräkningshjälp!$A$3:$E$42,2,FALSE)/((L43+L43*(1-L43))*(1-L43)+L43)),G43),(6*(2*D43+E43)^2-(3*(2*D43+E43)*(D43+E43+F43))-(D43+E43+F43)^2+(D43+E43+F43)*(((D43+E43+F43)^2)+6*(2*D43+E43)*(D43+E43+F43)-3*(2*D43+E43)^2)^0.5)/(18*(D43-F43)))),IF(Protokoll!$H$13=2,IF(OR(K43="EST",N43&lt;&gt;""),G43/(L43+L43*(1-L43)),IF(E43&gt;=D43,IF(ISNUMBER(VLOOKUP(C43,Beräkningshjälp!$A$3:$E$42,2,FALSE)),G43/(VLOOKUP(C43,Beräkningshjälp!$A$3:$E$42,2,FALSE)/(L43+L43*(1-L43))),G43),IF(K43="AREA",G43,D43^2/(D43-E43)))),IF(OR(K43="EST",N43&lt;&gt;""),IF(N43&lt;&gt;"",G43/N43,IF(ISNUMBER(VLOOKUP(C43,Beräkningshjälp!$A$3:$E$42,2,FALSE)),G43/VLOOKUP(C43,Beräkningshjälp!$A$3:$E$42,2,FALSE),G43)),G43))),IF(C43="Totalt:",SUM(H$26:H42),IF(AND(G43&lt;&gt;"",G43=0),0,"")))</f>
        <v/>
      </c>
      <c r="I43" s="492" t="str">
        <f>IF(Protokoll!$AC$19&lt;&gt;"",IF(COUNT(H43)&gt;0,H43/Protokoll!$AC$19*100,""),"")</f>
        <v/>
      </c>
      <c r="J43" s="464" t="str">
        <f>IF(B43&lt;&gt;"",IF(H43&lt;&gt;"",IF(K43="ZIPP",IF(Protokoll!$H$13=3,(1.96*((H43*(1-(1-L43)^3)*(1-L43)^3)/((1-(1-L43)^3)^2-9*L43^2*(1-L43)^2))^0.5)/('DATA TILL SLU'!$Q$7/100),IF(Protokoll!$H$13=2,(1.96*D43*E43*(D43+E43)^0.5/(D43-E43)^2)/('DATA TILL SLU'!$Q$7/100),"")),"-"),""),"")</f>
        <v/>
      </c>
      <c r="K43" s="448" t="str">
        <f>IF(AND(D43&gt;0,G43&gt;0,B43&lt;&gt;""),IF(Protokoll!$H$13=3,IF(OR(AND(D43&gt;=E43,E43&gt;F43),AND(D43&gt;E43,E43&gt;=F43),AND(D43&lt;=E43,D43&gt;F43,D43&gt;F43),AND(D43&gt;=E43,D43&gt;=F43,E43&lt;&gt;F43)),IF((3*(2*D43+E43)-D43-E43-F43-((D43+E43+F43)^2+6*(2*D43+E43)*(D43+E43+F43)-3*(2*D43+E43)^2)^0.5)/(4*D43+2*E43)&gt;=0.25,IF(N43="","ZIPP","EST"),IF(OR(ISNUMBER(VLOOKUP(C43,Beräkningshjälp!$A$3:$E$42,2,FALSE)),N43&lt;&gt;""),"EST","AREA")),IF(OR(ISNUMBER(VLOOKUP(C43,Beräkningshjälp!$A$3:$E$42,2,FALSE)),N43&lt;&gt;""),"EST","AREA")),IF(Protokoll!$H$13=2,IF((D43-E43)/D43&gt;=0.25,IF(N43="","ZIPP","EST"),IF(OR(ISNUMBER(VLOOKUP(C43,Beräkningshjälp!$A$3:$E$42,2,FALSE)),N43&lt;&gt;""),"EST","AREA")),IF(OR(ISNUMBER(VLOOKUP(C43,Beräkningshjälp!$A$3:$E$42,2,FALSE)),N43&lt;&gt;""),"EST","AREA"))),IF(AND(G43&gt;0,B43&lt;&gt;""),IF(OR(ISNUMBER(VLOOKUP(C43,Beräkningshjälp!$A$3:$E$42,2,FALSE)),N43&lt;&gt;""),"EST","AREA"),""))</f>
        <v/>
      </c>
      <c r="L43" s="449" t="str">
        <f>IF(AND(K43&lt;&gt;"",B43&lt;&gt;""),IF(Protokoll!$H$13=3,IF(N43&lt;&gt;"",N43,IF(K43="ZIPP",(3*(2*D43+E43)-D43-E43-F43-((D43+E43+F43)^2+6*(2*D43+E43)*(D43+E43+F43)-3*(2*D43+E43)^2)^0.5)/(4*D43+2*E43),IF(ISNUMBER(VLOOKUP(C43,Beräkningshjälp!$A$3:$E$42,2,FALSE)),VLOOKUP(C43,Beräkningshjälp!$A$3:$E$42,2,FALSE),IF(B43&lt;&gt;"","-","")))),IF(Protokoll!$H$13=2,IF(N43&lt;&gt;"",N43,IF(K43="ZIPP",(D43-E43)/D43,IF(ISNUMBER(VLOOKUP(C43,Beräkningshjälp!$A$3:$E$42,2,FALSE)),VLOOKUP(C43,Beräkningshjälp!$A$3:$E$42,2,FALSE),IF(B43&lt;&gt;"","-","")))),IF(N43&lt;&gt;"",N43,IF(ISNUMBER(VLOOKUP(C43,Beräkningshjälp!$A$3:$E$42,2,FALSE)),VLOOKUP(C43,Beräkningshjälp!$A$3:$E$42,2,FALSE),IF(B43&lt;&gt;"","-",""))))),"")</f>
        <v/>
      </c>
      <c r="M43" s="449" t="str">
        <f>IF(B43&lt;&gt;"",IF(OR(G43=0,K43="AREA",Protokoll!$H$13="",Protokoll!$H$13=1),"",2*L43-L43^2+IF(Protokoll!$H$13=3,L43*(1-(2*L43-L43^2)),0)),"")</f>
        <v/>
      </c>
      <c r="N43" s="502"/>
      <c r="Q43" s="2" t="str">
        <f>RIGHT(X43,LEN(X43)-2)&amp;" - "&amp;RIGHT(Y43,LEN(Y43)-2)</f>
        <v>186 - 190</v>
      </c>
      <c r="R43" s="136">
        <f>IF($B$1&lt;&gt;"",DCOUNT(Beräkningshjälp!$AC$2:$AI$1082,Beräkningshjälp!$AH$2,X42:Z43),0)</f>
        <v>0</v>
      </c>
      <c r="S43" s="513">
        <f>IF($B$1&lt;&gt;"",IF(AND($S$4&gt;=RIGHT(X43,LEN(X43)-2)*1,AND($S$4&lt;=RIGHT(Y43,LEN(Y43)-2)*1)),MAX(T$6:T$56),0),0)</f>
        <v>0</v>
      </c>
      <c r="T43" s="515">
        <f t="shared" si="0"/>
        <v>9</v>
      </c>
      <c r="U43" s="353" t="s">
        <v>1984</v>
      </c>
      <c r="V43" s="353" t="s">
        <v>1984</v>
      </c>
      <c r="W43" s="119" t="s">
        <v>75</v>
      </c>
      <c r="X43" s="442" t="str">
        <f>"&gt;="&amp;RIGHT(V42,LEN(V42)-2)*1+1</f>
        <v>&gt;=186</v>
      </c>
      <c r="Y43" s="445" t="str">
        <f>"&lt;="&amp;IF($B$3&lt;&gt;"",$B$3,5)+RIGHT(X43,LEN(X43)-2)*1-1</f>
        <v>&lt;=190</v>
      </c>
      <c r="Z43" s="551" t="str">
        <f>IF($W$6&lt;&gt;"",$W$6,"")</f>
        <v/>
      </c>
      <c r="AB43" s="115" t="s">
        <v>462</v>
      </c>
      <c r="AC43" t="s">
        <v>75</v>
      </c>
      <c r="AD43" t="s">
        <v>1984</v>
      </c>
      <c r="AE43" s="115" t="s">
        <v>1983</v>
      </c>
      <c r="AF43" s="115" t="s">
        <v>1983</v>
      </c>
      <c r="AG43" s="439" t="str">
        <f>IF($B46&lt;&gt;"",IF(ISNUMBER(VLOOKUP($B46,Artlista_alla,4,FALSE)),"0+",""),"")</f>
        <v/>
      </c>
      <c r="AH43" s="440" t="str">
        <f>$B46</f>
        <v/>
      </c>
      <c r="AI43" s="441" t="str">
        <f>IF(OR(VLOOKUP(AH43,$I$11:$M$22,3,FALSE)="X",AND(COUNTIF($B$27:$B$50,$B46)=2,VLOOKUP(AH43,$I$11:$M$22,3,FALSE)=0)),IF($B46=$B47,0,"&lt;10000"),IF(AND($B46&lt;&gt;"",$B46=$B45,$B46&lt;&gt;$B47),IF(ISNUMBER(VLOOKUP($B46,$I$11:$M$22,3,FALSE)),"&gt;"&amp;VLOOKUP($B46,$I$11:$M$22,3,FALSE),IF(ISNUMBER(RIGHT(VLOOKUP($B46,$I$11:$M$22,3,FALSE),LEN(VLOOKUP($B46,$I$11:$M$22,3,FALSE))-1)*1),"&gt;="&amp;RIGHT(VLOOKUP($B46,$I$11:$M$22,3,FALSE),LEN(VLOOKUP($B46,$I$11:$M$22,3,FALSE))-1),"&gt;"&amp;RIGHT(VLOOKUP($B46,$I$11:$M$22,3,FALSE),LEN(VLOOKUP($B46,$I$11:$M$22,3,FALSE))-2))),IF(AND($B46&lt;&gt;"",$B46=$B47,$B46&lt;&gt;$B45),IF(ISNUMBER(VLOOKUP($B46,$I$11:$M$22,3,FALSE)),"&lt;=","")&amp;VLOOKUP($B46,$I$11:$M$22,3,FALSE),"&lt;10000")))</f>
        <v>&lt;10000</v>
      </c>
      <c r="AJ43" s="352" t="s">
        <v>1995</v>
      </c>
      <c r="AK43" s="115">
        <v>2</v>
      </c>
    </row>
    <row r="44" spans="1:37" ht="13.8" thickBot="1" x14ac:dyDescent="0.3">
      <c r="A44" s="508" t="str">
        <f>IF(VLOOKUP(B44,Beräkningshjälp!$M$2:$U$60,4,FALSE)&gt;0,IF(ROUND((ROW(B43)-ROW(B$26))/2,0)=INT((ROW(B43)-ROW(B$26))/2),IF(DCOUNTA('Antal &amp; Längder (vikter)'!$O$10:$T$27,'Antal &amp; Längder (vikter)'!$Q$10,AC40:AC41)&lt;&gt;DCOUNT('Antal &amp; Längder (vikter)'!$O$10:$T$27,'Antal &amp; Längder (vikter)'!$R$10,AC40:AC41),"Icke längdmätta ej uppdelade 0+/&gt;0+",IF(AND(DCOUNT(Beräkningshjälp!$AB$2:$AI$1082,Beräkningshjälp!$AH$2,AC40:AC41)&gt;0,COUNTIF(B$27:B$50,B44)=1,VLOOKUP(B44,I$11:K$22,3,FALSE)=0),"Ange gräns 0+/&gt;0+ i fält K"&amp;10+B44&amp;" ovan","")),IF(DCOUNTA('Antal &amp; Längder (vikter)'!$O$10:$T$27,'Antal &amp; Längder (vikter)'!$Q$10,AH40:AH41)&lt;&gt;DCOUNT('Antal &amp; Längder (vikter)'!$O$10:$T$27,'Antal &amp; Längder (vikter)'!$R$10,AH40:AH41),"Icke längdmätta ej uppdelade 0+/&gt;0+",IF(AND(DCOUNT(Beräkningshjälp!$AB$2:$AI$1082,Beräkningshjälp!$AH$2,Artuppgifter!AH40:AH41)&gt;0,COUNTIF(B$27:B$50,B44)=1,VLOOKUP(B44,I$11:K$22,3,FALSE)=0),"Ange gräns 0+/&gt;0+ i fält K"&amp;10+B44&amp;" ovan",""))),"")</f>
        <v/>
      </c>
      <c r="B44" s="515" t="str">
        <f>IF(B43&lt;&gt;"",IF(AND(COUNTIF(B$26:B43,B43)=1,VLOOKUP(B43,Artlista_alla,4,FALSE)&gt;0,VLOOKUP(B43,I$11:M$22,3,FALSE)&gt;0,IF((ROW()-ROW($B$26))/2=INT((ROW()-ROW($B$26))/2),IF(ISNUMBER(DCOUNTA(Omätta,B43,AC39:AC40)),IF(DCOUNTA(Omätta,B43,AC39:AC40)&gt;0,AND(DCOUNTA(Omätta,AB39,AC39:AC40)&gt;0,DCOUNTA(Omätta,AB39,AC39:AC40)=DCOUNTA(Omätta,AC39,AC39:AC40)),TRUE),FALSE),IF(ISNUMBER(DCOUNTA(Omätta,B43,AH39:AH40)),IF(DCOUNTA(Omätta,B43,AH39:AH40)&gt;0,AND(DCOUNTA(Omätta,AG39,AH39:AH40)&gt;0,DCOUNTA(Omätta,AG39,AH39:AH40)=DCOUNTA(Omätta,AH39,AH39:AH40)),TRUE),FALSE))),B43,IF(COUNTIF(I$11:I$22,B43+1)&gt;0,B43+1,"")),"")</f>
        <v/>
      </c>
      <c r="C44" s="447" t="str">
        <f t="shared" si="4"/>
        <v/>
      </c>
      <c r="D44" s="447" t="str">
        <f>IF(B44&lt;&gt;"",IF(ROUND((ROW(C43)-ROW(C$26))/2,0)=INT((ROW(D43)-ROW(D$26))/2),DCOUNT(Beräkningshjälp!$AC$2:$AI$1082,Beräkningshjälp!AH$2,AC40:AE41)-DCOUNT(Beräkningshjälp!$AC$2:$AI$1082,Beräkningshjälp!AH$2,AC40:AF41)+IF(VLOOKUP(B44,Beräkningshjälp!$M$2:$U$60,4,FALSE)&gt;0,IF(B44=B45,DSUM('Antal &amp; Längder (vikter)'!$O$10:$T$27,'Antal &amp; Längder (vikter)'!$R$10,AB40:AC41),DSUM('Antal &amp; Längder (vikter)'!$O$10:$T$27,'Antal &amp; Längder (vikter)'!$R$10,AC40:AC41)-IF(B44=B43,DSUM('Antal &amp; Längder (vikter)'!$O$10:$T$27,'Antal &amp; Längder (vikter)'!$R$10,AB40:AC41),0)),DSUM('Antal &amp; Längder (vikter)'!$O$10:$T$27,'Antal &amp; Längder (vikter)'!$R$10,AC40:AC41)),DCOUNT(Beräkningshjälp!$AC$2:$AI$1082,Beräkningshjälp!AH$2,AH40:AJ41)-DCOUNT(Beräkningshjälp!$AC$2:$AI$1082,Beräkningshjälp!AH$2,AH40:AK41)+IF(VLOOKUP(B44,Beräkningshjälp!$M$2:$U$60,4,FALSE)&gt;0,IF(B44=B45,DSUM('Antal &amp; Längder (vikter)'!$O$10:$T$27,'Antal &amp; Längder (vikter)'!$R$10,AG40:AH41),DSUM('Antal &amp; Längder (vikter)'!$O$10:$T$27,'Antal &amp; Längder (vikter)'!$R$10,AH40:AH41)-IF(B44=B43,DSUM('Antal &amp; Längder (vikter)'!$O$10:$T$27,'Antal &amp; Längder (vikter)'!$R$10,AG40:AH41),0)),DSUM('Antal &amp; Längder (vikter)'!$O$10:$T$27,'Antal &amp; Längder (vikter)'!$R$10,AH40:AH41))),IF(C44="Totalt:",SUM(D$26:D43),""))</f>
        <v/>
      </c>
      <c r="E44" s="447" t="str">
        <f>IF(AND(B44&lt;&gt;"",protokollAntalutfisk&gt;1),IF(ROUND((ROW(C43)-ROW(C$26))/2,0)=INT((ROW(D43)-ROW(D$26))/2),DCOUNT(Beräkningshjälp!$AC$2:$AI$1082,Beräkningshjälp!AH$2,AC40:AF41)+IF(VLOOKUP(B44,Beräkningshjälp!$M$2:$U$60,4,FALSE)&gt;0,IF(B44=B45,DSUM('Antal &amp; Längder (vikter)'!$O$10:$T$27,'Antal &amp; Längder (vikter)'!$S$10,AB40:AC41),DSUM('Antal &amp; Längder (vikter)'!$O$10:$T$27,'Antal &amp; Längder (vikter)'!$S$10,AC40:AC41)-IF(B44=B43,DSUM('Antal &amp; Längder (vikter)'!$O$10:$T$27,'Antal &amp; Längder (vikter)'!$S$10,AB40:AC41),0)),DSUM('Antal &amp; Längder (vikter)'!$O$10:$T$27,'Antal &amp; Längder (vikter)'!$S$10,AC40:AC41)),DCOUNT(Beräkningshjälp!$AC$2:$AI$1082,Beräkningshjälp!AH$2,AH40:AK41)+IF(VLOOKUP(B44,Beräkningshjälp!$M$2:$U$60,4,FALSE)&gt;0,IF(B44=B45,DSUM('Antal &amp; Längder (vikter)'!$O$10:$T$27,'Antal &amp; Längder (vikter)'!$S$10,AG40:AH41),DSUM('Antal &amp; Längder (vikter)'!$O$10:$T$27,'Antal &amp; Längder (vikter)'!$S$10,AH40:AH41)-IF(B44=B43,DSUM('Antal &amp; Längder (vikter)'!$O$10:$T$27,'Antal &amp; Längder (vikter)'!$S$10,AG40:AH41),0)),DSUM('Antal &amp; Längder (vikter)'!$O$10:$T$27,'Antal &amp; Längder (vikter)'!$S$10,AH40:AH41))),IF(C44="Totalt:",SUM(E$26:E43),""))</f>
        <v/>
      </c>
      <c r="F44" s="447" t="str">
        <f>IF(AND(B44&lt;&gt;"",protokollAntalutfisk&gt;2),IF(ROUND((ROW(C43)-ROW(C$26))/2,0)=INT((ROW(D43)-ROW(D$26))/2),DCOUNT(Beräkningshjälp!$AC$2:$AI$1082,Beräkningshjälp!AH$2,AC40:AD41)-DCOUNT(Beräkningshjälp!$AC$2:$AI$1082,Beräkningshjälp!AH$2,AC40:AE41)+IF(VLOOKUP(B44,Beräkningshjälp!$M$2:$U$60,4,FALSE)&gt;0,IF(B44=B45,DSUM('Antal &amp; Längder (vikter)'!$O$10:$T$27,'Antal &amp; Längder (vikter)'!$T$10,AB40:AC41),DSUM('Antal &amp; Längder (vikter)'!$O$10:$T$27,'Antal &amp; Längder (vikter)'!$T$10,AC40:AC41)-IF(B44=B43,DSUM('Antal &amp; Längder (vikter)'!$O$10:$T$27,'Antal &amp; Längder (vikter)'!$T$10,AB40:AC41),0)),DSUM('Antal &amp; Längder (vikter)'!$O$10:$T$27,'Antal &amp; Längder (vikter)'!$T$10,AC40:AC41)),DCOUNT(Beräkningshjälp!$AC$2:$AI$1082,Beräkningshjälp!AH$2,AH40:AI41)-DCOUNT(Beräkningshjälp!$AC$2:$AI$1082,Beräkningshjälp!AH$2,AH40:AJ41)+IF(VLOOKUP(B44,Beräkningshjälp!$M$2:$U$60,4,FALSE)&gt;0,DSUM('Antal &amp; Längder (vikter)'!$O$10:$T$27,'Antal &amp; Längder (vikter)'!$T$10,AH40:AH41)-IF(B44=B43,DSUM('Antal &amp; Längder (vikter)'!$O$10:$T$27,'Antal &amp; Längder (vikter)'!$T$10,AG40:AH41),0),DSUM('Antal &amp; Längder (vikter)'!$O$10:$T$27,'Antal &amp; Längder (vikter)'!$T$10,AH40:AH41))),IF(C44="Totalt:",SUM(F$26:F43),""))</f>
        <v/>
      </c>
      <c r="G44" s="447" t="str">
        <f t="shared" si="5"/>
        <v/>
      </c>
      <c r="H44" s="450" t="str">
        <f>IF(AND(C44&lt;&gt;"Totalt:",SUM(G44)&gt;0),IF(Protokoll!$H$13=3,IF(OR(K44="AREA",K44="EST",N44&lt;&gt;""),IF(K44="AREA",G44,G44/((L44+L44*(1-L44))*(1-L44)+L44)),IF(OR(AND(L44&gt;=0.25,D44=E44,E44=F44),AND(L44&gt;=0.25,F44&gt;=D44)),IF(ISNUMBER(VLOOKUP(C44,Beräkningshjälp!$A$3:$E$42,2,FALSE)),G44/(VLOOKUP(C44,Beräkningshjälp!$A$3:$E$42,2,FALSE)/((L44+L44*(1-L44))*(1-L44)+L44)),G44),(6*(2*D44+E44)^2-(3*(2*D44+E44)*(D44+E44+F44))-(D44+E44+F44)^2+(D44+E44+F44)*(((D44+E44+F44)^2)+6*(2*D44+E44)*(D44+E44+F44)-3*(2*D44+E44)^2)^0.5)/(18*(D44-F44)))),IF(Protokoll!$H$13=2,IF(OR(K44="EST",N44&lt;&gt;""),G44/(L44+L44*(1-L44)),IF(E44&gt;=D44,IF(ISNUMBER(VLOOKUP(C44,Beräkningshjälp!$A$3:$E$42,2,FALSE)),G44/(VLOOKUP(C44,Beräkningshjälp!$A$3:$E$42,2,FALSE)/(L44+L44*(1-L44))),G44),IF(K44="AREA",G44,D44^2/(D44-E44)))),IF(OR(K44="EST",N44&lt;&gt;""),IF(N44&lt;&gt;"",G44/N44,IF(ISNUMBER(VLOOKUP(C44,Beräkningshjälp!$A$3:$E$42,2,FALSE)),G44/VLOOKUP(C44,Beräkningshjälp!$A$3:$E$42,2,FALSE),G44)),G44))),IF(C44="Totalt:",SUM(H$26:H43),IF(AND(G44&lt;&gt;"",G44=0),0,"")))</f>
        <v/>
      </c>
      <c r="I44" s="492" t="str">
        <f>IF(Protokoll!$AC$19&lt;&gt;"",IF(COUNT(H44)&gt;0,H44/Protokoll!$AC$19*100,""),"")</f>
        <v/>
      </c>
      <c r="J44" s="464" t="str">
        <f>IF(B44&lt;&gt;"",IF(H44&lt;&gt;"",IF(K44="ZIPP",IF(Protokoll!$H$13=3,(1.96*((H44*(1-(1-L44)^3)*(1-L44)^3)/((1-(1-L44)^3)^2-9*L44^2*(1-L44)^2))^0.5)/('DATA TILL SLU'!$Q$7/100),IF(Protokoll!$H$13=2,(1.96*D44*E44*(D44+E44)^0.5/(D44-E44)^2)/('DATA TILL SLU'!$Q$7/100),"")),"-"),""),"")</f>
        <v/>
      </c>
      <c r="K44" s="448" t="str">
        <f>IF(AND(D44&gt;0,G44&gt;0,B44&lt;&gt;""),IF(Protokoll!$H$13=3,IF(OR(AND(D44&gt;=E44,E44&gt;F44),AND(D44&gt;E44,E44&gt;=F44),AND(D44&lt;=E44,D44&gt;F44,D44&gt;F44),AND(D44&gt;=E44,D44&gt;=F44,E44&lt;&gt;F44)),IF((3*(2*D44+E44)-D44-E44-F44-((D44+E44+F44)^2+6*(2*D44+E44)*(D44+E44+F44)-3*(2*D44+E44)^2)^0.5)/(4*D44+2*E44)&gt;=0.25,IF(N44="","ZIPP","EST"),IF(OR(ISNUMBER(VLOOKUP(C44,Beräkningshjälp!$A$3:$E$42,2,FALSE)),N44&lt;&gt;""),"EST","AREA")),IF(OR(ISNUMBER(VLOOKUP(C44,Beräkningshjälp!$A$3:$E$42,2,FALSE)),N44&lt;&gt;""),"EST","AREA")),IF(Protokoll!$H$13=2,IF((D44-E44)/D44&gt;=0.25,IF(N44="","ZIPP","EST"),IF(OR(ISNUMBER(VLOOKUP(C44,Beräkningshjälp!$A$3:$E$42,2,FALSE)),N44&lt;&gt;""),"EST","AREA")),IF(OR(ISNUMBER(VLOOKUP(C44,Beräkningshjälp!$A$3:$E$42,2,FALSE)),N44&lt;&gt;""),"EST","AREA"))),IF(AND(G44&gt;0,B44&lt;&gt;""),IF(OR(ISNUMBER(VLOOKUP(C44,Beräkningshjälp!$A$3:$E$42,2,FALSE)),N44&lt;&gt;""),"EST","AREA"),""))</f>
        <v/>
      </c>
      <c r="L44" s="449" t="str">
        <f>IF(AND(K44&lt;&gt;"",B44&lt;&gt;""),IF(Protokoll!$H$13=3,IF(N44&lt;&gt;"",N44,IF(K44="ZIPP",(3*(2*D44+E44)-D44-E44-F44-((D44+E44+F44)^2+6*(2*D44+E44)*(D44+E44+F44)-3*(2*D44+E44)^2)^0.5)/(4*D44+2*E44),IF(ISNUMBER(VLOOKUP(C44,Beräkningshjälp!$A$3:$E$42,2,FALSE)),VLOOKUP(C44,Beräkningshjälp!$A$3:$E$42,2,FALSE),IF(B44&lt;&gt;"","-","")))),IF(Protokoll!$H$13=2,IF(N44&lt;&gt;"",N44,IF(K44="ZIPP",(D44-E44)/D44,IF(ISNUMBER(VLOOKUP(C44,Beräkningshjälp!$A$3:$E$42,2,FALSE)),VLOOKUP(C44,Beräkningshjälp!$A$3:$E$42,2,FALSE),IF(B44&lt;&gt;"","-","")))),IF(N44&lt;&gt;"",N44,IF(ISNUMBER(VLOOKUP(C44,Beräkningshjälp!$A$3:$E$42,2,FALSE)),VLOOKUP(C44,Beräkningshjälp!$A$3:$E$42,2,FALSE),IF(B44&lt;&gt;"","-",""))))),"")</f>
        <v/>
      </c>
      <c r="M44" s="449" t="str">
        <f>IF(B44&lt;&gt;"",IF(OR(G44=0,K44="AREA",Protokoll!$H$13="",Protokoll!$H$13=1),"",2*L44-L44^2+IF(Protokoll!$H$13=3,L44*(1-(2*L44-L44^2)),0)),"")</f>
        <v/>
      </c>
      <c r="N44" s="502"/>
      <c r="Q44" s="2" t="str">
        <f>RIGHT(U44,LEN(U44)-2)&amp;" - "&amp;RIGHT(V44,LEN(V44)-2)</f>
        <v>191 - 195</v>
      </c>
      <c r="R44" s="136">
        <f>IF($B$1&lt;&gt;"",DCOUNT(Beräkningshjälp!$AC$2:$AI$1082,Beräkningshjälp!$AH$2,U43:W44),0)</f>
        <v>0</v>
      </c>
      <c r="S44" s="513">
        <f>IF($B$1&lt;&gt;"",IF(AND($S$4&gt;=RIGHT(U44,LEN(U44)-2)*1,AND($S$4&lt;=RIGHT(V44,LEN(V44)-2)*1)),MAX(T$6:T$56),0),0)</f>
        <v>0</v>
      </c>
      <c r="T44" s="515">
        <f t="shared" si="0"/>
        <v>9</v>
      </c>
      <c r="U44" s="445" t="str">
        <f>"&gt;="&amp;RIGHT(Y43,LEN(Y43)-2)*1+1</f>
        <v>&gt;=191</v>
      </c>
      <c r="V44" s="444" t="str">
        <f>"&lt;="&amp;IF($B$3&lt;&gt;"",$B$3,5)+RIGHT(U44,LEN(U44)-2)*1-1</f>
        <v>&lt;=195</v>
      </c>
      <c r="W44" s="551" t="str">
        <f>IF($W$6&lt;&gt;"",$W$6,"")</f>
        <v/>
      </c>
      <c r="X44" s="353" t="s">
        <v>1984</v>
      </c>
      <c r="Y44" s="353" t="s">
        <v>1984</v>
      </c>
      <c r="Z44" s="119" t="s">
        <v>75</v>
      </c>
      <c r="AB44" s="439" t="str">
        <f>IF($B47&lt;&gt;"",IF(ISNUMBER(VLOOKUP($B47,Artlista_alla,4,FALSE)),"0+",""),"")</f>
        <v/>
      </c>
      <c r="AC44" s="440" t="str">
        <f>$B47</f>
        <v/>
      </c>
      <c r="AD44" s="441" t="str">
        <f>IF(OR(VLOOKUP(AC44,$I$11:$M$22,3,FALSE)="X",AND(COUNTIF($B$27:$B$50,$B47)=2,VLOOKUP(AC44,$I$11:$M$22,3,FALSE)=0)),IF($B47=$B48,0,"&lt;10000"),IF(AND($B47&lt;&gt;"",$B47=$B46,$B47&lt;&gt;$B48),IF(ISNUMBER(VLOOKUP($B47,$I$11:$M$22,3,FALSE)),"&gt;"&amp;VLOOKUP($B47,$I$11:$M$22,3,FALSE),IF(ISNUMBER(RIGHT(VLOOKUP($B47,$I$11:$M$22,3,FALSE),LEN(VLOOKUP($B47,$I$11:$M$22,3,FALSE))-1)*1),"&gt;="&amp;RIGHT(VLOOKUP($B47,$I$11:$M$22,3,FALSE),LEN(VLOOKUP($B47,$I$11:$M$22,3,FALSE))-1),"&gt;"&amp;RIGHT(VLOOKUP($B47,$I$11:$M$22,3,FALSE),LEN(VLOOKUP($B47,$I$11:$M$22,3,FALSE))-2))),IF(AND($B47&lt;&gt;"",$B47=$B48,$B47&lt;&gt;$B46),IF(ISNUMBER(VLOOKUP($B47,$I$11:$M$22,3,FALSE)),"&lt;=","")&amp;VLOOKUP($B47,$I$11:$M$22,3,FALSE),"&lt;10000")))</f>
        <v>&lt;10000</v>
      </c>
      <c r="AE44" s="352" t="s">
        <v>1995</v>
      </c>
      <c r="AF44" s="115">
        <v>2</v>
      </c>
      <c r="AG44" s="115" t="s">
        <v>462</v>
      </c>
      <c r="AH44" t="s">
        <v>75</v>
      </c>
      <c r="AI44" t="s">
        <v>1984</v>
      </c>
      <c r="AJ44" s="115" t="s">
        <v>1983</v>
      </c>
      <c r="AK44" s="115" t="s">
        <v>1983</v>
      </c>
    </row>
    <row r="45" spans="1:37" ht="13.8" thickBot="1" x14ac:dyDescent="0.3">
      <c r="A45" s="508" t="str">
        <f>IF(VLOOKUP(B45,Beräkningshjälp!$M$2:$U$60,4,FALSE)&gt;0,IF(ROUND((ROW(B44)-ROW(B$26))/2,0)=INT((ROW(B44)-ROW(B$26))/2),IF(DCOUNTA('Antal &amp; Längder (vikter)'!$O$10:$T$27,'Antal &amp; Längder (vikter)'!$Q$10,AC41:AC42)&lt;&gt;DCOUNT('Antal &amp; Längder (vikter)'!$O$10:$T$27,'Antal &amp; Längder (vikter)'!$R$10,AC41:AC42),"Icke längdmätta ej uppdelade 0+/&gt;0+",IF(AND(DCOUNT(Beräkningshjälp!$AB$2:$AI$1082,Beräkningshjälp!$AH$2,AC41:AC42)&gt;0,COUNTIF(B$27:B$50,B45)=1,VLOOKUP(B45,I$11:K$22,3,FALSE)=0),"Ange gräns 0+/&gt;0+ i fält K"&amp;10+B45&amp;" ovan","")),IF(DCOUNTA('Antal &amp; Längder (vikter)'!$O$10:$T$27,'Antal &amp; Längder (vikter)'!$Q$10,AH41:AH42)&lt;&gt;DCOUNT('Antal &amp; Längder (vikter)'!$O$10:$T$27,'Antal &amp; Längder (vikter)'!$R$10,AH41:AH42),"Icke längdmätta ej uppdelade 0+/&gt;0+",IF(AND(DCOUNT(Beräkningshjälp!$AB$2:$AI$1082,Beräkningshjälp!$AH$2,Artuppgifter!AH41:AH42)&gt;0,COUNTIF(B$27:B$50,B45)=1,VLOOKUP(B45,I$11:K$22,3,FALSE)=0),"Ange gräns 0+/&gt;0+ i fält K"&amp;10+B45&amp;" ovan",""))),"")</f>
        <v/>
      </c>
      <c r="B45" s="515" t="str">
        <f>IF(B44&lt;&gt;"",IF(AND(COUNTIF(B$26:B44,B44)=1,VLOOKUP(B44,Artlista_alla,4,FALSE)&gt;0,VLOOKUP(B44,I$11:M$22,3,FALSE)&gt;0,IF((ROW()-ROW($B$26))/2=INT((ROW()-ROW($B$26))/2),IF(ISNUMBER(DCOUNTA(Omätta,B44,AC40:AC41)),IF(DCOUNTA(Omätta,B44,AC40:AC41)&gt;0,AND(DCOUNTA(Omätta,AB40,AC40:AC41)&gt;0,DCOUNTA(Omätta,AB40,AC40:AC41)=DCOUNTA(Omätta,AC40,AC40:AC41)),TRUE),FALSE),IF(ISNUMBER(DCOUNTA(Omätta,B44,AH40:AH41)),IF(DCOUNTA(Omätta,B44,AH40:AH41)&gt;0,AND(DCOUNTA(Omätta,AG40,AH40:AH41)&gt;0,DCOUNTA(Omätta,AG40,AH40:AH41)=DCOUNTA(Omätta,AH40,AH40:AH41)),TRUE),FALSE))),B44,IF(COUNTIF(I$11:I$22,B44+1)&gt;0,B44+1,"")),"")</f>
        <v/>
      </c>
      <c r="C45" s="447" t="str">
        <f t="shared" si="4"/>
        <v/>
      </c>
      <c r="D45" s="447" t="str">
        <f>IF(B45&lt;&gt;"",IF(ROUND((ROW(C44)-ROW(C$26))/2,0)=INT((ROW(D44)-ROW(D$26))/2),DCOUNT(Beräkningshjälp!$AC$2:$AI$1082,Beräkningshjälp!AH$2,AC41:AE42)-DCOUNT(Beräkningshjälp!$AC$2:$AI$1082,Beräkningshjälp!AH$2,AC41:AF42)+IF(VLOOKUP(B45,Beräkningshjälp!$M$2:$U$60,4,FALSE)&gt;0,IF(B45=B46,DSUM('Antal &amp; Längder (vikter)'!$O$10:$T$27,'Antal &amp; Längder (vikter)'!$R$10,AB41:AC42),DSUM('Antal &amp; Längder (vikter)'!$O$10:$T$27,'Antal &amp; Längder (vikter)'!$R$10,AC41:AC42)-IF(B45=B44,DSUM('Antal &amp; Längder (vikter)'!$O$10:$T$27,'Antal &amp; Längder (vikter)'!$R$10,AB41:AC42),0)),DSUM('Antal &amp; Längder (vikter)'!$O$10:$T$27,'Antal &amp; Längder (vikter)'!$R$10,AC41:AC42)),DCOUNT(Beräkningshjälp!$AC$2:$AI$1082,Beräkningshjälp!AH$2,AH41:AJ42)-DCOUNT(Beräkningshjälp!$AC$2:$AI$1082,Beräkningshjälp!AH$2,AH41:AK42)+IF(VLOOKUP(B45,Beräkningshjälp!$M$2:$U$60,4,FALSE)&gt;0,IF(B45=B46,DSUM('Antal &amp; Längder (vikter)'!$O$10:$T$27,'Antal &amp; Längder (vikter)'!$R$10,AG41:AH42),DSUM('Antal &amp; Längder (vikter)'!$O$10:$T$27,'Antal &amp; Längder (vikter)'!$R$10,AH41:AH42)-IF(B45=B44,DSUM('Antal &amp; Längder (vikter)'!$O$10:$T$27,'Antal &amp; Längder (vikter)'!$R$10,AG41:AH42),0)),DSUM('Antal &amp; Längder (vikter)'!$O$10:$T$27,'Antal &amp; Längder (vikter)'!$R$10,AH41:AH42))),IF(C45="Totalt:",SUM(D$26:D44),""))</f>
        <v/>
      </c>
      <c r="E45" s="447" t="str">
        <f>IF(AND(B45&lt;&gt;"",protokollAntalutfisk&gt;1),IF(ROUND((ROW(C44)-ROW(C$26))/2,0)=INT((ROW(D44)-ROW(D$26))/2),DCOUNT(Beräkningshjälp!$AC$2:$AI$1082,Beräkningshjälp!AH$2,AC41:AF42)+IF(VLOOKUP(B45,Beräkningshjälp!$M$2:$U$60,4,FALSE)&gt;0,IF(B45=B46,DSUM('Antal &amp; Längder (vikter)'!$O$10:$T$27,'Antal &amp; Längder (vikter)'!$S$10,AB41:AC42),DSUM('Antal &amp; Längder (vikter)'!$O$10:$T$27,'Antal &amp; Längder (vikter)'!$S$10,AC41:AC42)-IF(B45=B44,DSUM('Antal &amp; Längder (vikter)'!$O$10:$T$27,'Antal &amp; Längder (vikter)'!$S$10,AB41:AC42),0)),DSUM('Antal &amp; Längder (vikter)'!$O$10:$T$27,'Antal &amp; Längder (vikter)'!$S$10,AC41:AC42)),DCOUNT(Beräkningshjälp!$AC$2:$AI$1082,Beräkningshjälp!AH$2,AH41:AK42)+IF(VLOOKUP(B45,Beräkningshjälp!$M$2:$U$60,4,FALSE)&gt;0,IF(B45=B46,DSUM('Antal &amp; Längder (vikter)'!$O$10:$T$27,'Antal &amp; Längder (vikter)'!$S$10,AG41:AH42),DSUM('Antal &amp; Längder (vikter)'!$O$10:$T$27,'Antal &amp; Längder (vikter)'!$S$10,AH41:AH42)-IF(B45=B44,DSUM('Antal &amp; Längder (vikter)'!$O$10:$T$27,'Antal &amp; Längder (vikter)'!$S$10,AG41:AH42),0)),DSUM('Antal &amp; Längder (vikter)'!$O$10:$T$27,'Antal &amp; Längder (vikter)'!$S$10,AH41:AH42))),IF(C45="Totalt:",SUM(E$26:E44),""))</f>
        <v/>
      </c>
      <c r="F45" s="447" t="str">
        <f>IF(AND(B45&lt;&gt;"",protokollAntalutfisk&gt;2),IF(ROUND((ROW(C44)-ROW(C$26))/2,0)=INT((ROW(D44)-ROW(D$26))/2),DCOUNT(Beräkningshjälp!$AC$2:$AI$1082,Beräkningshjälp!AH$2,AC41:AD42)-DCOUNT(Beräkningshjälp!$AC$2:$AI$1082,Beräkningshjälp!AH$2,AC41:AE42)+IF(VLOOKUP(B45,Beräkningshjälp!$M$2:$U$60,4,FALSE)&gt;0,IF(B45=B46,DSUM('Antal &amp; Längder (vikter)'!$O$10:$T$27,'Antal &amp; Längder (vikter)'!$T$10,AB41:AC42),DSUM('Antal &amp; Längder (vikter)'!$O$10:$T$27,'Antal &amp; Längder (vikter)'!$T$10,AC41:AC42)-IF(B45=B44,DSUM('Antal &amp; Längder (vikter)'!$O$10:$T$27,'Antal &amp; Längder (vikter)'!$T$10,AB41:AC42),0)),DSUM('Antal &amp; Längder (vikter)'!$O$10:$T$27,'Antal &amp; Längder (vikter)'!$T$10,AC41:AC42)),DCOUNT(Beräkningshjälp!$AC$2:$AI$1082,Beräkningshjälp!AH$2,AH41:AI42)-DCOUNT(Beräkningshjälp!$AC$2:$AI$1082,Beräkningshjälp!AH$2,AH41:AJ42)+IF(VLOOKUP(B45,Beräkningshjälp!$M$2:$U$60,4,FALSE)&gt;0,DSUM('Antal &amp; Längder (vikter)'!$O$10:$T$27,'Antal &amp; Längder (vikter)'!$T$10,AH41:AH42)-IF(B45=B44,DSUM('Antal &amp; Längder (vikter)'!$O$10:$T$27,'Antal &amp; Längder (vikter)'!$T$10,AG41:AH42),0),DSUM('Antal &amp; Längder (vikter)'!$O$10:$T$27,'Antal &amp; Längder (vikter)'!$T$10,AH41:AH42))),IF(C45="Totalt:",SUM(F$26:F44),""))</f>
        <v/>
      </c>
      <c r="G45" s="447" t="str">
        <f t="shared" si="5"/>
        <v/>
      </c>
      <c r="H45" s="450" t="str">
        <f>IF(AND(C45&lt;&gt;"Totalt:",SUM(G45)&gt;0),IF(Protokoll!$H$13=3,IF(OR(K45="AREA",K45="EST",N45&lt;&gt;""),IF(K45="AREA",G45,G45/((L45+L45*(1-L45))*(1-L45)+L45)),IF(OR(AND(L45&gt;=0.25,D45=E45,E45=F45),AND(L45&gt;=0.25,F45&gt;=D45)),IF(ISNUMBER(VLOOKUP(C45,Beräkningshjälp!$A$3:$E$42,2,FALSE)),G45/(VLOOKUP(C45,Beräkningshjälp!$A$3:$E$42,2,FALSE)/((L45+L45*(1-L45))*(1-L45)+L45)),G45),(6*(2*D45+E45)^2-(3*(2*D45+E45)*(D45+E45+F45))-(D45+E45+F45)^2+(D45+E45+F45)*(((D45+E45+F45)^2)+6*(2*D45+E45)*(D45+E45+F45)-3*(2*D45+E45)^2)^0.5)/(18*(D45-F45)))),IF(Protokoll!$H$13=2,IF(OR(K45="EST",N45&lt;&gt;""),G45/(L45+L45*(1-L45)),IF(E45&gt;=D45,IF(ISNUMBER(VLOOKUP(C45,Beräkningshjälp!$A$3:$E$42,2,FALSE)),G45/(VLOOKUP(C45,Beräkningshjälp!$A$3:$E$42,2,FALSE)/(L45+L45*(1-L45))),G45),IF(K45="AREA",G45,D45^2/(D45-E45)))),IF(OR(K45="EST",N45&lt;&gt;""),IF(N45&lt;&gt;"",G45/N45,IF(ISNUMBER(VLOOKUP(C45,Beräkningshjälp!$A$3:$E$42,2,FALSE)),G45/VLOOKUP(C45,Beräkningshjälp!$A$3:$E$42,2,FALSE),G45)),G45))),IF(C45="Totalt:",SUM(H$26:H44),IF(AND(G45&lt;&gt;"",G45=0),0,"")))</f>
        <v/>
      </c>
      <c r="I45" s="492" t="str">
        <f>IF(Protokoll!$AC$19&lt;&gt;"",IF(COUNT(H45)&gt;0,H45/Protokoll!$AC$19*100,""),"")</f>
        <v/>
      </c>
      <c r="J45" s="464" t="str">
        <f>IF(B45&lt;&gt;"",IF(H45&lt;&gt;"",IF(K45="ZIPP",IF(Protokoll!$H$13=3,(1.96*((H45*(1-(1-L45)^3)*(1-L45)^3)/((1-(1-L45)^3)^2-9*L45^2*(1-L45)^2))^0.5)/('DATA TILL SLU'!$Q$7/100),IF(Protokoll!$H$13=2,(1.96*D45*E45*(D45+E45)^0.5/(D45-E45)^2)/('DATA TILL SLU'!$Q$7/100),"")),"-"),""),"")</f>
        <v/>
      </c>
      <c r="K45" s="448" t="str">
        <f>IF(AND(D45&gt;0,G45&gt;0,B45&lt;&gt;""),IF(Protokoll!$H$13=3,IF(OR(AND(D45&gt;=E45,E45&gt;F45),AND(D45&gt;E45,E45&gt;=F45),AND(D45&lt;=E45,D45&gt;F45,D45&gt;F45),AND(D45&gt;=E45,D45&gt;=F45,E45&lt;&gt;F45)),IF((3*(2*D45+E45)-D45-E45-F45-((D45+E45+F45)^2+6*(2*D45+E45)*(D45+E45+F45)-3*(2*D45+E45)^2)^0.5)/(4*D45+2*E45)&gt;=0.25,IF(N45="","ZIPP","EST"),IF(OR(ISNUMBER(VLOOKUP(C45,Beräkningshjälp!$A$3:$E$42,2,FALSE)),N45&lt;&gt;""),"EST","AREA")),IF(OR(ISNUMBER(VLOOKUP(C45,Beräkningshjälp!$A$3:$E$42,2,FALSE)),N45&lt;&gt;""),"EST","AREA")),IF(Protokoll!$H$13=2,IF((D45-E45)/D45&gt;=0.25,IF(N45="","ZIPP","EST"),IF(OR(ISNUMBER(VLOOKUP(C45,Beräkningshjälp!$A$3:$E$42,2,FALSE)),N45&lt;&gt;""),"EST","AREA")),IF(OR(ISNUMBER(VLOOKUP(C45,Beräkningshjälp!$A$3:$E$42,2,FALSE)),N45&lt;&gt;""),"EST","AREA"))),IF(AND(G45&gt;0,B45&lt;&gt;""),IF(OR(ISNUMBER(VLOOKUP(C45,Beräkningshjälp!$A$3:$E$42,2,FALSE)),N45&lt;&gt;""),"EST","AREA"),""))</f>
        <v/>
      </c>
      <c r="L45" s="449" t="str">
        <f>IF(AND(K45&lt;&gt;"",B45&lt;&gt;""),IF(Protokoll!$H$13=3,IF(N45&lt;&gt;"",N45,IF(K45="ZIPP",(3*(2*D45+E45)-D45-E45-F45-((D45+E45+F45)^2+6*(2*D45+E45)*(D45+E45+F45)-3*(2*D45+E45)^2)^0.5)/(4*D45+2*E45),IF(ISNUMBER(VLOOKUP(C45,Beräkningshjälp!$A$3:$E$42,2,FALSE)),VLOOKUP(C45,Beräkningshjälp!$A$3:$E$42,2,FALSE),IF(B45&lt;&gt;"","-","")))),IF(Protokoll!$H$13=2,IF(N45&lt;&gt;"",N45,IF(K45="ZIPP",(D45-E45)/D45,IF(ISNUMBER(VLOOKUP(C45,Beräkningshjälp!$A$3:$E$42,2,FALSE)),VLOOKUP(C45,Beräkningshjälp!$A$3:$E$42,2,FALSE),IF(B45&lt;&gt;"","-","")))),IF(N45&lt;&gt;"",N45,IF(ISNUMBER(VLOOKUP(C45,Beräkningshjälp!$A$3:$E$42,2,FALSE)),VLOOKUP(C45,Beräkningshjälp!$A$3:$E$42,2,FALSE),IF(B45&lt;&gt;"","-",""))))),"")</f>
        <v/>
      </c>
      <c r="M45" s="449" t="str">
        <f>IF(B45&lt;&gt;"",IF(OR(G45=0,K45="AREA",Protokoll!$H$13="",Protokoll!$H$13=1),"",2*L45-L45^2+IF(Protokoll!$H$13=3,L45*(1-(2*L45-L45^2)),0)),"")</f>
        <v/>
      </c>
      <c r="N45" s="502"/>
      <c r="Q45" s="2" t="str">
        <f>RIGHT(X45,LEN(X45)-2)&amp;" - "&amp;RIGHT(Y45,LEN(Y45)-2)</f>
        <v>196 - 200</v>
      </c>
      <c r="R45" s="136">
        <f>IF($B$1&lt;&gt;"",DCOUNT(Beräkningshjälp!$AC$2:$AI$1082,Beräkningshjälp!$AH$2,X44:Z45),0)</f>
        <v>0</v>
      </c>
      <c r="S45" s="513">
        <f>IF($B$1&lt;&gt;"",IF(AND($S$4&gt;=RIGHT(X45,LEN(X45)-2)*1,AND($S$4&lt;=RIGHT(Y45,LEN(Y45)-2)*1)),MAX(T$6:T$56),0),0)</f>
        <v>0</v>
      </c>
      <c r="T45" s="515">
        <f t="shared" si="0"/>
        <v>9</v>
      </c>
      <c r="U45" s="353" t="s">
        <v>1984</v>
      </c>
      <c r="V45" s="353" t="s">
        <v>1984</v>
      </c>
      <c r="W45" s="119" t="s">
        <v>75</v>
      </c>
      <c r="X45" s="442" t="str">
        <f>"&gt;="&amp;RIGHT(V44,LEN(V44)-2)*1+1</f>
        <v>&gt;=196</v>
      </c>
      <c r="Y45" s="445" t="str">
        <f>"&lt;="&amp;IF($B$3&lt;&gt;"",$B$3,5)+RIGHT(X45,LEN(X45)-2)*1-1</f>
        <v>&lt;=200</v>
      </c>
      <c r="Z45" s="551" t="str">
        <f>IF($W$6&lt;&gt;"",$W$6,"")</f>
        <v/>
      </c>
      <c r="AB45" s="115" t="s">
        <v>462</v>
      </c>
      <c r="AC45" t="s">
        <v>75</v>
      </c>
      <c r="AD45" t="s">
        <v>1984</v>
      </c>
      <c r="AE45" s="115" t="s">
        <v>1983</v>
      </c>
      <c r="AF45" s="115" t="s">
        <v>1983</v>
      </c>
      <c r="AG45" s="439" t="str">
        <f>IF($B48&lt;&gt;"",IF(ISNUMBER(VLOOKUP($B48,Artlista_alla,4,FALSE)),"0+",""),"")</f>
        <v/>
      </c>
      <c r="AH45" s="440" t="str">
        <f>$B48</f>
        <v/>
      </c>
      <c r="AI45" s="441" t="str">
        <f>IF(OR(VLOOKUP(AH45,$I$11:$M$22,3,FALSE)="X",AND(COUNTIF($B$27:$B$50,$B48)=2,VLOOKUP(AH45,$I$11:$M$22,3,FALSE)=0)),IF($B48=$B49,0,"&lt;10000"),IF(AND($B48&lt;&gt;"",$B48=$B47,$B48&lt;&gt;$B49),IF(ISNUMBER(VLOOKUP($B48,$I$11:$M$22,3,FALSE)),"&gt;"&amp;VLOOKUP($B48,$I$11:$M$22,3,FALSE),IF(ISNUMBER(RIGHT(VLOOKUP($B48,$I$11:$M$22,3,FALSE),LEN(VLOOKUP($B48,$I$11:$M$22,3,FALSE))-1)*1),"&gt;="&amp;RIGHT(VLOOKUP($B48,$I$11:$M$22,3,FALSE),LEN(VLOOKUP($B48,$I$11:$M$22,3,FALSE))-1),"&gt;"&amp;RIGHT(VLOOKUP($B48,$I$11:$M$22,3,FALSE),LEN(VLOOKUP($B48,$I$11:$M$22,3,FALSE))-2))),IF(AND($B48&lt;&gt;"",$B48=$B49,$B48&lt;&gt;$B47),IF(ISNUMBER(VLOOKUP($B48,$I$11:$M$22,3,FALSE)),"&lt;=","")&amp;VLOOKUP($B48,$I$11:$M$22,3,FALSE),"&lt;10000")))</f>
        <v>&lt;10000</v>
      </c>
      <c r="AJ45" s="352" t="s">
        <v>1995</v>
      </c>
      <c r="AK45" s="115">
        <v>2</v>
      </c>
    </row>
    <row r="46" spans="1:37" ht="13.8" thickBot="1" x14ac:dyDescent="0.3">
      <c r="A46" s="508" t="str">
        <f>IF(VLOOKUP(B46,Beräkningshjälp!$M$2:$U$60,4,FALSE)&gt;0,IF(ROUND((ROW(B45)-ROW(B$26))/2,0)=INT((ROW(B45)-ROW(B$26))/2),IF(DCOUNTA('Antal &amp; Längder (vikter)'!$O$10:$T$27,'Antal &amp; Längder (vikter)'!$Q$10,AC42:AC43)&lt;&gt;DCOUNT('Antal &amp; Längder (vikter)'!$O$10:$T$27,'Antal &amp; Längder (vikter)'!$R$10,AC42:AC43),"Icke längdmätta ej uppdelade 0+/&gt;0+",IF(AND(DCOUNT(Beräkningshjälp!$AB$2:$AI$1082,Beräkningshjälp!$AH$2,AC42:AC43)&gt;0,COUNTIF(B$27:B$50,B46)=1,VLOOKUP(B46,I$11:K$22,3,FALSE)=0),"Ange gräns 0+/&gt;0+ i fält K"&amp;10+B46&amp;" ovan","")),IF(DCOUNTA('Antal &amp; Längder (vikter)'!$O$10:$T$27,'Antal &amp; Längder (vikter)'!$Q$10,AH42:AH43)&lt;&gt;DCOUNT('Antal &amp; Längder (vikter)'!$O$10:$T$27,'Antal &amp; Längder (vikter)'!$R$10,AH42:AH43),"Icke längdmätta ej uppdelade 0+/&gt;0+",IF(AND(DCOUNT(Beräkningshjälp!$AB$2:$AI$1082,Beräkningshjälp!$AH$2,Artuppgifter!AH42:AH43)&gt;0,COUNTIF(B$27:B$50,B46)=1,VLOOKUP(B46,I$11:K$22,3,FALSE)=0),"Ange gräns 0+/&gt;0+ i fält K"&amp;10+B46&amp;" ovan",""))),"")</f>
        <v/>
      </c>
      <c r="B46" s="515" t="str">
        <f>IF(B45&lt;&gt;"",IF(AND(COUNTIF(B$26:B45,B45)=1,VLOOKUP(B45,Artlista_alla,4,FALSE)&gt;0,VLOOKUP(B45,I$11:M$22,3,FALSE)&gt;0,IF((ROW()-ROW($B$26))/2=INT((ROW()-ROW($B$26))/2),IF(ISNUMBER(DCOUNTA(Omätta,B45,AC41:AC42)),IF(DCOUNTA(Omätta,B45,AC41:AC42)&gt;0,AND(DCOUNTA(Omätta,AB41,AC41:AC42)&gt;0,DCOUNTA(Omätta,AB41,AC41:AC42)=DCOUNTA(Omätta,AC41,AC41:AC42)),TRUE),FALSE),IF(ISNUMBER(DCOUNTA(Omätta,B45,AH41:AH42)),IF(DCOUNTA(Omätta,B45,AH41:AH42)&gt;0,AND(DCOUNTA(Omätta,AG41,AH41:AH42)&gt;0,DCOUNTA(Omätta,AG41,AH41:AH42)=DCOUNTA(Omätta,AH41,AH41:AH42)),TRUE),FALSE))),B45,IF(COUNTIF(I$11:I$22,B45+1)&gt;0,B45+1,"")),"")</f>
        <v/>
      </c>
      <c r="C46" s="447" t="str">
        <f t="shared" si="4"/>
        <v/>
      </c>
      <c r="D46" s="447" t="str">
        <f>IF(B46&lt;&gt;"",IF(ROUND((ROW(C45)-ROW(C$26))/2,0)=INT((ROW(D45)-ROW(D$26))/2),DCOUNT(Beräkningshjälp!$AC$2:$AI$1082,Beräkningshjälp!AH$2,AC42:AE43)-DCOUNT(Beräkningshjälp!$AC$2:$AI$1082,Beräkningshjälp!AH$2,AC42:AF43)+IF(VLOOKUP(B46,Beräkningshjälp!$M$2:$U$60,4,FALSE)&gt;0,IF(B46=B47,DSUM('Antal &amp; Längder (vikter)'!$O$10:$T$27,'Antal &amp; Längder (vikter)'!$R$10,AB42:AC43),DSUM('Antal &amp; Längder (vikter)'!$O$10:$T$27,'Antal &amp; Längder (vikter)'!$R$10,AC42:AC43)-IF(B46=B45,DSUM('Antal &amp; Längder (vikter)'!$O$10:$T$27,'Antal &amp; Längder (vikter)'!$R$10,AB42:AC43),0)),DSUM('Antal &amp; Längder (vikter)'!$O$10:$T$27,'Antal &amp; Längder (vikter)'!$R$10,AC42:AC43)),DCOUNT(Beräkningshjälp!$AC$2:$AI$1082,Beräkningshjälp!AH$2,AH42:AJ43)-DCOUNT(Beräkningshjälp!$AC$2:$AI$1082,Beräkningshjälp!AH$2,AH42:AK43)+IF(VLOOKUP(B46,Beräkningshjälp!$M$2:$U$60,4,FALSE)&gt;0,IF(B46=B47,DSUM('Antal &amp; Längder (vikter)'!$O$10:$T$27,'Antal &amp; Längder (vikter)'!$R$10,AG42:AH43),DSUM('Antal &amp; Längder (vikter)'!$O$10:$T$27,'Antal &amp; Längder (vikter)'!$R$10,AH42:AH43)-IF(B46=B45,DSUM('Antal &amp; Längder (vikter)'!$O$10:$T$27,'Antal &amp; Längder (vikter)'!$R$10,AG42:AH43),0)),DSUM('Antal &amp; Längder (vikter)'!$O$10:$T$27,'Antal &amp; Längder (vikter)'!$R$10,AH42:AH43))),IF(C46="Totalt:",SUM(D$26:D45),""))</f>
        <v/>
      </c>
      <c r="E46" s="447" t="str">
        <f>IF(AND(B46&lt;&gt;"",protokollAntalutfisk&gt;1),IF(ROUND((ROW(C45)-ROW(C$26))/2,0)=INT((ROW(D45)-ROW(D$26))/2),DCOUNT(Beräkningshjälp!$AC$2:$AI$1082,Beräkningshjälp!AH$2,AC42:AF43)+IF(VLOOKUP(B46,Beräkningshjälp!$M$2:$U$60,4,FALSE)&gt;0,IF(B46=B47,DSUM('Antal &amp; Längder (vikter)'!$O$10:$T$27,'Antal &amp; Längder (vikter)'!$S$10,AB42:AC43),DSUM('Antal &amp; Längder (vikter)'!$O$10:$T$27,'Antal &amp; Längder (vikter)'!$S$10,AC42:AC43)-IF(B46=B45,DSUM('Antal &amp; Längder (vikter)'!$O$10:$T$27,'Antal &amp; Längder (vikter)'!$S$10,AB42:AC43),0)),DSUM('Antal &amp; Längder (vikter)'!$O$10:$T$27,'Antal &amp; Längder (vikter)'!$S$10,AC42:AC43)),DCOUNT(Beräkningshjälp!$AC$2:$AI$1082,Beräkningshjälp!AH$2,AH42:AK43)+IF(VLOOKUP(B46,Beräkningshjälp!$M$2:$U$60,4,FALSE)&gt;0,IF(B46=B47,DSUM('Antal &amp; Längder (vikter)'!$O$10:$T$27,'Antal &amp; Längder (vikter)'!$S$10,AG42:AH43),DSUM('Antal &amp; Längder (vikter)'!$O$10:$T$27,'Antal &amp; Längder (vikter)'!$S$10,AH42:AH43)-IF(B46=B45,DSUM('Antal &amp; Längder (vikter)'!$O$10:$T$27,'Antal &amp; Längder (vikter)'!$S$10,AG42:AH43),0)),DSUM('Antal &amp; Längder (vikter)'!$O$10:$T$27,'Antal &amp; Längder (vikter)'!$S$10,AH42:AH43))),IF(C46="Totalt:",SUM(E$26:E45),""))</f>
        <v/>
      </c>
      <c r="F46" s="447" t="str">
        <f>IF(AND(B46&lt;&gt;"",protokollAntalutfisk&gt;2),IF(ROUND((ROW(C45)-ROW(C$26))/2,0)=INT((ROW(D45)-ROW(D$26))/2),DCOUNT(Beräkningshjälp!$AC$2:$AI$1082,Beräkningshjälp!AH$2,AC42:AD43)-DCOUNT(Beräkningshjälp!$AC$2:$AI$1082,Beräkningshjälp!AH$2,AC42:AE43)+IF(VLOOKUP(B46,Beräkningshjälp!$M$2:$U$60,4,FALSE)&gt;0,IF(B46=B47,DSUM('Antal &amp; Längder (vikter)'!$O$10:$T$27,'Antal &amp; Längder (vikter)'!$T$10,AB42:AC43),DSUM('Antal &amp; Längder (vikter)'!$O$10:$T$27,'Antal &amp; Längder (vikter)'!$T$10,AC42:AC43)-IF(B46=B45,DSUM('Antal &amp; Längder (vikter)'!$O$10:$T$27,'Antal &amp; Längder (vikter)'!$T$10,AB42:AC43),0)),DSUM('Antal &amp; Längder (vikter)'!$O$10:$T$27,'Antal &amp; Längder (vikter)'!$T$10,AC42:AC43)),DCOUNT(Beräkningshjälp!$AC$2:$AI$1082,Beräkningshjälp!AH$2,AH42:AI43)-DCOUNT(Beräkningshjälp!$AC$2:$AI$1082,Beräkningshjälp!AH$2,AH42:AJ43)+IF(VLOOKUP(B46,Beräkningshjälp!$M$2:$U$60,4,FALSE)&gt;0,DSUM('Antal &amp; Längder (vikter)'!$O$10:$T$27,'Antal &amp; Längder (vikter)'!$T$10,AH42:AH43)-IF(B46=B45,DSUM('Antal &amp; Längder (vikter)'!$O$10:$T$27,'Antal &amp; Längder (vikter)'!$T$10,AG42:AH43),0),DSUM('Antal &amp; Längder (vikter)'!$O$10:$T$27,'Antal &amp; Längder (vikter)'!$T$10,AH42:AH43))),IF(C46="Totalt:",SUM(F$26:F45),""))</f>
        <v/>
      </c>
      <c r="G46" s="447" t="str">
        <f t="shared" si="5"/>
        <v/>
      </c>
      <c r="H46" s="450" t="str">
        <f>IF(AND(C46&lt;&gt;"Totalt:",SUM(G46)&gt;0),IF(Protokoll!$H$13=3,IF(OR(K46="AREA",K46="EST",N46&lt;&gt;""),IF(K46="AREA",G46,G46/((L46+L46*(1-L46))*(1-L46)+L46)),IF(OR(AND(L46&gt;=0.25,D46=E46,E46=F46),AND(L46&gt;=0.25,F46&gt;=D46)),IF(ISNUMBER(VLOOKUP(C46,Beräkningshjälp!$A$3:$E$42,2,FALSE)),G46/(VLOOKUP(C46,Beräkningshjälp!$A$3:$E$42,2,FALSE)/((L46+L46*(1-L46))*(1-L46)+L46)),G46),(6*(2*D46+E46)^2-(3*(2*D46+E46)*(D46+E46+F46))-(D46+E46+F46)^2+(D46+E46+F46)*(((D46+E46+F46)^2)+6*(2*D46+E46)*(D46+E46+F46)-3*(2*D46+E46)^2)^0.5)/(18*(D46-F46)))),IF(Protokoll!$H$13=2,IF(OR(K46="EST",N46&lt;&gt;""),G46/(L46+L46*(1-L46)),IF(E46&gt;=D46,IF(ISNUMBER(VLOOKUP(C46,Beräkningshjälp!$A$3:$E$42,2,FALSE)),G46/(VLOOKUP(C46,Beräkningshjälp!$A$3:$E$42,2,FALSE)/(L46+L46*(1-L46))),G46),IF(K46="AREA",G46,D46^2/(D46-E46)))),IF(OR(K46="EST",N46&lt;&gt;""),IF(N46&lt;&gt;"",G46/N46,IF(ISNUMBER(VLOOKUP(C46,Beräkningshjälp!$A$3:$E$42,2,FALSE)),G46/VLOOKUP(C46,Beräkningshjälp!$A$3:$E$42,2,FALSE),G46)),G46))),IF(C46="Totalt:",SUM(H$26:H45),IF(AND(G46&lt;&gt;"",G46=0),0,"")))</f>
        <v/>
      </c>
      <c r="I46" s="492" t="str">
        <f>IF(Protokoll!$AC$19&lt;&gt;"",IF(COUNT(H46)&gt;0,H46/Protokoll!$AC$19*100,""),"")</f>
        <v/>
      </c>
      <c r="J46" s="464" t="str">
        <f>IF(B46&lt;&gt;"",IF(H46&lt;&gt;"",IF(K46="ZIPP",IF(Protokoll!$H$13=3,(1.96*((H46*(1-(1-L46)^3)*(1-L46)^3)/((1-(1-L46)^3)^2-9*L46^2*(1-L46)^2))^0.5)/('DATA TILL SLU'!$Q$7/100),IF(Protokoll!$H$13=2,(1.96*D46*E46*(D46+E46)^0.5/(D46-E46)^2)/('DATA TILL SLU'!$Q$7/100),"")),"-"),""),"")</f>
        <v/>
      </c>
      <c r="K46" s="448" t="str">
        <f>IF(AND(D46&gt;0,G46&gt;0,B46&lt;&gt;""),IF(Protokoll!$H$13=3,IF(OR(AND(D46&gt;=E46,E46&gt;F46),AND(D46&gt;E46,E46&gt;=F46),AND(D46&lt;=E46,D46&gt;F46,D46&gt;F46),AND(D46&gt;=E46,D46&gt;=F46,E46&lt;&gt;F46)),IF((3*(2*D46+E46)-D46-E46-F46-((D46+E46+F46)^2+6*(2*D46+E46)*(D46+E46+F46)-3*(2*D46+E46)^2)^0.5)/(4*D46+2*E46)&gt;=0.25,IF(N46="","ZIPP","EST"),IF(OR(ISNUMBER(VLOOKUP(C46,Beräkningshjälp!$A$3:$E$42,2,FALSE)),N46&lt;&gt;""),"EST","AREA")),IF(OR(ISNUMBER(VLOOKUP(C46,Beräkningshjälp!$A$3:$E$42,2,FALSE)),N46&lt;&gt;""),"EST","AREA")),IF(Protokoll!$H$13=2,IF((D46-E46)/D46&gt;=0.25,IF(N46="","ZIPP","EST"),IF(OR(ISNUMBER(VLOOKUP(C46,Beräkningshjälp!$A$3:$E$42,2,FALSE)),N46&lt;&gt;""),"EST","AREA")),IF(OR(ISNUMBER(VLOOKUP(C46,Beräkningshjälp!$A$3:$E$42,2,FALSE)),N46&lt;&gt;""),"EST","AREA"))),IF(AND(G46&gt;0,B46&lt;&gt;""),IF(OR(ISNUMBER(VLOOKUP(C46,Beräkningshjälp!$A$3:$E$42,2,FALSE)),N46&lt;&gt;""),"EST","AREA"),""))</f>
        <v/>
      </c>
      <c r="L46" s="449" t="str">
        <f>IF(AND(K46&lt;&gt;"",B46&lt;&gt;""),IF(Protokoll!$H$13=3,IF(N46&lt;&gt;"",N46,IF(K46="ZIPP",(3*(2*D46+E46)-D46-E46-F46-((D46+E46+F46)^2+6*(2*D46+E46)*(D46+E46+F46)-3*(2*D46+E46)^2)^0.5)/(4*D46+2*E46),IF(ISNUMBER(VLOOKUP(C46,Beräkningshjälp!$A$3:$E$42,2,FALSE)),VLOOKUP(C46,Beräkningshjälp!$A$3:$E$42,2,FALSE),IF(B46&lt;&gt;"","-","")))),IF(Protokoll!$H$13=2,IF(N46&lt;&gt;"",N46,IF(K46="ZIPP",(D46-E46)/D46,IF(ISNUMBER(VLOOKUP(C46,Beräkningshjälp!$A$3:$E$42,2,FALSE)),VLOOKUP(C46,Beräkningshjälp!$A$3:$E$42,2,FALSE),IF(B46&lt;&gt;"","-","")))),IF(N46&lt;&gt;"",N46,IF(ISNUMBER(VLOOKUP(C46,Beräkningshjälp!$A$3:$E$42,2,FALSE)),VLOOKUP(C46,Beräkningshjälp!$A$3:$E$42,2,FALSE),IF(B46&lt;&gt;"","-",""))))),"")</f>
        <v/>
      </c>
      <c r="M46" s="449" t="str">
        <f>IF(B46&lt;&gt;"",IF(OR(G46=0,K46="AREA",Protokoll!$H$13="",Protokoll!$H$13=1),"",2*L46-L46^2+IF(Protokoll!$H$13=3,L46*(1-(2*L46-L46^2)),0)),"")</f>
        <v/>
      </c>
      <c r="N46" s="502"/>
      <c r="Q46" s="2" t="str">
        <f>RIGHT(U46,LEN(U46)-2)&amp;" - "&amp;RIGHT(V46,LEN(V46)-2)</f>
        <v>201 - 205</v>
      </c>
      <c r="R46" s="136">
        <f>IF($B$1&lt;&gt;"",DCOUNT(Beräkningshjälp!$AC$2:$AI$1082,Beräkningshjälp!$AH$2,U45:W46),0)</f>
        <v>0</v>
      </c>
      <c r="S46" s="513">
        <f>IF($B$1&lt;&gt;"",IF(AND($S$4&gt;=RIGHT(U46,LEN(U46)-2)*1,AND($S$4&lt;=RIGHT(V46,LEN(V46)-2)*1)),MAX(T$6:T$56),0),0)</f>
        <v>0</v>
      </c>
      <c r="T46" s="515">
        <f t="shared" si="0"/>
        <v>9</v>
      </c>
      <c r="U46" s="445" t="str">
        <f>"&gt;="&amp;RIGHT(Y45,LEN(Y45)-2)*1+1</f>
        <v>&gt;=201</v>
      </c>
      <c r="V46" s="444" t="str">
        <f>"&lt;="&amp;IF($B$3&lt;&gt;"",$B$3,5)+RIGHT(U46,LEN(U46)-2)*1-1</f>
        <v>&lt;=205</v>
      </c>
      <c r="W46" s="551" t="str">
        <f>IF($W$6&lt;&gt;"",$W$6,"")</f>
        <v/>
      </c>
      <c r="X46" s="353" t="s">
        <v>1984</v>
      </c>
      <c r="Y46" s="353" t="s">
        <v>1984</v>
      </c>
      <c r="Z46" s="119" t="s">
        <v>75</v>
      </c>
      <c r="AB46" s="439" t="str">
        <f>IF($B49&lt;&gt;"",IF(ISNUMBER(VLOOKUP($B49,Artlista_alla,4,FALSE)),"0+",""),"")</f>
        <v/>
      </c>
      <c r="AC46" s="440" t="str">
        <f>$B49</f>
        <v/>
      </c>
      <c r="AD46" s="441" t="str">
        <f>IF(OR(VLOOKUP(AC46,$I$11:$M$22,3,FALSE)="X",AND(COUNTIF($B$27:$B$50,$B49)=2,VLOOKUP(AC46,$I$11:$M$22,3,FALSE)=0)),IF($B49=$B50,0,"&lt;10000"),IF(AND($B49&lt;&gt;"",$B49=$B48,$B49&lt;&gt;$B50),IF(ISNUMBER(VLOOKUP($B49,$I$11:$M$22,3,FALSE)),"&gt;"&amp;VLOOKUP($B49,$I$11:$M$22,3,FALSE),IF(ISNUMBER(RIGHT(VLOOKUP($B49,$I$11:$M$22,3,FALSE),LEN(VLOOKUP($B49,$I$11:$M$22,3,FALSE))-1)*1),"&gt;="&amp;RIGHT(VLOOKUP($B49,$I$11:$M$22,3,FALSE),LEN(VLOOKUP($B49,$I$11:$M$22,3,FALSE))-1),"&gt;"&amp;RIGHT(VLOOKUP($B49,$I$11:$M$22,3,FALSE),LEN(VLOOKUP($B49,$I$11:$M$22,3,FALSE))-2))),IF(AND($B49&lt;&gt;"",$B49=$B50,$B49&lt;&gt;$B48),IF(ISNUMBER(VLOOKUP($B49,$I$11:$M$22,3,FALSE)),"&lt;=","")&amp;VLOOKUP($B49,$I$11:$M$22,3,FALSE),"&lt;10000")))</f>
        <v>&lt;10000</v>
      </c>
      <c r="AE46" s="352" t="s">
        <v>1995</v>
      </c>
      <c r="AF46" s="115">
        <v>2</v>
      </c>
      <c r="AG46" s="115" t="s">
        <v>462</v>
      </c>
      <c r="AH46" t="s">
        <v>75</v>
      </c>
      <c r="AI46" t="s">
        <v>1984</v>
      </c>
      <c r="AJ46" s="115" t="s">
        <v>1983</v>
      </c>
      <c r="AK46" s="115" t="s">
        <v>1983</v>
      </c>
    </row>
    <row r="47" spans="1:37" ht="13.8" thickBot="1" x14ac:dyDescent="0.3">
      <c r="A47" s="508" t="str">
        <f>IF(VLOOKUP(B47,Beräkningshjälp!$M$2:$U$60,4,FALSE)&gt;0,IF(ROUND((ROW(B46)-ROW(B$26))/2,0)=INT((ROW(B46)-ROW(B$26))/2),IF(DCOUNTA('Antal &amp; Längder (vikter)'!$O$10:$T$27,'Antal &amp; Längder (vikter)'!$Q$10,AC43:AC44)&lt;&gt;DCOUNT('Antal &amp; Längder (vikter)'!$O$10:$T$27,'Antal &amp; Längder (vikter)'!$R$10,AC43:AC44),"Icke längdmätta ej uppdelade 0+/&gt;0+",IF(AND(DCOUNT(Beräkningshjälp!$AB$2:$AI$1082,Beräkningshjälp!$AH$2,AC43:AC44)&gt;0,COUNTIF(B$27:B$50,B47)=1,VLOOKUP(B47,I$11:K$22,3,FALSE)=0),"Ange gräns 0+/&gt;0+ i fält K"&amp;10+B47&amp;" ovan","")),IF(DCOUNTA('Antal &amp; Längder (vikter)'!$O$10:$T$27,'Antal &amp; Längder (vikter)'!$Q$10,AH43:AH44)&lt;&gt;DCOUNT('Antal &amp; Längder (vikter)'!$O$10:$T$27,'Antal &amp; Längder (vikter)'!$R$10,AH43:AH44),"Icke längdmätta ej uppdelade 0+/&gt;0+",IF(AND(DCOUNT(Beräkningshjälp!$AB$2:$AI$1082,Beräkningshjälp!$AH$2,Artuppgifter!AH43:AH44)&gt;0,COUNTIF(B$27:B$50,B47)=1,VLOOKUP(B47,I$11:K$22,3,FALSE)=0),"Ange gräns 0+/&gt;0+ i fält K"&amp;10+B47&amp;" ovan",""))),"")</f>
        <v/>
      </c>
      <c r="B47" s="515" t="str">
        <f>IF(B46&lt;&gt;"",IF(AND(COUNTIF(B$26:B46,B46)=1,VLOOKUP(B46,Artlista_alla,4,FALSE)&gt;0,VLOOKUP(B46,I$11:M$22,3,FALSE)&gt;0,IF((ROW()-ROW($B$26))/2=INT((ROW()-ROW($B$26))/2),IF(ISNUMBER(DCOUNTA(Omätta,B46,AC42:AC43)),IF(DCOUNTA(Omätta,B46,AC42:AC43)&gt;0,AND(DCOUNTA(Omätta,AB42,AC42:AC43)&gt;0,DCOUNTA(Omätta,AB42,AC42:AC43)=DCOUNTA(Omätta,AC42,AC42:AC43)),TRUE),FALSE),IF(ISNUMBER(DCOUNTA(Omätta,B46,AH42:AH43)),IF(DCOUNTA(Omätta,B46,AH42:AH43)&gt;0,AND(DCOUNTA(Omätta,AG42,AH42:AH43)&gt;0,DCOUNTA(Omätta,AG42,AH42:AH43)=DCOUNTA(Omätta,AH42,AH42:AH43)),TRUE),FALSE))),B46,IF(COUNTIF(I$11:I$22,B46+1)&gt;0,B46+1,"")),"")</f>
        <v/>
      </c>
      <c r="C47" s="447" t="str">
        <f t="shared" si="4"/>
        <v/>
      </c>
      <c r="D47" s="447" t="str">
        <f>IF(B47&lt;&gt;"",IF(ROUND((ROW(C46)-ROW(C$26))/2,0)=INT((ROW(D46)-ROW(D$26))/2),DCOUNT(Beräkningshjälp!$AC$2:$AI$1082,Beräkningshjälp!AH$2,AC43:AE44)-DCOUNT(Beräkningshjälp!$AC$2:$AI$1082,Beräkningshjälp!AH$2,AC43:AF44)+IF(VLOOKUP(B47,Beräkningshjälp!$M$2:$U$60,4,FALSE)&gt;0,IF(B47=B48,DSUM('Antal &amp; Längder (vikter)'!$O$10:$T$27,'Antal &amp; Längder (vikter)'!$R$10,AB43:AC44),DSUM('Antal &amp; Längder (vikter)'!$O$10:$T$27,'Antal &amp; Längder (vikter)'!$R$10,AC43:AC44)-IF(B47=B46,DSUM('Antal &amp; Längder (vikter)'!$O$10:$T$27,'Antal &amp; Längder (vikter)'!$R$10,AB43:AC44),0)),DSUM('Antal &amp; Längder (vikter)'!$O$10:$T$27,'Antal &amp; Längder (vikter)'!$R$10,AC43:AC44)),DCOUNT(Beräkningshjälp!$AC$2:$AI$1082,Beräkningshjälp!AH$2,AH43:AJ44)-DCOUNT(Beräkningshjälp!$AC$2:$AI$1082,Beräkningshjälp!AH$2,AH43:AK44)+IF(VLOOKUP(B47,Beräkningshjälp!$M$2:$U$60,4,FALSE)&gt;0,IF(B47=B48,DSUM('Antal &amp; Längder (vikter)'!$O$10:$T$27,'Antal &amp; Längder (vikter)'!$R$10,AG43:AH44),DSUM('Antal &amp; Längder (vikter)'!$O$10:$T$27,'Antal &amp; Längder (vikter)'!$R$10,AH43:AH44)-IF(B47=B46,DSUM('Antal &amp; Längder (vikter)'!$O$10:$T$27,'Antal &amp; Längder (vikter)'!$R$10,AG43:AH44),0)),DSUM('Antal &amp; Längder (vikter)'!$O$10:$T$27,'Antal &amp; Längder (vikter)'!$R$10,AH43:AH44))),IF(C47="Totalt:",SUM(D$26:D46),""))</f>
        <v/>
      </c>
      <c r="E47" s="447" t="str">
        <f>IF(AND(B47&lt;&gt;"",protokollAntalutfisk&gt;1),IF(ROUND((ROW(C46)-ROW(C$26))/2,0)=INT((ROW(D46)-ROW(D$26))/2),DCOUNT(Beräkningshjälp!$AC$2:$AI$1082,Beräkningshjälp!AH$2,AC43:AF44)+IF(VLOOKUP(B47,Beräkningshjälp!$M$2:$U$60,4,FALSE)&gt;0,IF(B47=B48,DSUM('Antal &amp; Längder (vikter)'!$O$10:$T$27,'Antal &amp; Längder (vikter)'!$S$10,AB43:AC44),DSUM('Antal &amp; Längder (vikter)'!$O$10:$T$27,'Antal &amp; Längder (vikter)'!$S$10,AC43:AC44)-IF(B47=B46,DSUM('Antal &amp; Längder (vikter)'!$O$10:$T$27,'Antal &amp; Längder (vikter)'!$S$10,AB43:AC44),0)),DSUM('Antal &amp; Längder (vikter)'!$O$10:$T$27,'Antal &amp; Längder (vikter)'!$S$10,AC43:AC44)),DCOUNT(Beräkningshjälp!$AC$2:$AI$1082,Beräkningshjälp!AH$2,AH43:AK44)+IF(VLOOKUP(B47,Beräkningshjälp!$M$2:$U$60,4,FALSE)&gt;0,IF(B47=B48,DSUM('Antal &amp; Längder (vikter)'!$O$10:$T$27,'Antal &amp; Längder (vikter)'!$S$10,AG43:AH44),DSUM('Antal &amp; Längder (vikter)'!$O$10:$T$27,'Antal &amp; Längder (vikter)'!$S$10,AH43:AH44)-IF(B47=B46,DSUM('Antal &amp; Längder (vikter)'!$O$10:$T$27,'Antal &amp; Längder (vikter)'!$S$10,AG43:AH44),0)),DSUM('Antal &amp; Längder (vikter)'!$O$10:$T$27,'Antal &amp; Längder (vikter)'!$S$10,AH43:AH44))),IF(C47="Totalt:",SUM(E$26:E46),""))</f>
        <v/>
      </c>
      <c r="F47" s="447" t="str">
        <f>IF(AND(B47&lt;&gt;"",protokollAntalutfisk&gt;2),IF(ROUND((ROW(C46)-ROW(C$26))/2,0)=INT((ROW(D46)-ROW(D$26))/2),DCOUNT(Beräkningshjälp!$AC$2:$AI$1082,Beräkningshjälp!AH$2,AC43:AD44)-DCOUNT(Beräkningshjälp!$AC$2:$AI$1082,Beräkningshjälp!AH$2,AC43:AE44)+IF(VLOOKUP(B47,Beräkningshjälp!$M$2:$U$60,4,FALSE)&gt;0,IF(B47=B48,DSUM('Antal &amp; Längder (vikter)'!$O$10:$T$27,'Antal &amp; Längder (vikter)'!$T$10,AB43:AC44),DSUM('Antal &amp; Längder (vikter)'!$O$10:$T$27,'Antal &amp; Längder (vikter)'!$T$10,AC43:AC44)-IF(B47=B46,DSUM('Antal &amp; Längder (vikter)'!$O$10:$T$27,'Antal &amp; Längder (vikter)'!$T$10,AB43:AC44),0)),DSUM('Antal &amp; Längder (vikter)'!$O$10:$T$27,'Antal &amp; Längder (vikter)'!$T$10,AC43:AC44)),DCOUNT(Beräkningshjälp!$AC$2:$AI$1082,Beräkningshjälp!AH$2,AH43:AI44)-DCOUNT(Beräkningshjälp!$AC$2:$AI$1082,Beräkningshjälp!AH$2,AH43:AJ44)+IF(VLOOKUP(B47,Beräkningshjälp!$M$2:$U$60,4,FALSE)&gt;0,DSUM('Antal &amp; Längder (vikter)'!$O$10:$T$27,'Antal &amp; Längder (vikter)'!$T$10,AH43:AH44)-IF(B47=B46,DSUM('Antal &amp; Längder (vikter)'!$O$10:$T$27,'Antal &amp; Längder (vikter)'!$T$10,AG43:AH44),0),DSUM('Antal &amp; Längder (vikter)'!$O$10:$T$27,'Antal &amp; Längder (vikter)'!$T$10,AH43:AH44))),IF(C47="Totalt:",SUM(F$26:F46),""))</f>
        <v/>
      </c>
      <c r="G47" s="447" t="str">
        <f t="shared" si="5"/>
        <v/>
      </c>
      <c r="H47" s="450" t="str">
        <f>IF(AND(C47&lt;&gt;"Totalt:",SUM(G47)&gt;0),IF(Protokoll!$H$13=3,IF(OR(K47="AREA",K47="EST",N47&lt;&gt;""),IF(K47="AREA",G47,G47/((L47+L47*(1-L47))*(1-L47)+L47)),IF(OR(AND(L47&gt;=0.25,D47=E47,E47=F47),AND(L47&gt;=0.25,F47&gt;=D47)),IF(ISNUMBER(VLOOKUP(C47,Beräkningshjälp!$A$3:$E$42,2,FALSE)),G47/(VLOOKUP(C47,Beräkningshjälp!$A$3:$E$42,2,FALSE)/((L47+L47*(1-L47))*(1-L47)+L47)),G47),(6*(2*D47+E47)^2-(3*(2*D47+E47)*(D47+E47+F47))-(D47+E47+F47)^2+(D47+E47+F47)*(((D47+E47+F47)^2)+6*(2*D47+E47)*(D47+E47+F47)-3*(2*D47+E47)^2)^0.5)/(18*(D47-F47)))),IF(Protokoll!$H$13=2,IF(OR(K47="EST",N47&lt;&gt;""),G47/(L47+L47*(1-L47)),IF(E47&gt;=D47,IF(ISNUMBER(VLOOKUP(C47,Beräkningshjälp!$A$3:$E$42,2,FALSE)),G47/(VLOOKUP(C47,Beräkningshjälp!$A$3:$E$42,2,FALSE)/(L47+L47*(1-L47))),G47),IF(K47="AREA",G47,D47^2/(D47-E47)))),IF(OR(K47="EST",N47&lt;&gt;""),IF(N47&lt;&gt;"",G47/N47,IF(ISNUMBER(VLOOKUP(C47,Beräkningshjälp!$A$3:$E$42,2,FALSE)),G47/VLOOKUP(C47,Beräkningshjälp!$A$3:$E$42,2,FALSE),G47)),G47))),IF(C47="Totalt:",SUM(H$26:H46),IF(AND(G47&lt;&gt;"",G47=0),0,"")))</f>
        <v/>
      </c>
      <c r="I47" s="492" t="str">
        <f>IF(Protokoll!$AC$19&lt;&gt;"",IF(COUNT(H47)&gt;0,H47/Protokoll!$AC$19*100,""),"")</f>
        <v/>
      </c>
      <c r="J47" s="464" t="str">
        <f>IF(B47&lt;&gt;"",IF(H47&lt;&gt;"",IF(K47="ZIPP",IF(Protokoll!$H$13=3,(1.96*((H47*(1-(1-L47)^3)*(1-L47)^3)/((1-(1-L47)^3)^2-9*L47^2*(1-L47)^2))^0.5)/('DATA TILL SLU'!$Q$7/100),IF(Protokoll!$H$13=2,(1.96*D47*E47*(D47+E47)^0.5/(D47-E47)^2)/('DATA TILL SLU'!$Q$7/100),"")),"-"),""),"")</f>
        <v/>
      </c>
      <c r="K47" s="448" t="str">
        <f>IF(AND(D47&gt;0,G47&gt;0,B47&lt;&gt;""),IF(Protokoll!$H$13=3,IF(OR(AND(D47&gt;=E47,E47&gt;F47),AND(D47&gt;E47,E47&gt;=F47),AND(D47&lt;=E47,D47&gt;F47,D47&gt;F47),AND(D47&gt;=E47,D47&gt;=F47,E47&lt;&gt;F47)),IF((3*(2*D47+E47)-D47-E47-F47-((D47+E47+F47)^2+6*(2*D47+E47)*(D47+E47+F47)-3*(2*D47+E47)^2)^0.5)/(4*D47+2*E47)&gt;=0.25,IF(N47="","ZIPP","EST"),IF(OR(ISNUMBER(VLOOKUP(C47,Beräkningshjälp!$A$3:$E$42,2,FALSE)),N47&lt;&gt;""),"EST","AREA")),IF(OR(ISNUMBER(VLOOKUP(C47,Beräkningshjälp!$A$3:$E$42,2,FALSE)),N47&lt;&gt;""),"EST","AREA")),IF(Protokoll!$H$13=2,IF((D47-E47)/D47&gt;=0.25,IF(N47="","ZIPP","EST"),IF(OR(ISNUMBER(VLOOKUP(C47,Beräkningshjälp!$A$3:$E$42,2,FALSE)),N47&lt;&gt;""),"EST","AREA")),IF(OR(ISNUMBER(VLOOKUP(C47,Beräkningshjälp!$A$3:$E$42,2,FALSE)),N47&lt;&gt;""),"EST","AREA"))),IF(AND(G47&gt;0,B47&lt;&gt;""),IF(OR(ISNUMBER(VLOOKUP(C47,Beräkningshjälp!$A$3:$E$42,2,FALSE)),N47&lt;&gt;""),"EST","AREA"),""))</f>
        <v/>
      </c>
      <c r="L47" s="449" t="str">
        <f>IF(AND(K47&lt;&gt;"",B47&lt;&gt;""),IF(Protokoll!$H$13=3,IF(N47&lt;&gt;"",N47,IF(K47="ZIPP",(3*(2*D47+E47)-D47-E47-F47-((D47+E47+F47)^2+6*(2*D47+E47)*(D47+E47+F47)-3*(2*D47+E47)^2)^0.5)/(4*D47+2*E47),IF(ISNUMBER(VLOOKUP(C47,Beräkningshjälp!$A$3:$E$42,2,FALSE)),VLOOKUP(C47,Beräkningshjälp!$A$3:$E$42,2,FALSE),IF(B47&lt;&gt;"","-","")))),IF(Protokoll!$H$13=2,IF(N47&lt;&gt;"",N47,IF(K47="ZIPP",(D47-E47)/D47,IF(ISNUMBER(VLOOKUP(C47,Beräkningshjälp!$A$3:$E$42,2,FALSE)),VLOOKUP(C47,Beräkningshjälp!$A$3:$E$42,2,FALSE),IF(B47&lt;&gt;"","-","")))),IF(N47&lt;&gt;"",N47,IF(ISNUMBER(VLOOKUP(C47,Beräkningshjälp!$A$3:$E$42,2,FALSE)),VLOOKUP(C47,Beräkningshjälp!$A$3:$E$42,2,FALSE),IF(B47&lt;&gt;"","-",""))))),"")</f>
        <v/>
      </c>
      <c r="M47" s="449" t="str">
        <f>IF(B47&lt;&gt;"",IF(OR(G47=0,K47="AREA",Protokoll!$H$13="",Protokoll!$H$13=1),"",2*L47-L47^2+IF(Protokoll!$H$13=3,L47*(1-(2*L47-L47^2)),0)),"")</f>
        <v/>
      </c>
      <c r="N47" s="502"/>
      <c r="Q47" s="2" t="str">
        <f>RIGHT(X47,LEN(X47)-2)&amp;" - "&amp;RIGHT(Y47,LEN(Y47)-2)</f>
        <v>206 - 210</v>
      </c>
      <c r="R47" s="136">
        <f>IF($B$1&lt;&gt;"",DCOUNT(Beräkningshjälp!$AC$2:$AI$1082,Beräkningshjälp!$AH$2,X46:Z47),0)</f>
        <v>0</v>
      </c>
      <c r="S47" s="513">
        <f>IF($B$1&lt;&gt;"",IF(AND($S$4&gt;=RIGHT(X47,LEN(X47)-2)*1,AND($S$4&lt;=RIGHT(Y47,LEN(Y47)-2)*1)),MAX(T$6:T$56),0),0)</f>
        <v>0</v>
      </c>
      <c r="T47" s="515">
        <f t="shared" si="0"/>
        <v>9</v>
      </c>
      <c r="U47" s="353" t="s">
        <v>1984</v>
      </c>
      <c r="V47" s="353" t="s">
        <v>1984</v>
      </c>
      <c r="W47" s="119" t="s">
        <v>75</v>
      </c>
      <c r="X47" s="442" t="str">
        <f>"&gt;="&amp;RIGHT(V46,LEN(V46)-2)*1+1</f>
        <v>&gt;=206</v>
      </c>
      <c r="Y47" s="445" t="str">
        <f>"&lt;="&amp;IF($B$3&lt;&gt;"",$B$3,5)+RIGHT(X47,LEN(X47)-2)*1-1</f>
        <v>&lt;=210</v>
      </c>
      <c r="Z47" s="551" t="str">
        <f>IF($W$6&lt;&gt;"",$W$6,"")</f>
        <v/>
      </c>
      <c r="AB47" s="115" t="s">
        <v>462</v>
      </c>
      <c r="AC47" t="s">
        <v>75</v>
      </c>
      <c r="AD47" t="s">
        <v>1984</v>
      </c>
      <c r="AE47" s="115" t="s">
        <v>1983</v>
      </c>
      <c r="AF47" s="115" t="s">
        <v>1983</v>
      </c>
      <c r="AG47" s="439" t="str">
        <f>IF($B50&lt;&gt;"",IF(ISNUMBER(VLOOKUP($B50,Artlista_alla,4,FALSE)),"0+",""),"")</f>
        <v/>
      </c>
      <c r="AH47" s="440" t="str">
        <f>$B50</f>
        <v/>
      </c>
      <c r="AI47" s="441" t="str">
        <f>IF(OR(VLOOKUP(AH47,$I$11:$M$22,3,FALSE)="X",AND(COUNTIF($B$27:$B$50,$B50)=2,VLOOKUP(AH47,$I$11:$M$22,3,FALSE)=0)),IF($B50=$B51,0,"&lt;10000"),IF(AND($B50&lt;&gt;"",$B50=$B49,$B50&lt;&gt;$B51),IF(ISNUMBER(VLOOKUP($B50,$I$11:$M$22,3,FALSE)),"&gt;"&amp;VLOOKUP($B50,$I$11:$M$22,3,FALSE),IF(ISNUMBER(RIGHT(VLOOKUP($B50,$I$11:$M$22,3,FALSE),LEN(VLOOKUP($B50,$I$11:$M$22,3,FALSE))-1)*1),"&gt;="&amp;RIGHT(VLOOKUP($B50,$I$11:$M$22,3,FALSE),LEN(VLOOKUP($B50,$I$11:$M$22,3,FALSE))-1),"&gt;"&amp;RIGHT(VLOOKUP($B50,$I$11:$M$22,3,FALSE),LEN(VLOOKUP($B50,$I$11:$M$22,3,FALSE))-2))),IF(AND($B50&lt;&gt;"",$B50=$B51,$B50&lt;&gt;$B49),IF(ISNUMBER(VLOOKUP($B50,$I$11:$M$22,3,FALSE)),"&lt;=","")&amp;VLOOKUP($B50,$I$11:$M$22,3,FALSE),"&lt;10000")))</f>
        <v>&lt;10000</v>
      </c>
      <c r="AJ47" s="352" t="s">
        <v>1995</v>
      </c>
      <c r="AK47" s="115">
        <v>2</v>
      </c>
    </row>
    <row r="48" spans="1:37" ht="13.8" thickBot="1" x14ac:dyDescent="0.3">
      <c r="A48" s="508" t="str">
        <f>IF(VLOOKUP(B48,Beräkningshjälp!$M$2:$U$60,4,FALSE)&gt;0,IF(ROUND((ROW(B47)-ROW(B$26))/2,0)=INT((ROW(B47)-ROW(B$26))/2),IF(DCOUNTA('Antal &amp; Längder (vikter)'!$O$10:$T$27,'Antal &amp; Längder (vikter)'!$Q$10,AC44:AC45)&lt;&gt;DCOUNT('Antal &amp; Längder (vikter)'!$O$10:$T$27,'Antal &amp; Längder (vikter)'!$R$10,AC44:AC45),"Icke längdmätta ej uppdelade 0+/&gt;0+",IF(AND(DCOUNT(Beräkningshjälp!$AB$2:$AI$1082,Beräkningshjälp!$AH$2,AC44:AC45)&gt;0,COUNTIF(B$27:B$50,B48)=1,VLOOKUP(B48,I$11:K$22,3,FALSE)=0),"Ange gräns 0+/&gt;0+ i fält K"&amp;10+B48&amp;" ovan","")),IF(DCOUNTA('Antal &amp; Längder (vikter)'!$O$10:$T$27,'Antal &amp; Längder (vikter)'!$Q$10,AH44:AH45)&lt;&gt;DCOUNT('Antal &amp; Längder (vikter)'!$O$10:$T$27,'Antal &amp; Längder (vikter)'!$R$10,AH44:AH45),"Icke längdmätta ej uppdelade 0+/&gt;0+",IF(AND(DCOUNT(Beräkningshjälp!$AB$2:$AI$1082,Beräkningshjälp!$AH$2,Artuppgifter!AH44:AH45)&gt;0,COUNTIF(B$27:B$50,B48)=1,VLOOKUP(B48,I$11:K$22,3,FALSE)=0),"Ange gräns 0+/&gt;0+ i fält K"&amp;10+B48&amp;" ovan",""))),"")</f>
        <v/>
      </c>
      <c r="B48" s="515" t="str">
        <f>IF(B47&lt;&gt;"",IF(AND(COUNTIF(B$26:B47,B47)=1,VLOOKUP(B47,Artlista_alla,4,FALSE)&gt;0,VLOOKUP(B47,I$11:M$22,3,FALSE)&gt;0,IF((ROW()-ROW($B$26))/2=INT((ROW()-ROW($B$26))/2),IF(ISNUMBER(DCOUNTA(Omätta,B47,AC43:AC44)),IF(DCOUNTA(Omätta,B47,AC43:AC44)&gt;0,AND(DCOUNTA(Omätta,AB43,AC43:AC44)&gt;0,DCOUNTA(Omätta,AB43,AC43:AC44)=DCOUNTA(Omätta,AC43,AC43:AC44)),TRUE),FALSE),IF(ISNUMBER(DCOUNTA(Omätta,B47,AH43:AH44)),IF(DCOUNTA(Omätta,B47,AH43:AH44)&gt;0,AND(DCOUNTA(Omätta,AG43,AH43:AH44)&gt;0,DCOUNTA(Omätta,AG43,AH43:AH44)=DCOUNTA(Omätta,AH43,AH43:AH44)),TRUE),FALSE))),B47,IF(COUNTIF(I$11:I$22,B47+1)&gt;0,B47+1,"")),"")</f>
        <v/>
      </c>
      <c r="C48" s="447" t="str">
        <f t="shared" si="4"/>
        <v/>
      </c>
      <c r="D48" s="447" t="str">
        <f>IF(B48&lt;&gt;"",IF(ROUND((ROW(C47)-ROW(C$26))/2,0)=INT((ROW(D47)-ROW(D$26))/2),DCOUNT(Beräkningshjälp!$AC$2:$AI$1082,Beräkningshjälp!AH$2,AC44:AE45)-DCOUNT(Beräkningshjälp!$AC$2:$AI$1082,Beräkningshjälp!AH$2,AC44:AF45)+IF(VLOOKUP(B48,Beräkningshjälp!$M$2:$U$60,4,FALSE)&gt;0,IF(B48=B49,DSUM('Antal &amp; Längder (vikter)'!$O$10:$T$27,'Antal &amp; Längder (vikter)'!$R$10,AB44:AC45),DSUM('Antal &amp; Längder (vikter)'!$O$10:$T$27,'Antal &amp; Längder (vikter)'!$R$10,AC44:AC45)-IF(B48=B47,DSUM('Antal &amp; Längder (vikter)'!$O$10:$T$27,'Antal &amp; Längder (vikter)'!$R$10,AB44:AC45),0)),DSUM('Antal &amp; Längder (vikter)'!$O$10:$T$27,'Antal &amp; Längder (vikter)'!$R$10,AC44:AC45)),DCOUNT(Beräkningshjälp!$AC$2:$AI$1082,Beräkningshjälp!AH$2,AH44:AJ45)-DCOUNT(Beräkningshjälp!$AC$2:$AI$1082,Beräkningshjälp!AH$2,AH44:AK45)+IF(VLOOKUP(B48,Beräkningshjälp!$M$2:$U$60,4,FALSE)&gt;0,IF(B48=B49,DSUM('Antal &amp; Längder (vikter)'!$O$10:$T$27,'Antal &amp; Längder (vikter)'!$R$10,AG44:AH45),DSUM('Antal &amp; Längder (vikter)'!$O$10:$T$27,'Antal &amp; Längder (vikter)'!$R$10,AH44:AH45)-IF(B48=B47,DSUM('Antal &amp; Längder (vikter)'!$O$10:$T$27,'Antal &amp; Längder (vikter)'!$R$10,AG44:AH45),0)),DSUM('Antal &amp; Längder (vikter)'!$O$10:$T$27,'Antal &amp; Längder (vikter)'!$R$10,AH44:AH45))),IF(C48="Totalt:",SUM(D$26:D47),""))</f>
        <v/>
      </c>
      <c r="E48" s="447" t="str">
        <f>IF(AND(B48&lt;&gt;"",protokollAntalutfisk&gt;1),IF(ROUND((ROW(C47)-ROW(C$26))/2,0)=INT((ROW(D47)-ROW(D$26))/2),DCOUNT(Beräkningshjälp!$AC$2:$AI$1082,Beräkningshjälp!AH$2,AC44:AF45)+IF(VLOOKUP(B48,Beräkningshjälp!$M$2:$U$60,4,FALSE)&gt;0,IF(B48=B49,DSUM('Antal &amp; Längder (vikter)'!$O$10:$T$27,'Antal &amp; Längder (vikter)'!$S$10,AB44:AC45),DSUM('Antal &amp; Längder (vikter)'!$O$10:$T$27,'Antal &amp; Längder (vikter)'!$S$10,AC44:AC45)-IF(B48=B47,DSUM('Antal &amp; Längder (vikter)'!$O$10:$T$27,'Antal &amp; Längder (vikter)'!$S$10,AB44:AC45),0)),DSUM('Antal &amp; Längder (vikter)'!$O$10:$T$27,'Antal &amp; Längder (vikter)'!$S$10,AC44:AC45)),DCOUNT(Beräkningshjälp!$AC$2:$AI$1082,Beräkningshjälp!AH$2,AH44:AK45)+IF(VLOOKUP(B48,Beräkningshjälp!$M$2:$U$60,4,FALSE)&gt;0,IF(B48=B49,DSUM('Antal &amp; Längder (vikter)'!$O$10:$T$27,'Antal &amp; Längder (vikter)'!$S$10,AG44:AH45),DSUM('Antal &amp; Längder (vikter)'!$O$10:$T$27,'Antal &amp; Längder (vikter)'!$S$10,AH44:AH45)-IF(B48=B47,DSUM('Antal &amp; Längder (vikter)'!$O$10:$T$27,'Antal &amp; Längder (vikter)'!$S$10,AG44:AH45),0)),DSUM('Antal &amp; Längder (vikter)'!$O$10:$T$27,'Antal &amp; Längder (vikter)'!$S$10,AH44:AH45))),IF(C48="Totalt:",SUM(E$26:E47),""))</f>
        <v/>
      </c>
      <c r="F48" s="447" t="str">
        <f>IF(AND(B48&lt;&gt;"",protokollAntalutfisk&gt;2),IF(ROUND((ROW(C47)-ROW(C$26))/2,0)=INT((ROW(D47)-ROW(D$26))/2),DCOUNT(Beräkningshjälp!$AC$2:$AI$1082,Beräkningshjälp!AH$2,AC44:AD45)-DCOUNT(Beräkningshjälp!$AC$2:$AI$1082,Beräkningshjälp!AH$2,AC44:AE45)+IF(VLOOKUP(B48,Beräkningshjälp!$M$2:$U$60,4,FALSE)&gt;0,IF(B48=B49,DSUM('Antal &amp; Längder (vikter)'!$O$10:$T$27,'Antal &amp; Längder (vikter)'!$T$10,AB44:AC45),DSUM('Antal &amp; Längder (vikter)'!$O$10:$T$27,'Antal &amp; Längder (vikter)'!$T$10,AC44:AC45)-IF(B48=B47,DSUM('Antal &amp; Längder (vikter)'!$O$10:$T$27,'Antal &amp; Längder (vikter)'!$T$10,AB44:AC45),0)),DSUM('Antal &amp; Längder (vikter)'!$O$10:$T$27,'Antal &amp; Längder (vikter)'!$T$10,AC44:AC45)),DCOUNT(Beräkningshjälp!$AC$2:$AI$1082,Beräkningshjälp!AH$2,AH44:AI45)-DCOUNT(Beräkningshjälp!$AC$2:$AI$1082,Beräkningshjälp!AH$2,AH44:AJ45)+IF(VLOOKUP(B48,Beräkningshjälp!$M$2:$U$60,4,FALSE)&gt;0,DSUM('Antal &amp; Längder (vikter)'!$O$10:$T$27,'Antal &amp; Längder (vikter)'!$T$10,AH44:AH45)-IF(B48=B47,DSUM('Antal &amp; Längder (vikter)'!$O$10:$T$27,'Antal &amp; Längder (vikter)'!$T$10,AG44:AH45),0),DSUM('Antal &amp; Längder (vikter)'!$O$10:$T$27,'Antal &amp; Längder (vikter)'!$T$10,AH44:AH45))),IF(C48="Totalt:",SUM(F$26:F47),""))</f>
        <v/>
      </c>
      <c r="G48" s="447" t="str">
        <f t="shared" si="5"/>
        <v/>
      </c>
      <c r="H48" s="450" t="str">
        <f>IF(AND(C48&lt;&gt;"Totalt:",SUM(G48)&gt;0),IF(Protokoll!$H$13=3,IF(OR(K48="AREA",K48="EST",N48&lt;&gt;""),IF(K48="AREA",G48,G48/((L48+L48*(1-L48))*(1-L48)+L48)),IF(OR(AND(L48&gt;=0.25,D48=E48,E48=F48),AND(L48&gt;=0.25,F48&gt;=D48)),IF(ISNUMBER(VLOOKUP(C48,Beräkningshjälp!$A$3:$E$42,2,FALSE)),G48/(VLOOKUP(C48,Beräkningshjälp!$A$3:$E$42,2,FALSE)/((L48+L48*(1-L48))*(1-L48)+L48)),G48),(6*(2*D48+E48)^2-(3*(2*D48+E48)*(D48+E48+F48))-(D48+E48+F48)^2+(D48+E48+F48)*(((D48+E48+F48)^2)+6*(2*D48+E48)*(D48+E48+F48)-3*(2*D48+E48)^2)^0.5)/(18*(D48-F48)))),IF(Protokoll!$H$13=2,IF(OR(K48="EST",N48&lt;&gt;""),G48/(L48+L48*(1-L48)),IF(E48&gt;=D48,IF(ISNUMBER(VLOOKUP(C48,Beräkningshjälp!$A$3:$E$42,2,FALSE)),G48/(VLOOKUP(C48,Beräkningshjälp!$A$3:$E$42,2,FALSE)/(L48+L48*(1-L48))),G48),IF(K48="AREA",G48,D48^2/(D48-E48)))),IF(OR(K48="EST",N48&lt;&gt;""),IF(N48&lt;&gt;"",G48/N48,IF(ISNUMBER(VLOOKUP(C48,Beräkningshjälp!$A$3:$E$42,2,FALSE)),G48/VLOOKUP(C48,Beräkningshjälp!$A$3:$E$42,2,FALSE),G48)),G48))),IF(C48="Totalt:",SUM(H$26:H47),IF(AND(G48&lt;&gt;"",G48=0),0,"")))</f>
        <v/>
      </c>
      <c r="I48" s="492" t="str">
        <f>IF(Protokoll!$AC$19&lt;&gt;"",IF(COUNT(H48)&gt;0,H48/Protokoll!$AC$19*100,""),"")</f>
        <v/>
      </c>
      <c r="J48" s="464" t="str">
        <f>IF(B48&lt;&gt;"",IF(H48&lt;&gt;"",IF(K48="ZIPP",IF(Protokoll!$H$13=3,(1.96*((H48*(1-(1-L48)^3)*(1-L48)^3)/((1-(1-L48)^3)^2-9*L48^2*(1-L48)^2))^0.5)/('DATA TILL SLU'!$Q$7/100),IF(Protokoll!$H$13=2,(1.96*D48*E48*(D48+E48)^0.5/(D48-E48)^2)/('DATA TILL SLU'!$Q$7/100),"")),"-"),""),"")</f>
        <v/>
      </c>
      <c r="K48" s="448" t="str">
        <f>IF(AND(D48&gt;0,G48&gt;0,B48&lt;&gt;""),IF(Protokoll!$H$13=3,IF(OR(AND(D48&gt;=E48,E48&gt;F48),AND(D48&gt;E48,E48&gt;=F48),AND(D48&lt;=E48,D48&gt;F48,D48&gt;F48),AND(D48&gt;=E48,D48&gt;=F48,E48&lt;&gt;F48)),IF((3*(2*D48+E48)-D48-E48-F48-((D48+E48+F48)^2+6*(2*D48+E48)*(D48+E48+F48)-3*(2*D48+E48)^2)^0.5)/(4*D48+2*E48)&gt;=0.25,IF(N48="","ZIPP","EST"),IF(OR(ISNUMBER(VLOOKUP(C48,Beräkningshjälp!$A$3:$E$42,2,FALSE)),N48&lt;&gt;""),"EST","AREA")),IF(OR(ISNUMBER(VLOOKUP(C48,Beräkningshjälp!$A$3:$E$42,2,FALSE)),N48&lt;&gt;""),"EST","AREA")),IF(Protokoll!$H$13=2,IF((D48-E48)/D48&gt;=0.25,IF(N48="","ZIPP","EST"),IF(OR(ISNUMBER(VLOOKUP(C48,Beräkningshjälp!$A$3:$E$42,2,FALSE)),N48&lt;&gt;""),"EST","AREA")),IF(OR(ISNUMBER(VLOOKUP(C48,Beräkningshjälp!$A$3:$E$42,2,FALSE)),N48&lt;&gt;""),"EST","AREA"))),IF(AND(G48&gt;0,B48&lt;&gt;""),IF(OR(ISNUMBER(VLOOKUP(C48,Beräkningshjälp!$A$3:$E$42,2,FALSE)),N48&lt;&gt;""),"EST","AREA"),""))</f>
        <v/>
      </c>
      <c r="L48" s="449" t="str">
        <f>IF(AND(K48&lt;&gt;"",B48&lt;&gt;""),IF(Protokoll!$H$13=3,IF(N48&lt;&gt;"",N48,IF(K48="ZIPP",(3*(2*D48+E48)-D48-E48-F48-((D48+E48+F48)^2+6*(2*D48+E48)*(D48+E48+F48)-3*(2*D48+E48)^2)^0.5)/(4*D48+2*E48),IF(ISNUMBER(VLOOKUP(C48,Beräkningshjälp!$A$3:$E$42,2,FALSE)),VLOOKUP(C48,Beräkningshjälp!$A$3:$E$42,2,FALSE),IF(B48&lt;&gt;"","-","")))),IF(Protokoll!$H$13=2,IF(N48&lt;&gt;"",N48,IF(K48="ZIPP",(D48-E48)/D48,IF(ISNUMBER(VLOOKUP(C48,Beräkningshjälp!$A$3:$E$42,2,FALSE)),VLOOKUP(C48,Beräkningshjälp!$A$3:$E$42,2,FALSE),IF(B48&lt;&gt;"","-","")))),IF(N48&lt;&gt;"",N48,IF(ISNUMBER(VLOOKUP(C48,Beräkningshjälp!$A$3:$E$42,2,FALSE)),VLOOKUP(C48,Beräkningshjälp!$A$3:$E$42,2,FALSE),IF(B48&lt;&gt;"","-",""))))),"")</f>
        <v/>
      </c>
      <c r="M48" s="449" t="str">
        <f>IF(B48&lt;&gt;"",IF(OR(G48=0,K48="AREA",Protokoll!$H$13="",Protokoll!$H$13=1),"",2*L48-L48^2+IF(Protokoll!$H$13=3,L48*(1-(2*L48-L48^2)),0)),"")</f>
        <v/>
      </c>
      <c r="N48" s="502"/>
      <c r="Q48" s="2" t="str">
        <f>RIGHT(U48,LEN(U48)-2)&amp;" - "&amp;RIGHT(V48,LEN(V48)-2)</f>
        <v>211 - 215</v>
      </c>
      <c r="R48" s="136">
        <f>IF($B$1&lt;&gt;"",DCOUNT(Beräkningshjälp!$AC$2:$AI$1082,Beräkningshjälp!$AH$2,U47:W48),0)</f>
        <v>0</v>
      </c>
      <c r="S48" s="513">
        <f>IF($B$1&lt;&gt;"",IF(AND($S$4&gt;=RIGHT(U48,LEN(U48)-2)*1,AND($S$4&lt;=RIGHT(V48,LEN(V48)-2)*1)),MAX(T$6:T$56),0),0)</f>
        <v>0</v>
      </c>
      <c r="T48" s="515">
        <f t="shared" si="0"/>
        <v>9</v>
      </c>
      <c r="U48" s="445" t="str">
        <f>"&gt;="&amp;RIGHT(Y47,LEN(Y47)-2)*1+1</f>
        <v>&gt;=211</v>
      </c>
      <c r="V48" s="444" t="str">
        <f>"&lt;="&amp;IF($B$3&lt;&gt;"",$B$3,5)+RIGHT(U48,LEN(U48)-2)*1-1</f>
        <v>&lt;=215</v>
      </c>
      <c r="W48" s="551" t="str">
        <f>IF($W$6&lt;&gt;"",$W$6,"")</f>
        <v/>
      </c>
      <c r="X48" s="353" t="s">
        <v>1984</v>
      </c>
      <c r="Y48" s="353" t="s">
        <v>1984</v>
      </c>
      <c r="Z48" s="119" t="s">
        <v>75</v>
      </c>
    </row>
    <row r="49" spans="1:26" ht="13.8" thickBot="1" x14ac:dyDescent="0.3">
      <c r="A49" s="508" t="str">
        <f>IF(VLOOKUP(B49,Beräkningshjälp!$M$2:$U$60,4,FALSE)&gt;0,IF(ROUND((ROW(B48)-ROW(B$26))/2,0)=INT((ROW(B48)-ROW(B$26))/2),IF(DCOUNTA('Antal &amp; Längder (vikter)'!$O$10:$T$27,'Antal &amp; Längder (vikter)'!$Q$10,AC45:AC46)&lt;&gt;DCOUNT('Antal &amp; Längder (vikter)'!$O$10:$T$27,'Antal &amp; Längder (vikter)'!$R$10,AC45:AC46),"Icke längdmätta ej uppdelade 0+/&gt;0+",IF(AND(DCOUNT(Beräkningshjälp!$AB$2:$AI$1082,Beräkningshjälp!$AH$2,AC45:AC46)&gt;0,COUNTIF(B$27:B$50,B49)=1,VLOOKUP(B49,I$11:K$22,3,FALSE)=0),"Ange gräns 0+/&gt;0+ i fält K"&amp;10+B49&amp;" ovan","")),IF(DCOUNTA('Antal &amp; Längder (vikter)'!$O$10:$T$27,'Antal &amp; Längder (vikter)'!$Q$10,AH45:AH46)&lt;&gt;DCOUNT('Antal &amp; Längder (vikter)'!$O$10:$T$27,'Antal &amp; Längder (vikter)'!$R$10,AH45:AH46),"Icke längdmätta ej uppdelade 0+/&gt;0+",IF(AND(DCOUNT(Beräkningshjälp!$AB$2:$AI$1082,Beräkningshjälp!$AH$2,Artuppgifter!AH45:AH46)&gt;0,COUNTIF(B$27:B$50,B49)=1,VLOOKUP(B49,I$11:K$22,3,FALSE)=0),"Ange gräns 0+/&gt;0+ i fält K"&amp;10+B49&amp;" ovan",""))),"")</f>
        <v/>
      </c>
      <c r="B49" s="515" t="str">
        <f>IF(B48&lt;&gt;"",IF(AND(COUNTIF(B$26:B48,B48)=1,VLOOKUP(B48,Artlista_alla,4,FALSE)&gt;0,VLOOKUP(B48,I$11:M$22,3,FALSE)&gt;0,IF((ROW()-ROW($B$26))/2=INT((ROW()-ROW($B$26))/2),IF(ISNUMBER(DCOUNTA(Omätta,B48,AC44:AC45)),IF(DCOUNTA(Omätta,B48,AC44:AC45)&gt;0,AND(DCOUNTA(Omätta,AB44,AC44:AC45)&gt;0,DCOUNTA(Omätta,AB44,AC44:AC45)=DCOUNTA(Omätta,AC44,AC44:AC45)),TRUE),FALSE),IF(ISNUMBER(DCOUNTA(Omätta,B48,AH44:AH45)),IF(DCOUNTA(Omätta,B48,AH44:AH45)&gt;0,AND(DCOUNTA(Omätta,AG44,AH44:AH45)&gt;0,DCOUNTA(Omätta,AG44,AH44:AH45)=DCOUNTA(Omätta,AH44,AH44:AH45)),TRUE),FALSE))),B48,IF(COUNTIF(I$11:I$22,B48+1)&gt;0,B48+1,"")),"")</f>
        <v/>
      </c>
      <c r="C49" s="447" t="str">
        <f t="shared" si="4"/>
        <v/>
      </c>
      <c r="D49" s="447" t="str">
        <f>IF(B49&lt;&gt;"",IF(ROUND((ROW(C48)-ROW(C$26))/2,0)=INT((ROW(D48)-ROW(D$26))/2),DCOUNT(Beräkningshjälp!$AC$2:$AI$1082,Beräkningshjälp!AH$2,AC45:AE46)-DCOUNT(Beräkningshjälp!$AC$2:$AI$1082,Beräkningshjälp!AH$2,AC45:AF46)+IF(VLOOKUP(B49,Beräkningshjälp!$M$2:$U$60,4,FALSE)&gt;0,IF(B49=B50,DSUM('Antal &amp; Längder (vikter)'!$O$10:$T$27,'Antal &amp; Längder (vikter)'!$R$10,AB45:AC46),DSUM('Antal &amp; Längder (vikter)'!$O$10:$T$27,'Antal &amp; Längder (vikter)'!$R$10,AC45:AC46)-IF(B49=B48,DSUM('Antal &amp; Längder (vikter)'!$O$10:$T$27,'Antal &amp; Längder (vikter)'!$R$10,AB45:AC46),0)),DSUM('Antal &amp; Längder (vikter)'!$O$10:$T$27,'Antal &amp; Längder (vikter)'!$R$10,AC45:AC46)),DCOUNT(Beräkningshjälp!$AC$2:$AI$1082,Beräkningshjälp!AH$2,AH45:AJ46)-DCOUNT(Beräkningshjälp!$AC$2:$AI$1082,Beräkningshjälp!AH$2,AH45:AK46)+IF(VLOOKUP(B49,Beräkningshjälp!$M$2:$U$60,4,FALSE)&gt;0,IF(B49=B50,DSUM('Antal &amp; Längder (vikter)'!$O$10:$T$27,'Antal &amp; Längder (vikter)'!$R$10,AG45:AH46),DSUM('Antal &amp; Längder (vikter)'!$O$10:$T$27,'Antal &amp; Längder (vikter)'!$R$10,AH45:AH46)-IF(B49=B48,DSUM('Antal &amp; Längder (vikter)'!$O$10:$T$27,'Antal &amp; Längder (vikter)'!$R$10,AG45:AH46),0)),DSUM('Antal &amp; Längder (vikter)'!$O$10:$T$27,'Antal &amp; Längder (vikter)'!$R$10,AH45:AH46))),IF(C49="Totalt:",SUM(D$26:D48),""))</f>
        <v/>
      </c>
      <c r="E49" s="447" t="str">
        <f>IF(AND(B49&lt;&gt;"",protokollAntalutfisk&gt;1),IF(ROUND((ROW(C48)-ROW(C$26))/2,0)=INT((ROW(D48)-ROW(D$26))/2),DCOUNT(Beräkningshjälp!$AC$2:$AI$1082,Beräkningshjälp!AH$2,AC45:AF46)+IF(VLOOKUP(B49,Beräkningshjälp!$M$2:$U$60,4,FALSE)&gt;0,IF(B49=B50,DSUM('Antal &amp; Längder (vikter)'!$O$10:$T$27,'Antal &amp; Längder (vikter)'!$S$10,AB45:AC46),DSUM('Antal &amp; Längder (vikter)'!$O$10:$T$27,'Antal &amp; Längder (vikter)'!$S$10,AC45:AC46)-IF(B49=B48,DSUM('Antal &amp; Längder (vikter)'!$O$10:$T$27,'Antal &amp; Längder (vikter)'!$S$10,AB45:AC46),0)),DSUM('Antal &amp; Längder (vikter)'!$O$10:$T$27,'Antal &amp; Längder (vikter)'!$S$10,AC45:AC46)),DCOUNT(Beräkningshjälp!$AC$2:$AI$1082,Beräkningshjälp!AH$2,AH45:AK46)+IF(VLOOKUP(B49,Beräkningshjälp!$M$2:$U$60,4,FALSE)&gt;0,IF(B49=B50,DSUM('Antal &amp; Längder (vikter)'!$O$10:$T$27,'Antal &amp; Längder (vikter)'!$S$10,AG45:AH46),DSUM('Antal &amp; Längder (vikter)'!$O$10:$T$27,'Antal &amp; Längder (vikter)'!$S$10,AH45:AH46)-IF(B49=B48,DSUM('Antal &amp; Längder (vikter)'!$O$10:$T$27,'Antal &amp; Längder (vikter)'!$S$10,AG45:AH46),0)),DSUM('Antal &amp; Längder (vikter)'!$O$10:$T$27,'Antal &amp; Längder (vikter)'!$S$10,AH45:AH46))),IF(C49="Totalt:",SUM(E$26:E48),""))</f>
        <v/>
      </c>
      <c r="F49" s="447" t="str">
        <f>IF(AND(B49&lt;&gt;"",protokollAntalutfisk&gt;2),IF(ROUND((ROW(C48)-ROW(C$26))/2,0)=INT((ROW(D48)-ROW(D$26))/2),DCOUNT(Beräkningshjälp!$AC$2:$AI$1082,Beräkningshjälp!AH$2,AC45:AD46)-DCOUNT(Beräkningshjälp!$AC$2:$AI$1082,Beräkningshjälp!AH$2,AC45:AE46)+IF(VLOOKUP(B49,Beräkningshjälp!$M$2:$U$60,4,FALSE)&gt;0,IF(B49=B50,DSUM('Antal &amp; Längder (vikter)'!$O$10:$T$27,'Antal &amp; Längder (vikter)'!$T$10,AB45:AC46),DSUM('Antal &amp; Längder (vikter)'!$O$10:$T$27,'Antal &amp; Längder (vikter)'!$T$10,AC45:AC46)-IF(B49=B48,DSUM('Antal &amp; Längder (vikter)'!$O$10:$T$27,'Antal &amp; Längder (vikter)'!$T$10,AB45:AC46),0)),DSUM('Antal &amp; Längder (vikter)'!$O$10:$T$27,'Antal &amp; Längder (vikter)'!$T$10,AC45:AC46)),DCOUNT(Beräkningshjälp!$AC$2:$AI$1082,Beräkningshjälp!AH$2,AH45:AI46)-DCOUNT(Beräkningshjälp!$AC$2:$AI$1082,Beräkningshjälp!AH$2,AH45:AJ46)+IF(VLOOKUP(B49,Beräkningshjälp!$M$2:$U$60,4,FALSE)&gt;0,DSUM('Antal &amp; Längder (vikter)'!$O$10:$T$27,'Antal &amp; Längder (vikter)'!$T$10,AH45:AH46)-IF(B49=B48,DSUM('Antal &amp; Längder (vikter)'!$O$10:$T$27,'Antal &amp; Längder (vikter)'!$T$10,AG45:AH46),0),DSUM('Antal &amp; Längder (vikter)'!$O$10:$T$27,'Antal &amp; Längder (vikter)'!$T$10,AH45:AH46))),IF(C49="Totalt:",SUM(F$26:F48),""))</f>
        <v/>
      </c>
      <c r="G49" s="447" t="str">
        <f t="shared" si="5"/>
        <v/>
      </c>
      <c r="H49" s="450" t="str">
        <f>IF(AND(C49&lt;&gt;"Totalt:",SUM(G49)&gt;0),IF(Protokoll!$H$13=3,IF(OR(K49="AREA",K49="EST",N49&lt;&gt;""),IF(K49="AREA",G49,G49/((L49+L49*(1-L49))*(1-L49)+L49)),IF(OR(AND(L49&gt;=0.25,D49=E49,E49=F49),AND(L49&gt;=0.25,F49&gt;=D49)),IF(ISNUMBER(VLOOKUP(C49,Beräkningshjälp!$A$3:$E$42,2,FALSE)),G49/(VLOOKUP(C49,Beräkningshjälp!$A$3:$E$42,2,FALSE)/((L49+L49*(1-L49))*(1-L49)+L49)),G49),(6*(2*D49+E49)^2-(3*(2*D49+E49)*(D49+E49+F49))-(D49+E49+F49)^2+(D49+E49+F49)*(((D49+E49+F49)^2)+6*(2*D49+E49)*(D49+E49+F49)-3*(2*D49+E49)^2)^0.5)/(18*(D49-F49)))),IF(Protokoll!$H$13=2,IF(OR(K49="EST",N49&lt;&gt;""),G49/(L49+L49*(1-L49)),IF(E49&gt;=D49,IF(ISNUMBER(VLOOKUP(C49,Beräkningshjälp!$A$3:$E$42,2,FALSE)),G49/(VLOOKUP(C49,Beräkningshjälp!$A$3:$E$42,2,FALSE)/(L49+L49*(1-L49))),G49),IF(K49="AREA",G49,D49^2/(D49-E49)))),IF(OR(K49="EST",N49&lt;&gt;""),IF(N49&lt;&gt;"",G49/N49,IF(ISNUMBER(VLOOKUP(C49,Beräkningshjälp!$A$3:$E$42,2,FALSE)),G49/VLOOKUP(C49,Beräkningshjälp!$A$3:$E$42,2,FALSE),G49)),G49))),IF(C49="Totalt:",SUM(H$26:H48),IF(AND(G49&lt;&gt;"",G49=0),0,"")))</f>
        <v/>
      </c>
      <c r="I49" s="492" t="str">
        <f>IF(Protokoll!$AC$19&lt;&gt;"",IF(COUNT(H49)&gt;0,H49/Protokoll!$AC$19*100,""),"")</f>
        <v/>
      </c>
      <c r="J49" s="464" t="str">
        <f>IF(B49&lt;&gt;"",IF(H49&lt;&gt;"",IF(K49="ZIPP",IF(Protokoll!$H$13=3,(1.96*((H49*(1-(1-L49)^3)*(1-L49)^3)/((1-(1-L49)^3)^2-9*L49^2*(1-L49)^2))^0.5)/('DATA TILL SLU'!$Q$7/100),IF(Protokoll!$H$13=2,(1.96*D49*E49*(D49+E49)^0.5/(D49-E49)^2)/('DATA TILL SLU'!$Q$7/100),"")),"-"),""),"")</f>
        <v/>
      </c>
      <c r="K49" s="448" t="str">
        <f>IF(AND(D49&gt;0,G49&gt;0,B49&lt;&gt;""),IF(Protokoll!$H$13=3,IF(OR(AND(D49&gt;=E49,E49&gt;F49),AND(D49&gt;E49,E49&gt;=F49),AND(D49&lt;=E49,D49&gt;F49,D49&gt;F49),AND(D49&gt;=E49,D49&gt;=F49,E49&lt;&gt;F49)),IF((3*(2*D49+E49)-D49-E49-F49-((D49+E49+F49)^2+6*(2*D49+E49)*(D49+E49+F49)-3*(2*D49+E49)^2)^0.5)/(4*D49+2*E49)&gt;=0.25,IF(N49="","ZIPP","EST"),IF(OR(ISNUMBER(VLOOKUP(C49,Beräkningshjälp!$A$3:$E$42,2,FALSE)),N49&lt;&gt;""),"EST","AREA")),IF(OR(ISNUMBER(VLOOKUP(C49,Beräkningshjälp!$A$3:$E$42,2,FALSE)),N49&lt;&gt;""),"EST","AREA")),IF(Protokoll!$H$13=2,IF((D49-E49)/D49&gt;=0.25,IF(N49="","ZIPP","EST"),IF(OR(ISNUMBER(VLOOKUP(C49,Beräkningshjälp!$A$3:$E$42,2,FALSE)),N49&lt;&gt;""),"EST","AREA")),IF(OR(ISNUMBER(VLOOKUP(C49,Beräkningshjälp!$A$3:$E$42,2,FALSE)),N49&lt;&gt;""),"EST","AREA"))),IF(AND(G49&gt;0,B49&lt;&gt;""),IF(OR(ISNUMBER(VLOOKUP(C49,Beräkningshjälp!$A$3:$E$42,2,FALSE)),N49&lt;&gt;""),"EST","AREA"),""))</f>
        <v/>
      </c>
      <c r="L49" s="449" t="str">
        <f>IF(AND(K49&lt;&gt;"",B49&lt;&gt;""),IF(Protokoll!$H$13=3,IF(N49&lt;&gt;"",N49,IF(K49="ZIPP",(3*(2*D49+E49)-D49-E49-F49-((D49+E49+F49)^2+6*(2*D49+E49)*(D49+E49+F49)-3*(2*D49+E49)^2)^0.5)/(4*D49+2*E49),IF(ISNUMBER(VLOOKUP(C49,Beräkningshjälp!$A$3:$E$42,2,FALSE)),VLOOKUP(C49,Beräkningshjälp!$A$3:$E$42,2,FALSE),IF(B49&lt;&gt;"","-","")))),IF(Protokoll!$H$13=2,IF(N49&lt;&gt;"",N49,IF(K49="ZIPP",(D49-E49)/D49,IF(ISNUMBER(VLOOKUP(C49,Beräkningshjälp!$A$3:$E$42,2,FALSE)),VLOOKUP(C49,Beräkningshjälp!$A$3:$E$42,2,FALSE),IF(B49&lt;&gt;"","-","")))),IF(N49&lt;&gt;"",N49,IF(ISNUMBER(VLOOKUP(C49,Beräkningshjälp!$A$3:$E$42,2,FALSE)),VLOOKUP(C49,Beräkningshjälp!$A$3:$E$42,2,FALSE),IF(B49&lt;&gt;"","-",""))))),"")</f>
        <v/>
      </c>
      <c r="M49" s="449" t="str">
        <f>IF(B49&lt;&gt;"",IF(OR(G49=0,K49="AREA",Protokoll!$H$13="",Protokoll!$H$13=1),"",2*L49-L49^2+IF(Protokoll!$H$13=3,L49*(1-(2*L49-L49^2)),0)),"")</f>
        <v/>
      </c>
      <c r="N49" s="502"/>
      <c r="Q49" s="2" t="str">
        <f>RIGHT(X49,LEN(X49)-2)&amp;" - "&amp;RIGHT(Y49,LEN(Y49)-2)</f>
        <v>216 - 220</v>
      </c>
      <c r="R49" s="136">
        <f>IF($B$1&lt;&gt;"",DCOUNT(Beräkningshjälp!$AC$2:$AI$1082,Beräkningshjälp!$AH$2,X48:Z49),0)</f>
        <v>0</v>
      </c>
      <c r="S49" s="513">
        <f>IF($B$1&lt;&gt;"",IF(AND($S$4&gt;=RIGHT(X49,LEN(X49)-2)*1,AND($S$4&lt;=RIGHT(Y49,LEN(Y49)-2)*1)),MAX(T$6:T$56),0),0)</f>
        <v>0</v>
      </c>
      <c r="T49" s="515">
        <f t="shared" si="0"/>
        <v>9</v>
      </c>
      <c r="U49" s="353" t="s">
        <v>1984</v>
      </c>
      <c r="V49" s="353" t="s">
        <v>1984</v>
      </c>
      <c r="W49" s="119" t="s">
        <v>75</v>
      </c>
      <c r="X49" s="442" t="str">
        <f>"&gt;="&amp;RIGHT(V48,LEN(V48)-2)*1+1</f>
        <v>&gt;=216</v>
      </c>
      <c r="Y49" s="445" t="str">
        <f>"&lt;="&amp;IF($B$3&lt;&gt;"",$B$3,5)+RIGHT(X49,LEN(X49)-2)*1-1</f>
        <v>&lt;=220</v>
      </c>
      <c r="Z49" s="551" t="str">
        <f>IF($W$6&lt;&gt;"",$W$6,"")</f>
        <v/>
      </c>
    </row>
    <row r="50" spans="1:26" ht="13.8" thickBot="1" x14ac:dyDescent="0.3">
      <c r="A50" s="508" t="str">
        <f>IF(VLOOKUP(B50,Beräkningshjälp!$M$2:$U$60,4,FALSE)&gt;0,IF(ROUND((ROW(B49)-ROW(B$26))/2,0)=INT((ROW(B49)-ROW(B$26))/2),IF(DCOUNTA('Antal &amp; Längder (vikter)'!$O$10:$T$27,'Antal &amp; Längder (vikter)'!$Q$10,AC46:AC47)&lt;&gt;DCOUNT('Antal &amp; Längder (vikter)'!$O$10:$T$27,'Antal &amp; Längder (vikter)'!$R$10,AC46:AC47),"Icke längdmätta ej uppdelade 0+/&gt;0+",IF(AND(DCOUNT(Beräkningshjälp!$AB$2:$AI$1082,Beräkningshjälp!$AH$2,AC46:AC47)&gt;0,COUNTIF(B$27:B$50,B50)=1,VLOOKUP(B50,I$11:K$22,3,FALSE)=0),"Ange gräns 0+/&gt;0+ i fält K"&amp;10+B50&amp;" ovan","")),IF(DCOUNTA('Antal &amp; Längder (vikter)'!$O$10:$T$27,'Antal &amp; Längder (vikter)'!$Q$10,AH46:AH47)&lt;&gt;DCOUNT('Antal &amp; Längder (vikter)'!$O$10:$T$27,'Antal &amp; Längder (vikter)'!$R$10,AH46:AH47),"Icke längdmätta ej uppdelade 0+/&gt;0+",IF(AND(DCOUNT(Beräkningshjälp!$AB$2:$AI$1082,Beräkningshjälp!$AH$2,Artuppgifter!AH46:AH47)&gt;0,COUNTIF(B$27:B$50,B50)=1,VLOOKUP(B50,I$11:K$22,3,FALSE)=0),"Ange gräns 0+/&gt;0+ i fält K"&amp;10+B50&amp;" ovan",""))),"")</f>
        <v/>
      </c>
      <c r="B50" s="515" t="str">
        <f>IF(B49&lt;&gt;"",IF(AND(COUNTIF(B$26:B49,B49)=1,VLOOKUP(B49,Artlista_alla,4,FALSE)&gt;0,VLOOKUP(B49,I$11:M$22,3,FALSE)&gt;0,IF((ROW()-ROW($B$26))/2=INT((ROW()-ROW($B$26))/2),IF(ISNUMBER(DCOUNTA(Omätta,B49,AC45:AC46)),IF(DCOUNTA(Omätta,B49,AC45:AC46)&gt;0,AND(DCOUNTA(Omätta,AB45,AC45:AC46)&gt;0,DCOUNTA(Omätta,AB45,AC45:AC46)=DCOUNTA(Omätta,AC45,AC45:AC46)),TRUE),FALSE),IF(ISNUMBER(DCOUNTA(Omätta,B49,AH45:AH46)),IF(DCOUNTA(Omätta,B49,AH45:AH46)&gt;0,AND(DCOUNTA(Omätta,AG45,AH45:AH46)&gt;0,DCOUNTA(Omätta,AG45,AH45:AH46)=DCOUNTA(Omätta,AH45,AH45:AH46)),TRUE),FALSE))),B49,IF(COUNTIF(I$11:I$22,B49+1)&gt;0,B49+1,"")),"")</f>
        <v/>
      </c>
      <c r="C50" s="447" t="str">
        <f t="shared" si="4"/>
        <v/>
      </c>
      <c r="D50" s="447" t="str">
        <f>IF(B50&lt;&gt;"",IF(ROUND((ROW(C49)-ROW(C$26))/2,0)=INT((ROW(D49)-ROW(D$26))/2),DCOUNT(Beräkningshjälp!$AC$2:$AI$1082,Beräkningshjälp!AH$2,AC46:AE47)-DCOUNT(Beräkningshjälp!$AC$2:$AI$1082,Beräkningshjälp!AH$2,AC46:AF47)+IF(VLOOKUP(B50,Beräkningshjälp!$M$2:$U$60,4,FALSE)&gt;0,IF(B50=B51,DSUM('Antal &amp; Längder (vikter)'!$O$10:$T$27,'Antal &amp; Längder (vikter)'!$R$10,AB46:AC47),DSUM('Antal &amp; Längder (vikter)'!$O$10:$T$27,'Antal &amp; Längder (vikter)'!$R$10,AC46:AC47)-IF(B50=B49,DSUM('Antal &amp; Längder (vikter)'!$O$10:$T$27,'Antal &amp; Längder (vikter)'!$R$10,AB46:AC47),0)),DSUM('Antal &amp; Längder (vikter)'!$O$10:$T$27,'Antal &amp; Längder (vikter)'!$R$10,AC46:AC47)),DCOUNT(Beräkningshjälp!$AC$2:$AI$1082,Beräkningshjälp!AH$2,AH46:AJ47)-DCOUNT(Beräkningshjälp!$AC$2:$AI$1082,Beräkningshjälp!AH$2,AH46:AK47)+IF(VLOOKUP(B50,Beräkningshjälp!$M$2:$U$60,4,FALSE)&gt;0,IF(B50=B51,DSUM('Antal &amp; Längder (vikter)'!$O$10:$T$27,'Antal &amp; Längder (vikter)'!$R$10,AG46:AH47),DSUM('Antal &amp; Längder (vikter)'!$O$10:$T$27,'Antal &amp; Längder (vikter)'!$R$10,AH46:AH47)-IF(B50=B49,DSUM('Antal &amp; Längder (vikter)'!$O$10:$T$27,'Antal &amp; Längder (vikter)'!$R$10,AG46:AH47),0)),DSUM('Antal &amp; Längder (vikter)'!$O$10:$T$27,'Antal &amp; Längder (vikter)'!$R$10,AH46:AH47))),IF(C50="Totalt:",SUM(D$26:D49),""))</f>
        <v/>
      </c>
      <c r="E50" s="447" t="str">
        <f>IF(AND(B50&lt;&gt;"",protokollAntalutfisk&gt;1),IF(ROUND((ROW(C49)-ROW(C$26))/2,0)=INT((ROW(D49)-ROW(D$26))/2),DCOUNT(Beräkningshjälp!$AC$2:$AI$1082,Beräkningshjälp!AH$2,AC46:AF47)+IF(VLOOKUP(B50,Beräkningshjälp!$M$2:$U$60,4,FALSE)&gt;0,IF(B50=B51,DSUM('Antal &amp; Längder (vikter)'!$O$10:$T$27,'Antal &amp; Längder (vikter)'!$S$10,AB46:AC47),DSUM('Antal &amp; Längder (vikter)'!$O$10:$T$27,'Antal &amp; Längder (vikter)'!$S$10,AC46:AC47)-IF(B50=B49,DSUM('Antal &amp; Längder (vikter)'!$O$10:$T$27,'Antal &amp; Längder (vikter)'!$S$10,AB46:AC47),0)),DSUM('Antal &amp; Längder (vikter)'!$O$10:$T$27,'Antal &amp; Längder (vikter)'!$S$10,AC46:AC47)),DCOUNT(Beräkningshjälp!$AC$2:$AI$1082,Beräkningshjälp!AH$2,AH46:AK47)+IF(VLOOKUP(B50,Beräkningshjälp!$M$2:$U$60,4,FALSE)&gt;0,IF(B50=B51,DSUM('Antal &amp; Längder (vikter)'!$O$10:$T$27,'Antal &amp; Längder (vikter)'!$S$10,AG46:AH47),DSUM('Antal &amp; Längder (vikter)'!$O$10:$T$27,'Antal &amp; Längder (vikter)'!$S$10,AH46:AH47)-IF(B50=B49,DSUM('Antal &amp; Längder (vikter)'!$O$10:$T$27,'Antal &amp; Längder (vikter)'!$S$10,AG46:AH47),0)),DSUM('Antal &amp; Längder (vikter)'!$O$10:$T$27,'Antal &amp; Längder (vikter)'!$S$10,AH46:AH47))),IF(C50="Totalt:",SUM(E$26:E49),""))</f>
        <v/>
      </c>
      <c r="F50" s="447" t="str">
        <f>IF(AND(B50&lt;&gt;"",protokollAntalutfisk&gt;2),IF(ROUND((ROW(C49)-ROW(C$26))/2,0)=INT((ROW(D49)-ROW(D$26))/2),DCOUNT(Beräkningshjälp!$AC$2:$AI$1082,Beräkningshjälp!AH$2,AC46:AD47)-DCOUNT(Beräkningshjälp!$AC$2:$AI$1082,Beräkningshjälp!AH$2,AC46:AE47)+IF(VLOOKUP(B50,Beräkningshjälp!$M$2:$U$60,4,FALSE)&gt;0,IF(B50=B51,DSUM('Antal &amp; Längder (vikter)'!$O$10:$T$27,'Antal &amp; Längder (vikter)'!$T$10,AB46:AC47),DSUM('Antal &amp; Längder (vikter)'!$O$10:$T$27,'Antal &amp; Längder (vikter)'!$T$10,AC46:AC47)-IF(B50=B49,DSUM('Antal &amp; Längder (vikter)'!$O$10:$T$27,'Antal &amp; Längder (vikter)'!$T$10,AB46:AC47),0)),DSUM('Antal &amp; Längder (vikter)'!$O$10:$T$27,'Antal &amp; Längder (vikter)'!$T$10,AC46:AC47)),DCOUNT(Beräkningshjälp!$AC$2:$AI$1082,Beräkningshjälp!AH$2,AH46:AI47)-DCOUNT(Beräkningshjälp!$AC$2:$AI$1082,Beräkningshjälp!AH$2,AH46:AJ47)+IF(VLOOKUP(B50,Beräkningshjälp!$M$2:$U$60,4,FALSE)&gt;0,DSUM('Antal &amp; Längder (vikter)'!$O$10:$T$27,'Antal &amp; Längder (vikter)'!$T$10,AH46:AH47)-IF(B50=B49,DSUM('Antal &amp; Längder (vikter)'!$O$10:$T$27,'Antal &amp; Längder (vikter)'!$T$10,AG46:AH47),0),DSUM('Antal &amp; Längder (vikter)'!$O$10:$T$27,'Antal &amp; Längder (vikter)'!$T$10,AH46:AH47))),IF(C50="Totalt:",SUM(F$26:F49),""))</f>
        <v/>
      </c>
      <c r="G50" s="447" t="str">
        <f t="shared" si="5"/>
        <v/>
      </c>
      <c r="H50" s="450" t="str">
        <f>IF(AND(C50&lt;&gt;"Totalt:",SUM(G50)&gt;0),IF(Protokoll!$H$13=3,IF(OR(K50="AREA",K50="EST",N50&lt;&gt;""),IF(K50="AREA",G50,G50/((L50+L50*(1-L50))*(1-L50)+L50)),IF(OR(AND(L50&gt;=0.25,D50=E50,E50=F50),AND(L50&gt;=0.25,F50&gt;=D50)),IF(ISNUMBER(VLOOKUP(C50,Beräkningshjälp!$A$3:$E$42,2,FALSE)),G50/(VLOOKUP(C50,Beräkningshjälp!$A$3:$E$42,2,FALSE)/((L50+L50*(1-L50))*(1-L50)+L50)),G50),(6*(2*D50+E50)^2-(3*(2*D50+E50)*(D50+E50+F50))-(D50+E50+F50)^2+(D50+E50+F50)*(((D50+E50+F50)^2)+6*(2*D50+E50)*(D50+E50+F50)-3*(2*D50+E50)^2)^0.5)/(18*(D50-F50)))),IF(Protokoll!$H$13=2,IF(OR(K50="EST",N50&lt;&gt;""),G50/(L50+L50*(1-L50)),IF(E50&gt;=D50,IF(ISNUMBER(VLOOKUP(C50,Beräkningshjälp!$A$3:$E$42,2,FALSE)),G50/(VLOOKUP(C50,Beräkningshjälp!$A$3:$E$42,2,FALSE)/(L50+L50*(1-L50))),G50),IF(K50="AREA",G50,D50^2/(D50-E50)))),IF(OR(K50="EST",N50&lt;&gt;""),IF(N50&lt;&gt;"",G50/N50,IF(ISNUMBER(VLOOKUP(C50,Beräkningshjälp!$A$3:$E$42,2,FALSE)),G50/VLOOKUP(C50,Beräkningshjälp!$A$3:$E$42,2,FALSE),G50)),G50))),IF(C50="Totalt:",SUM(H$26:H49),IF(AND(G50&lt;&gt;"",G50=0),0,"")))</f>
        <v/>
      </c>
      <c r="I50" s="492" t="str">
        <f>IF(Protokoll!$AC$19&lt;&gt;"",IF(COUNT(H50)&gt;0,H50/Protokoll!$AC$19*100,""),"")</f>
        <v/>
      </c>
      <c r="J50" s="464" t="str">
        <f>IF(B50&lt;&gt;"",IF(H50&lt;&gt;"",IF(K50="ZIPP",IF(Protokoll!$H$13=3,(1.96*((H50*(1-(1-L50)^3)*(1-L50)^3)/((1-(1-L50)^3)^2-9*L50^2*(1-L50)^2))^0.5)/('DATA TILL SLU'!$Q$7/100),IF(Protokoll!$H$13=2,(1.96*D50*E50*(D50+E50)^0.5/(D50-E50)^2)/('DATA TILL SLU'!$Q$7/100),"")),"-"),""),"")</f>
        <v/>
      </c>
      <c r="K50" s="448" t="str">
        <f>IF(AND(D50&gt;0,G50&gt;0,B50&lt;&gt;""),IF(Protokoll!$H$13=3,IF(OR(AND(D50&gt;=E50,E50&gt;F50),AND(D50&gt;E50,E50&gt;=F50),AND(D50&lt;=E50,D50&gt;F50,D50&gt;F50),AND(D50&gt;=E50,D50&gt;=F50,E50&lt;&gt;F50)),IF((3*(2*D50+E50)-D50-E50-F50-((D50+E50+F50)^2+6*(2*D50+E50)*(D50+E50+F50)-3*(2*D50+E50)^2)^0.5)/(4*D50+2*E50)&gt;=0.25,IF(N50="","ZIPP","EST"),IF(OR(ISNUMBER(VLOOKUP(C50,Beräkningshjälp!$A$3:$E$42,2,FALSE)),N50&lt;&gt;""),"EST","AREA")),IF(OR(ISNUMBER(VLOOKUP(C50,Beräkningshjälp!$A$3:$E$42,2,FALSE)),N50&lt;&gt;""),"EST","AREA")),IF(Protokoll!$H$13=2,IF((D50-E50)/D50&gt;=0.25,IF(N50="","ZIPP","EST"),IF(OR(ISNUMBER(VLOOKUP(C50,Beräkningshjälp!$A$3:$E$42,2,FALSE)),N50&lt;&gt;""),"EST","AREA")),IF(OR(ISNUMBER(VLOOKUP(C50,Beräkningshjälp!$A$3:$E$42,2,FALSE)),N50&lt;&gt;""),"EST","AREA"))),IF(AND(G50&gt;0,B50&lt;&gt;""),IF(OR(ISNUMBER(VLOOKUP(C50,Beräkningshjälp!$A$3:$E$42,2,FALSE)),N50&lt;&gt;""),"EST","AREA"),""))</f>
        <v/>
      </c>
      <c r="L50" s="449" t="str">
        <f>IF(AND(K50&lt;&gt;"",B50&lt;&gt;""),IF(Protokoll!$H$13=3,IF(N50&lt;&gt;"",N50,IF(K50="ZIPP",(3*(2*D50+E50)-D50-E50-F50-((D50+E50+F50)^2+6*(2*D50+E50)*(D50+E50+F50)-3*(2*D50+E50)^2)^0.5)/(4*D50+2*E50),IF(ISNUMBER(VLOOKUP(C50,Beräkningshjälp!$A$3:$E$42,2,FALSE)),VLOOKUP(C50,Beräkningshjälp!$A$3:$E$42,2,FALSE),IF(B50&lt;&gt;"","-","")))),IF(Protokoll!$H$13=2,IF(N50&lt;&gt;"",N50,IF(K50="ZIPP",(D50-E50)/D50,IF(ISNUMBER(VLOOKUP(C50,Beräkningshjälp!$A$3:$E$42,2,FALSE)),VLOOKUP(C50,Beräkningshjälp!$A$3:$E$42,2,FALSE),IF(B50&lt;&gt;"","-","")))),IF(N50&lt;&gt;"",N50,IF(ISNUMBER(VLOOKUP(C50,Beräkningshjälp!$A$3:$E$42,2,FALSE)),VLOOKUP(C50,Beräkningshjälp!$A$3:$E$42,2,FALSE),IF(B50&lt;&gt;"","-",""))))),"")</f>
        <v/>
      </c>
      <c r="M50" s="449" t="str">
        <f>IF(B50&lt;&gt;"",IF(OR(G50=0,K50="AREA",Protokoll!$H$13="",Protokoll!$H$13=1),"",2*L50-L50^2+IF(Protokoll!$H$13=3,L50*(1-(2*L50-L50^2)),0)),"")</f>
        <v/>
      </c>
      <c r="N50" s="502"/>
      <c r="Q50" s="2" t="str">
        <f>RIGHT(U50,LEN(U50)-2)&amp;" - "&amp;RIGHT(V50,LEN(V50)-2)</f>
        <v>221 - 225</v>
      </c>
      <c r="R50" s="136">
        <f>IF($B$1&lt;&gt;"",DCOUNT(Beräkningshjälp!$AC$2:$AI$1082,Beräkningshjälp!$AH$2,U49:W50),0)</f>
        <v>0</v>
      </c>
      <c r="S50" s="513">
        <f>IF($B$1&lt;&gt;"",IF(AND($S$4&gt;=RIGHT(U50,LEN(U50)-2)*1,AND($S$4&lt;=RIGHT(V50,LEN(V50)-2)*1)),MAX(T$6:T$56),0),0)</f>
        <v>0</v>
      </c>
      <c r="T50" s="515">
        <f t="shared" si="0"/>
        <v>9</v>
      </c>
      <c r="U50" s="445" t="str">
        <f>"&gt;="&amp;RIGHT(Y49,LEN(Y49)-2)*1+1</f>
        <v>&gt;=221</v>
      </c>
      <c r="V50" s="444" t="str">
        <f>"&lt;="&amp;IF($B$3&lt;&gt;"",$B$3,5)+RIGHT(U50,LEN(U50)-2)*1-1</f>
        <v>&lt;=225</v>
      </c>
      <c r="W50" s="551" t="str">
        <f>IF($W$6&lt;&gt;"",$W$6,"")</f>
        <v/>
      </c>
      <c r="X50" s="353" t="s">
        <v>1984</v>
      </c>
      <c r="Y50" s="353" t="s">
        <v>1984</v>
      </c>
      <c r="Z50" s="119" t="s">
        <v>75</v>
      </c>
    </row>
    <row r="51" spans="1:26" x14ac:dyDescent="0.25">
      <c r="A51" s="2"/>
      <c r="B51" s="2"/>
      <c r="C51" s="2"/>
      <c r="D51" s="2"/>
      <c r="E51" s="2"/>
      <c r="F51" s="2"/>
      <c r="G51" s="2"/>
      <c r="H51" s="2"/>
      <c r="I51" s="2"/>
      <c r="J51" s="2"/>
      <c r="K51" s="2"/>
      <c r="L51" s="2"/>
      <c r="M51" s="2"/>
      <c r="N51" s="2"/>
      <c r="Q51" s="2" t="str">
        <f>RIGHT(X51,LEN(X51)-2)&amp;" - "&amp;RIGHT(Y51,LEN(Y51)-2)</f>
        <v>226 - 230</v>
      </c>
      <c r="R51" s="136">
        <f>IF($B$1&lt;&gt;"",DCOUNT(Beräkningshjälp!$AC$2:$AI$1082,Beräkningshjälp!$AH$2,X50:Z51),0)</f>
        <v>0</v>
      </c>
      <c r="S51" s="513">
        <f>IF($B$1&lt;&gt;"",IF(AND($S$4&gt;=RIGHT(X51,LEN(X51)-2)*1,AND($S$4&lt;=RIGHT(Y51,LEN(Y51)-2)*1)),MAX(T$6:T$56),0),0)</f>
        <v>0</v>
      </c>
      <c r="T51" s="515">
        <f t="shared" si="0"/>
        <v>9</v>
      </c>
      <c r="U51" s="353" t="s">
        <v>1984</v>
      </c>
      <c r="V51" s="353" t="s">
        <v>1984</v>
      </c>
      <c r="W51" s="119" t="s">
        <v>75</v>
      </c>
      <c r="X51" s="442" t="str">
        <f>"&gt;="&amp;RIGHT(V50,LEN(V50)-2)*1+1</f>
        <v>&gt;=226</v>
      </c>
      <c r="Y51" s="445" t="str">
        <f>"&lt;="&amp;IF($B$3&lt;&gt;"",$B$3,5)+RIGHT(X51,LEN(X51)-2)*1-1</f>
        <v>&lt;=230</v>
      </c>
      <c r="Z51" s="551" t="str">
        <f>IF($W$6&lt;&gt;"",$W$6,"")</f>
        <v/>
      </c>
    </row>
    <row r="52" spans="1:26" x14ac:dyDescent="0.25">
      <c r="A52" s="2"/>
      <c r="B52" s="2"/>
      <c r="Q52" s="2" t="str">
        <f>RIGHT(U52,LEN(U52)-2)&amp;" - "&amp;RIGHT(V52,LEN(V52)-2)</f>
        <v>231 - 235</v>
      </c>
      <c r="R52" s="136">
        <f>IF($B$1&lt;&gt;"",DCOUNT(Beräkningshjälp!$AC$2:$AI$1082,Beräkningshjälp!$AH$2,U51:W52),0)</f>
        <v>0</v>
      </c>
      <c r="S52" s="513">
        <f>IF($B$1&lt;&gt;"",IF(AND($S$4&gt;=RIGHT(U52,LEN(U52)-2)*1,AND($S$4&lt;=RIGHT(V52,LEN(V52)-2)*1)),MAX(T$6:T$56),0),0)</f>
        <v>0</v>
      </c>
      <c r="T52" s="515">
        <f t="shared" si="0"/>
        <v>9</v>
      </c>
      <c r="U52" s="445" t="str">
        <f>"&gt;="&amp;RIGHT(Y51,LEN(Y51)-2)*1+1</f>
        <v>&gt;=231</v>
      </c>
      <c r="V52" s="444" t="str">
        <f>"&lt;="&amp;IF($B$3&lt;&gt;"",$B$3,5)+RIGHT(U52,LEN(U52)-2)*1-1</f>
        <v>&lt;=235</v>
      </c>
      <c r="W52" s="551" t="str">
        <f>IF($W$6&lt;&gt;"",$W$6,"")</f>
        <v/>
      </c>
      <c r="X52" s="353" t="s">
        <v>1984</v>
      </c>
      <c r="Y52" s="353" t="s">
        <v>1984</v>
      </c>
      <c r="Z52" s="119" t="s">
        <v>75</v>
      </c>
    </row>
    <row r="53" spans="1:26" x14ac:dyDescent="0.25">
      <c r="A53" s="2"/>
      <c r="B53" s="2"/>
      <c r="G53" s="1"/>
      <c r="H53" s="201"/>
      <c r="I53" s="201"/>
      <c r="Q53" s="2" t="str">
        <f>RIGHT(X53,LEN(X53)-2)&amp;" - "&amp;RIGHT(Y53,LEN(Y53)-2)</f>
        <v>236 - 240</v>
      </c>
      <c r="R53" s="136">
        <f>IF($B$1&lt;&gt;"",DCOUNT(Beräkningshjälp!$AC$2:$AI$1082,Beräkningshjälp!$AH$2,X52:Z53),0)</f>
        <v>0</v>
      </c>
      <c r="S53" s="513">
        <f>IF($B$1&lt;&gt;"",IF(AND($S$4&gt;=RIGHT(X53,LEN(X53)-2)*1,AND($S$4&lt;=RIGHT(Y53,LEN(Y53)-2)*1)),MAX(T$6:T$56),0),0)</f>
        <v>0</v>
      </c>
      <c r="T53" s="515">
        <f t="shared" si="0"/>
        <v>9</v>
      </c>
      <c r="U53" s="353" t="s">
        <v>1984</v>
      </c>
      <c r="V53" s="353" t="s">
        <v>1984</v>
      </c>
      <c r="W53" s="119" t="s">
        <v>75</v>
      </c>
      <c r="X53" s="442" t="str">
        <f>"&gt;="&amp;RIGHT(V52,LEN(V52)-2)*1+1</f>
        <v>&gt;=236</v>
      </c>
      <c r="Y53" s="445" t="str">
        <f>"&lt;="&amp;IF($B$3&lt;&gt;"",$B$3,5)+RIGHT(X53,LEN(X53)-2)*1-1</f>
        <v>&lt;=240</v>
      </c>
      <c r="Z53" s="551" t="str">
        <f>IF($W$6&lt;&gt;"",$W$6,"")</f>
        <v/>
      </c>
    </row>
    <row r="54" spans="1:26" x14ac:dyDescent="0.25">
      <c r="A54" s="2"/>
      <c r="B54" s="2"/>
      <c r="G54" s="1"/>
      <c r="H54" s="201"/>
      <c r="I54" s="201"/>
      <c r="Q54" s="2" t="str">
        <f>RIGHT(U54,LEN(U54)-2)&amp;" - "&amp;RIGHT(V54,LEN(V54)-2)</f>
        <v>241 - 245</v>
      </c>
      <c r="R54" s="136">
        <f>IF($B$1&lt;&gt;"",DCOUNT(Beräkningshjälp!$AC$2:$AI$1082,Beräkningshjälp!$AH$2,U53:W54),0)</f>
        <v>0</v>
      </c>
      <c r="S54" s="513">
        <f>IF($B$1&lt;&gt;"",IF(AND($S$4&gt;=RIGHT(U54,LEN(U54)-2)*1,AND($S$4&lt;=RIGHT(V54,LEN(V54)-2)*1)),MAX(T$6:T$56),0),0)</f>
        <v>0</v>
      </c>
      <c r="T54" s="515">
        <f t="shared" si="0"/>
        <v>9</v>
      </c>
      <c r="U54" s="445" t="str">
        <f>"&gt;="&amp;RIGHT(Y53,LEN(Y53)-2)*1+1</f>
        <v>&gt;=241</v>
      </c>
      <c r="V54" s="444" t="str">
        <f>"&lt;="&amp;IF($B$3&lt;&gt;"",$B$3,5)+RIGHT(U54,LEN(U54)-2)*1-1</f>
        <v>&lt;=245</v>
      </c>
      <c r="W54" s="551" t="str">
        <f>IF($W$6&lt;&gt;"",$W$6,"")</f>
        <v/>
      </c>
      <c r="X54" s="353" t="s">
        <v>1984</v>
      </c>
      <c r="Y54" s="353" t="s">
        <v>1984</v>
      </c>
      <c r="Z54" s="119" t="s">
        <v>75</v>
      </c>
    </row>
    <row r="55" spans="1:26" x14ac:dyDescent="0.25">
      <c r="G55" s="1"/>
      <c r="H55" s="201"/>
      <c r="I55" s="201"/>
      <c r="Q55" s="2" t="str">
        <f>RIGHT(X55,LEN(X55)-2)&amp;" - "&amp;RIGHT(Y55,LEN(Y55)-2)</f>
        <v>246 - 250</v>
      </c>
      <c r="R55" s="136">
        <f>IF($B$1&lt;&gt;"",DCOUNT(Beräkningshjälp!$AC$2:$AI$1082,Beräkningshjälp!$AH$2,X54:Z55),0)</f>
        <v>0</v>
      </c>
      <c r="S55" s="513">
        <f>IF($B$1&lt;&gt;"",IF(AND($S$4&gt;=RIGHT(X55,LEN(X55)-2)*1,AND($S$4&lt;=RIGHT(Y55,LEN(Y55)-2)*1)),MAX(T$6:T$56),0),0)</f>
        <v>0</v>
      </c>
      <c r="T55" s="515">
        <f t="shared" si="0"/>
        <v>9</v>
      </c>
      <c r="U55" s="353" t="s">
        <v>1984</v>
      </c>
      <c r="V55" s="353" t="s">
        <v>1984</v>
      </c>
      <c r="W55" s="119" t="s">
        <v>75</v>
      </c>
      <c r="X55" s="442" t="str">
        <f>"&gt;="&amp;RIGHT(V54,LEN(V54)-2)*1+1</f>
        <v>&gt;=246</v>
      </c>
      <c r="Y55" s="445" t="str">
        <f>"&lt;="&amp;IF($B$3&lt;&gt;"",$B$3,5)+RIGHT(X55,LEN(X55)-2)*1-1</f>
        <v>&lt;=250</v>
      </c>
      <c r="Z55" s="551" t="str">
        <f>IF($W$6&lt;&gt;"",$W$6,"")</f>
        <v/>
      </c>
    </row>
    <row r="56" spans="1:26" x14ac:dyDescent="0.25">
      <c r="H56" s="142"/>
      <c r="I56" s="2"/>
      <c r="Q56" s="2" t="str">
        <f>"&gt;"&amp;RIGHT(Y55,LEN(Y55)-2)</f>
        <v>&gt;250</v>
      </c>
      <c r="R56" s="136">
        <f>IF($B$1&lt;&gt;"",DCOUNT(Beräkningshjälp!$AC$2:$AI$1082,Beräkningshjälp!$AH$2,U55:W56),0)</f>
        <v>0</v>
      </c>
      <c r="S56" s="513">
        <f>IF($B$1&lt;&gt;"",IF(AND($S$4&gt;=RIGHT(U56,LEN(U56)-2)*1,AND($S$4&lt;=RIGHT(V56,LEN(V56)-2)*1)),MAX(T$6:T$56),0),0)</f>
        <v>0</v>
      </c>
      <c r="T56" s="515">
        <f t="shared" si="0"/>
        <v>9</v>
      </c>
      <c r="U56" s="438" t="str">
        <f>"&gt;"&amp;RIGHT(Y55,LEN(Y55)-2)</f>
        <v>&gt;250</v>
      </c>
      <c r="V56" s="438" t="str">
        <f>"&gt;"&amp;RIGHT(Y55,LEN(Y55)-2)</f>
        <v>&gt;250</v>
      </c>
      <c r="W56" s="551" t="str">
        <f>IF($W$6&lt;&gt;"",$W$6,"")</f>
        <v/>
      </c>
      <c r="X56" s="353" t="s">
        <v>1984</v>
      </c>
      <c r="Y56" s="353" t="s">
        <v>1984</v>
      </c>
      <c r="Z56" s="119" t="s">
        <v>75</v>
      </c>
    </row>
  </sheetData>
  <sheetProtection sheet="1" objects="1" scenarios="1"/>
  <mergeCells count="1">
    <mergeCell ref="J9:J10"/>
  </mergeCells>
  <conditionalFormatting sqref="C27:H50 J27:M50">
    <cfRule type="expression" dxfId="463" priority="13155">
      <formula>OR($A27&lt;&gt;"",AND($B27&lt;&gt;"",$B27&lt;&gt;$B26,$B27&lt;&gt;$B28,VLOOKUP($B27,Artlista_alla,4,FALSE)&gt;0))</formula>
    </cfRule>
    <cfRule type="expression" dxfId="462" priority="16284" stopIfTrue="1">
      <formula>AND($C27&lt;&gt;"",$B26=$B$26)</formula>
    </cfRule>
    <cfRule type="expression" dxfId="461" priority="16285" stopIfTrue="1">
      <formula>$C27="Totalt:"</formula>
    </cfRule>
    <cfRule type="expression" dxfId="460" priority="16286" stopIfTrue="1">
      <formula>AND($C27&lt;&gt;"",$B26&lt;&gt;$B$26,$C28&lt;&gt;"Totalt:")</formula>
    </cfRule>
    <cfRule type="expression" dxfId="459" priority="16287" stopIfTrue="1">
      <formula>AND($C27&lt;&gt;"",$B26&lt;&gt;$B$26,$C28="Totalt:")</formula>
    </cfRule>
    <cfRule type="expression" dxfId="458" priority="16288" stopIfTrue="1">
      <formula>$C27=""</formula>
    </cfRule>
  </conditionalFormatting>
  <conditionalFormatting sqref="J11 J17:J22">
    <cfRule type="expression" dxfId="457" priority="15249" stopIfTrue="1">
      <formula>AND($J11&lt;&gt;"",$K11="",VLOOKUP(I11,Artlista_alla,4,FALSE)&gt;0,COUNTIF(ARTNRlängder,I11)&gt;0)</formula>
    </cfRule>
    <cfRule type="expression" dxfId="456" priority="15250" stopIfTrue="1">
      <formula>$J11&lt;&gt;""</formula>
    </cfRule>
  </conditionalFormatting>
  <conditionalFormatting sqref="M11 L17:N22">
    <cfRule type="expression" dxfId="455" priority="15199" stopIfTrue="1">
      <formula>$J11&lt;&gt;""</formula>
    </cfRule>
  </conditionalFormatting>
  <conditionalFormatting sqref="L13">
    <cfRule type="expression" dxfId="454" priority="15196" stopIfTrue="1">
      <formula>$J13&lt;&gt;""</formula>
    </cfRule>
  </conditionalFormatting>
  <conditionalFormatting sqref="M12">
    <cfRule type="expression" dxfId="453" priority="15186" stopIfTrue="1">
      <formula>$J12&lt;&gt;""</formula>
    </cfRule>
  </conditionalFormatting>
  <conditionalFormatting sqref="M13">
    <cfRule type="expression" dxfId="452" priority="15185" stopIfTrue="1">
      <formula>$J13&lt;&gt;""</formula>
    </cfRule>
  </conditionalFormatting>
  <conditionalFormatting sqref="M14">
    <cfRule type="expression" dxfId="451" priority="15184" stopIfTrue="1">
      <formula>$J14&lt;&gt;""</formula>
    </cfRule>
  </conditionalFormatting>
  <conditionalFormatting sqref="M15">
    <cfRule type="expression" dxfId="450" priority="15183" stopIfTrue="1">
      <formula>$J15&lt;&gt;""</formula>
    </cfRule>
  </conditionalFormatting>
  <conditionalFormatting sqref="M16">
    <cfRule type="expression" dxfId="449" priority="15182" stopIfTrue="1">
      <formula>$J16&lt;&gt;""</formula>
    </cfRule>
  </conditionalFormatting>
  <conditionalFormatting sqref="N13">
    <cfRule type="expression" dxfId="448" priority="15174" stopIfTrue="1">
      <formula>$J13&lt;&gt;""</formula>
    </cfRule>
  </conditionalFormatting>
  <conditionalFormatting sqref="N27">
    <cfRule type="expression" dxfId="447" priority="13151">
      <formula>AND($B27&lt;&gt;"",$B27&lt;&gt;$B26,$B27&lt;&gt;$B28,VLOOKUP($B27,Artlista_alla,4,FALSE)&gt;0)</formula>
    </cfRule>
    <cfRule type="expression" dxfId="446" priority="13296">
      <formula>$N27&lt;&gt;""</formula>
    </cfRule>
    <cfRule type="expression" dxfId="445" priority="13297" stopIfTrue="1">
      <formula>$C28="Totalt:"</formula>
    </cfRule>
    <cfRule type="expression" dxfId="444" priority="13298" stopIfTrue="1">
      <formula>$C27="Totalt:"</formula>
    </cfRule>
    <cfRule type="expression" dxfId="443" priority="13299" stopIfTrue="1">
      <formula>$C27=""</formula>
    </cfRule>
    <cfRule type="expression" dxfId="442" priority="13300" stopIfTrue="1">
      <formula>$C27&lt;&gt;""</formula>
    </cfRule>
  </conditionalFormatting>
  <conditionalFormatting sqref="I27">
    <cfRule type="expression" dxfId="441" priority="10459" stopIfTrue="1">
      <formula>AND($C27&lt;&gt;"",$B26=$B$26)</formula>
    </cfRule>
    <cfRule type="expression" dxfId="440" priority="10460" stopIfTrue="1">
      <formula>$C27="Totalt:"</formula>
    </cfRule>
    <cfRule type="expression" dxfId="439" priority="10461" stopIfTrue="1">
      <formula>AND($C27&lt;&gt;"",$B26&lt;&gt;$B$26,$C28&lt;&gt;"Totalt:")</formula>
    </cfRule>
    <cfRule type="expression" dxfId="438" priority="10462" stopIfTrue="1">
      <formula>AND($C27&lt;&gt;"",$B26&lt;&gt;$B$26,$C28="Totalt:")</formula>
    </cfRule>
    <cfRule type="expression" dxfId="437" priority="10463" stopIfTrue="1">
      <formula>$C27=""</formula>
    </cfRule>
  </conditionalFormatting>
  <conditionalFormatting sqref="I27">
    <cfRule type="expression" dxfId="436" priority="10458">
      <formula>OR($A27&lt;&gt;"",AND($B27&lt;&gt;"",$B27&lt;&gt;$B26,$B27&lt;&gt;$B28,VLOOKUP($B27,Artlista_alla,4,FALSE)&gt;0))</formula>
    </cfRule>
  </conditionalFormatting>
  <conditionalFormatting sqref="K11:K22">
    <cfRule type="expression" dxfId="435" priority="17229" stopIfTrue="1">
      <formula>AND($J11&lt;&gt;"",$K11&lt;&gt;"")</formula>
    </cfRule>
    <cfRule type="expression" dxfId="434" priority="17230" stopIfTrue="1">
      <formula>AND(VLOOKUP($I11,Artlista_alla,4,FALSE)&gt;0,$J11=$B$1,$K11="")</formula>
    </cfRule>
    <cfRule type="expression" dxfId="433" priority="17231" stopIfTrue="1">
      <formula>$J11&lt;&gt;""</formula>
    </cfRule>
  </conditionalFormatting>
  <conditionalFormatting sqref="L12">
    <cfRule type="expression" dxfId="432" priority="7523" stopIfTrue="1">
      <formula>$J12&lt;&gt;""</formula>
    </cfRule>
  </conditionalFormatting>
  <conditionalFormatting sqref="L11">
    <cfRule type="expression" dxfId="431" priority="7522" stopIfTrue="1">
      <formula>$J11&lt;&gt;""</formula>
    </cfRule>
  </conditionalFormatting>
  <conditionalFormatting sqref="L14">
    <cfRule type="expression" dxfId="430" priority="7521" stopIfTrue="1">
      <formula>$J14&lt;&gt;""</formula>
    </cfRule>
  </conditionalFormatting>
  <conditionalFormatting sqref="L15">
    <cfRule type="expression" dxfId="429" priority="7520" stopIfTrue="1">
      <formula>$J15&lt;&gt;""</formula>
    </cfRule>
  </conditionalFormatting>
  <conditionalFormatting sqref="L16">
    <cfRule type="expression" dxfId="428" priority="7519" stopIfTrue="1">
      <formula>$J16&lt;&gt;""</formula>
    </cfRule>
  </conditionalFormatting>
  <conditionalFormatting sqref="N11">
    <cfRule type="expression" dxfId="427" priority="7512" stopIfTrue="1">
      <formula>$J11&lt;&gt;""</formula>
    </cfRule>
  </conditionalFormatting>
  <conditionalFormatting sqref="N12">
    <cfRule type="expression" dxfId="426" priority="7511" stopIfTrue="1">
      <formula>$J12&lt;&gt;""</formula>
    </cfRule>
  </conditionalFormatting>
  <conditionalFormatting sqref="N14">
    <cfRule type="expression" dxfId="425" priority="7510" stopIfTrue="1">
      <formula>$J14&lt;&gt;""</formula>
    </cfRule>
  </conditionalFormatting>
  <conditionalFormatting sqref="N15">
    <cfRule type="expression" dxfId="424" priority="7509" stopIfTrue="1">
      <formula>$J15&lt;&gt;""</formula>
    </cfRule>
  </conditionalFormatting>
  <conditionalFormatting sqref="N16">
    <cfRule type="expression" dxfId="423" priority="7508" stopIfTrue="1">
      <formula>$J16&lt;&gt;""</formula>
    </cfRule>
  </conditionalFormatting>
  <conditionalFormatting sqref="D27">
    <cfRule type="expression" dxfId="422" priority="6935" stopIfTrue="1">
      <formula>AND($C27&lt;&gt;"",$B26=$B$26)</formula>
    </cfRule>
    <cfRule type="expression" dxfId="421" priority="6936" stopIfTrue="1">
      <formula>$C27="Totalt:"</formula>
    </cfRule>
    <cfRule type="expression" dxfId="420" priority="6937" stopIfTrue="1">
      <formula>AND($C27&lt;&gt;"",$B26&lt;&gt;$B$26,$C28&lt;&gt;"Totalt:")</formula>
    </cfRule>
    <cfRule type="expression" dxfId="419" priority="6938" stopIfTrue="1">
      <formula>AND($C27&lt;&gt;"",$B26&lt;&gt;$B$26,$C28="Totalt:")</formula>
    </cfRule>
    <cfRule type="expression" dxfId="418" priority="6939" stopIfTrue="1">
      <formula>$C27=""</formula>
    </cfRule>
  </conditionalFormatting>
  <conditionalFormatting sqref="J12">
    <cfRule type="expression" dxfId="417" priority="6250" stopIfTrue="1">
      <formula>AND($J12&lt;&gt;"",$K12="",VLOOKUP(I12,Artlista_alla,4,FALSE)&gt;0,COUNTIF(ARTNRlängder,I12)&gt;0)</formula>
    </cfRule>
    <cfRule type="expression" dxfId="416" priority="6251" stopIfTrue="1">
      <formula>$J12&lt;&gt;""</formula>
    </cfRule>
  </conditionalFormatting>
  <conditionalFormatting sqref="J13">
    <cfRule type="expression" dxfId="415" priority="6248" stopIfTrue="1">
      <formula>AND($J13&lt;&gt;"",$K13="",VLOOKUP(I13,Artlista_alla,4,FALSE)&gt;0,COUNTIF(ARTNRlängder,I13)&gt;0)</formula>
    </cfRule>
    <cfRule type="expression" dxfId="414" priority="6249" stopIfTrue="1">
      <formula>$J13&lt;&gt;""</formula>
    </cfRule>
  </conditionalFormatting>
  <conditionalFormatting sqref="J14">
    <cfRule type="expression" dxfId="413" priority="6246" stopIfTrue="1">
      <formula>AND($J14&lt;&gt;"",$K14="",VLOOKUP(I14,Artlista_alla,4,FALSE)&gt;0,COUNTIF(ARTNRlängder,I14)&gt;0)</formula>
    </cfRule>
    <cfRule type="expression" dxfId="412" priority="6247" stopIfTrue="1">
      <formula>$J14&lt;&gt;""</formula>
    </cfRule>
  </conditionalFormatting>
  <conditionalFormatting sqref="J15">
    <cfRule type="expression" dxfId="411" priority="6244" stopIfTrue="1">
      <formula>AND($J15&lt;&gt;"",$K15="",VLOOKUP(I15,Artlista_alla,4,FALSE)&gt;0,COUNTIF(ARTNRlängder,I15)&gt;0)</formula>
    </cfRule>
    <cfRule type="expression" dxfId="410" priority="6245" stopIfTrue="1">
      <formula>$J15&lt;&gt;""</formula>
    </cfRule>
  </conditionalFormatting>
  <conditionalFormatting sqref="J16">
    <cfRule type="expression" dxfId="409" priority="6242" stopIfTrue="1">
      <formula>AND($J16&lt;&gt;"",$K16="",VLOOKUP(I16,Artlista_alla,4,FALSE)&gt;0,COUNTIF(ARTNRlängder,I16)&gt;0)</formula>
    </cfRule>
    <cfRule type="expression" dxfId="408" priority="6243" stopIfTrue="1">
      <formula>$J16&lt;&gt;""</formula>
    </cfRule>
  </conditionalFormatting>
  <conditionalFormatting sqref="N28">
    <cfRule type="expression" dxfId="407" priority="1748">
      <formula>AND($B28&lt;&gt;"",$B28&lt;&gt;$B27,$B28&lt;&gt;$B29,VLOOKUP($B28,Artlista_alla,4,FALSE)&gt;0)</formula>
    </cfRule>
    <cfRule type="expression" dxfId="406" priority="1752">
      <formula>$N28&lt;&gt;""</formula>
    </cfRule>
    <cfRule type="expression" dxfId="405" priority="1753" stopIfTrue="1">
      <formula>$C29="Totalt:"</formula>
    </cfRule>
    <cfRule type="expression" dxfId="404" priority="1754" stopIfTrue="1">
      <formula>$C28="Totalt:"</formula>
    </cfRule>
    <cfRule type="expression" dxfId="403" priority="1755" stopIfTrue="1">
      <formula>$C28=""</formula>
    </cfRule>
    <cfRule type="expression" dxfId="402" priority="1756" stopIfTrue="1">
      <formula>$C28&lt;&gt;""</formula>
    </cfRule>
  </conditionalFormatting>
  <conditionalFormatting sqref="I28">
    <cfRule type="expression" dxfId="401" priority="1737" stopIfTrue="1">
      <formula>AND($C28&lt;&gt;"",$B27=$B$26)</formula>
    </cfRule>
    <cfRule type="expression" dxfId="400" priority="1738" stopIfTrue="1">
      <formula>$C28="Totalt:"</formula>
    </cfRule>
    <cfRule type="expression" dxfId="399" priority="1739" stopIfTrue="1">
      <formula>AND($C28&lt;&gt;"",$B27&lt;&gt;$B$26,$C29&lt;&gt;"Totalt:")</formula>
    </cfRule>
    <cfRule type="expression" dxfId="398" priority="1740" stopIfTrue="1">
      <formula>AND($C28&lt;&gt;"",$B27&lt;&gt;$B$26,$C29="Totalt:")</formula>
    </cfRule>
    <cfRule type="expression" dxfId="397" priority="1741" stopIfTrue="1">
      <formula>$C28=""</formula>
    </cfRule>
  </conditionalFormatting>
  <conditionalFormatting sqref="I28">
    <cfRule type="expression" dxfId="396" priority="1736">
      <formula>OR($A28&lt;&gt;"",AND($B28&lt;&gt;"",$B28&lt;&gt;$B27,$B28&lt;&gt;$B29,VLOOKUP($B28,Artlista_alla,4,FALSE)&gt;0))</formula>
    </cfRule>
  </conditionalFormatting>
  <conditionalFormatting sqref="D28">
    <cfRule type="expression" dxfId="395" priority="1731" stopIfTrue="1">
      <formula>AND($C28&lt;&gt;"",$B27=$B$26)</formula>
    </cfRule>
    <cfRule type="expression" dxfId="394" priority="1732" stopIfTrue="1">
      <formula>$C28="Totalt:"</formula>
    </cfRule>
    <cfRule type="expression" dxfId="393" priority="1733" stopIfTrue="1">
      <formula>AND($C28&lt;&gt;"",$B27&lt;&gt;$B$26,$C29&lt;&gt;"Totalt:")</formula>
    </cfRule>
    <cfRule type="expression" dxfId="392" priority="1734" stopIfTrue="1">
      <formula>AND($C28&lt;&gt;"",$B27&lt;&gt;$B$26,$C29="Totalt:")</formula>
    </cfRule>
    <cfRule type="expression" dxfId="391" priority="1735" stopIfTrue="1">
      <formula>$C28=""</formula>
    </cfRule>
  </conditionalFormatting>
  <conditionalFormatting sqref="N29">
    <cfRule type="expression" dxfId="390" priority="1671">
      <formula>AND($B29&lt;&gt;"",$B29&lt;&gt;$B28,$B29&lt;&gt;$B30,VLOOKUP($B29,Artlista_alla,4,FALSE)&gt;0)</formula>
    </cfRule>
    <cfRule type="expression" dxfId="389" priority="1675">
      <formula>$N29&lt;&gt;""</formula>
    </cfRule>
    <cfRule type="expression" dxfId="388" priority="1676" stopIfTrue="1">
      <formula>$C30="Totalt:"</formula>
    </cfRule>
    <cfRule type="expression" dxfId="387" priority="1677" stopIfTrue="1">
      <formula>$C29="Totalt:"</formula>
    </cfRule>
    <cfRule type="expression" dxfId="386" priority="1678" stopIfTrue="1">
      <formula>$C29=""</formula>
    </cfRule>
    <cfRule type="expression" dxfId="385" priority="1679" stopIfTrue="1">
      <formula>$C29&lt;&gt;""</formula>
    </cfRule>
  </conditionalFormatting>
  <conditionalFormatting sqref="I29">
    <cfRule type="expression" dxfId="384" priority="1660" stopIfTrue="1">
      <formula>AND($C29&lt;&gt;"",$B28=$B$26)</formula>
    </cfRule>
    <cfRule type="expression" dxfId="383" priority="1661" stopIfTrue="1">
      <formula>$C29="Totalt:"</formula>
    </cfRule>
    <cfRule type="expression" dxfId="382" priority="1662" stopIfTrue="1">
      <formula>AND($C29&lt;&gt;"",$B28&lt;&gt;$B$26,$C30&lt;&gt;"Totalt:")</formula>
    </cfRule>
    <cfRule type="expression" dxfId="381" priority="1663" stopIfTrue="1">
      <formula>AND($C29&lt;&gt;"",$B28&lt;&gt;$B$26,$C30="Totalt:")</formula>
    </cfRule>
    <cfRule type="expression" dxfId="380" priority="1664" stopIfTrue="1">
      <formula>$C29=""</formula>
    </cfRule>
  </conditionalFormatting>
  <conditionalFormatting sqref="I29">
    <cfRule type="expression" dxfId="379" priority="1659">
      <formula>OR($A29&lt;&gt;"",AND($B29&lt;&gt;"",$B29&lt;&gt;$B28,$B29&lt;&gt;$B30,VLOOKUP($B29,Artlista_alla,4,FALSE)&gt;0))</formula>
    </cfRule>
  </conditionalFormatting>
  <conditionalFormatting sqref="D29">
    <cfRule type="expression" dxfId="378" priority="1654" stopIfTrue="1">
      <formula>AND($C29&lt;&gt;"",$B28=$B$26)</formula>
    </cfRule>
    <cfRule type="expression" dxfId="377" priority="1655" stopIfTrue="1">
      <formula>$C29="Totalt:"</formula>
    </cfRule>
    <cfRule type="expression" dxfId="376" priority="1656" stopIfTrue="1">
      <formula>AND($C29&lt;&gt;"",$B28&lt;&gt;$B$26,$C30&lt;&gt;"Totalt:")</formula>
    </cfRule>
    <cfRule type="expression" dxfId="375" priority="1657" stopIfTrue="1">
      <formula>AND($C29&lt;&gt;"",$B28&lt;&gt;$B$26,$C30="Totalt:")</formula>
    </cfRule>
    <cfRule type="expression" dxfId="374" priority="1658" stopIfTrue="1">
      <formula>$C29=""</formula>
    </cfRule>
  </conditionalFormatting>
  <conditionalFormatting sqref="N30">
    <cfRule type="expression" dxfId="373" priority="1594">
      <formula>AND($B30&lt;&gt;"",$B30&lt;&gt;$B29,$B30&lt;&gt;$B31,VLOOKUP($B30,Artlista_alla,4,FALSE)&gt;0)</formula>
    </cfRule>
    <cfRule type="expression" dxfId="372" priority="1598">
      <formula>$N30&lt;&gt;""</formula>
    </cfRule>
    <cfRule type="expression" dxfId="371" priority="1599" stopIfTrue="1">
      <formula>$C31="Totalt:"</formula>
    </cfRule>
    <cfRule type="expression" dxfId="370" priority="1600" stopIfTrue="1">
      <formula>$C30="Totalt:"</formula>
    </cfRule>
    <cfRule type="expression" dxfId="369" priority="1601" stopIfTrue="1">
      <formula>$C30=""</formula>
    </cfRule>
    <cfRule type="expression" dxfId="368" priority="1602" stopIfTrue="1">
      <formula>$C30&lt;&gt;""</formula>
    </cfRule>
  </conditionalFormatting>
  <conditionalFormatting sqref="I30">
    <cfRule type="expression" dxfId="367" priority="1583" stopIfTrue="1">
      <formula>AND($C30&lt;&gt;"",$B29=$B$26)</formula>
    </cfRule>
    <cfRule type="expression" dxfId="366" priority="1584" stopIfTrue="1">
      <formula>$C30="Totalt:"</formula>
    </cfRule>
    <cfRule type="expression" dxfId="365" priority="1585" stopIfTrue="1">
      <formula>AND($C30&lt;&gt;"",$B29&lt;&gt;$B$26,$C31&lt;&gt;"Totalt:")</formula>
    </cfRule>
    <cfRule type="expression" dxfId="364" priority="1586" stopIfTrue="1">
      <formula>AND($C30&lt;&gt;"",$B29&lt;&gt;$B$26,$C31="Totalt:")</formula>
    </cfRule>
    <cfRule type="expression" dxfId="363" priority="1587" stopIfTrue="1">
      <formula>$C30=""</formula>
    </cfRule>
  </conditionalFormatting>
  <conditionalFormatting sqref="I30">
    <cfRule type="expression" dxfId="362" priority="1582">
      <formula>OR($A30&lt;&gt;"",AND($B30&lt;&gt;"",$B30&lt;&gt;$B29,$B30&lt;&gt;$B31,VLOOKUP($B30,Artlista_alla,4,FALSE)&gt;0))</formula>
    </cfRule>
  </conditionalFormatting>
  <conditionalFormatting sqref="D30">
    <cfRule type="expression" dxfId="361" priority="1577" stopIfTrue="1">
      <formula>AND($C30&lt;&gt;"",$B29=$B$26)</formula>
    </cfRule>
    <cfRule type="expression" dxfId="360" priority="1578" stopIfTrue="1">
      <formula>$C30="Totalt:"</formula>
    </cfRule>
    <cfRule type="expression" dxfId="359" priority="1579" stopIfTrue="1">
      <formula>AND($C30&lt;&gt;"",$B29&lt;&gt;$B$26,$C31&lt;&gt;"Totalt:")</formula>
    </cfRule>
    <cfRule type="expression" dxfId="358" priority="1580" stopIfTrue="1">
      <formula>AND($C30&lt;&gt;"",$B29&lt;&gt;$B$26,$C31="Totalt:")</formula>
    </cfRule>
    <cfRule type="expression" dxfId="357" priority="1581" stopIfTrue="1">
      <formula>$C30=""</formula>
    </cfRule>
  </conditionalFormatting>
  <conditionalFormatting sqref="N31">
    <cfRule type="expression" dxfId="356" priority="1517">
      <formula>AND($B31&lt;&gt;"",$B31&lt;&gt;$B30,$B31&lt;&gt;$B32,VLOOKUP($B31,Artlista_alla,4,FALSE)&gt;0)</formula>
    </cfRule>
    <cfRule type="expression" dxfId="355" priority="1521">
      <formula>$N31&lt;&gt;""</formula>
    </cfRule>
    <cfRule type="expression" dxfId="354" priority="1522" stopIfTrue="1">
      <formula>$C32="Totalt:"</formula>
    </cfRule>
    <cfRule type="expression" dxfId="353" priority="1523" stopIfTrue="1">
      <formula>$C31="Totalt:"</formula>
    </cfRule>
    <cfRule type="expression" dxfId="352" priority="1524" stopIfTrue="1">
      <formula>$C31=""</formula>
    </cfRule>
    <cfRule type="expression" dxfId="351" priority="1525" stopIfTrue="1">
      <formula>$C31&lt;&gt;""</formula>
    </cfRule>
  </conditionalFormatting>
  <conditionalFormatting sqref="I31">
    <cfRule type="expression" dxfId="350" priority="1506" stopIfTrue="1">
      <formula>AND($C31&lt;&gt;"",$B30=$B$26)</formula>
    </cfRule>
    <cfRule type="expression" dxfId="349" priority="1507" stopIfTrue="1">
      <formula>$C31="Totalt:"</formula>
    </cfRule>
    <cfRule type="expression" dxfId="348" priority="1508" stopIfTrue="1">
      <formula>AND($C31&lt;&gt;"",$B30&lt;&gt;$B$26,$C32&lt;&gt;"Totalt:")</formula>
    </cfRule>
    <cfRule type="expression" dxfId="347" priority="1509" stopIfTrue="1">
      <formula>AND($C31&lt;&gt;"",$B30&lt;&gt;$B$26,$C32="Totalt:")</formula>
    </cfRule>
    <cfRule type="expression" dxfId="346" priority="1510" stopIfTrue="1">
      <formula>$C31=""</formula>
    </cfRule>
  </conditionalFormatting>
  <conditionalFormatting sqref="I31">
    <cfRule type="expression" dxfId="345" priority="1505">
      <formula>OR($A31&lt;&gt;"",AND($B31&lt;&gt;"",$B31&lt;&gt;$B30,$B31&lt;&gt;$B32,VLOOKUP($B31,Artlista_alla,4,FALSE)&gt;0))</formula>
    </cfRule>
  </conditionalFormatting>
  <conditionalFormatting sqref="D31">
    <cfRule type="expression" dxfId="344" priority="1500" stopIfTrue="1">
      <formula>AND($C31&lt;&gt;"",$B30=$B$26)</formula>
    </cfRule>
    <cfRule type="expression" dxfId="343" priority="1501" stopIfTrue="1">
      <formula>$C31="Totalt:"</formula>
    </cfRule>
    <cfRule type="expression" dxfId="342" priority="1502" stopIfTrue="1">
      <formula>AND($C31&lt;&gt;"",$B30&lt;&gt;$B$26,$C32&lt;&gt;"Totalt:")</formula>
    </cfRule>
    <cfRule type="expression" dxfId="341" priority="1503" stopIfTrue="1">
      <formula>AND($C31&lt;&gt;"",$B30&lt;&gt;$B$26,$C32="Totalt:")</formula>
    </cfRule>
    <cfRule type="expression" dxfId="340" priority="1504" stopIfTrue="1">
      <formula>$C31=""</formula>
    </cfRule>
  </conditionalFormatting>
  <conditionalFormatting sqref="N32">
    <cfRule type="expression" dxfId="339" priority="1440">
      <formula>AND($B32&lt;&gt;"",$B32&lt;&gt;$B31,$B32&lt;&gt;$B33,VLOOKUP($B32,Artlista_alla,4,FALSE)&gt;0)</formula>
    </cfRule>
    <cfRule type="expression" dxfId="338" priority="1444">
      <formula>$N32&lt;&gt;""</formula>
    </cfRule>
    <cfRule type="expression" dxfId="337" priority="1445" stopIfTrue="1">
      <formula>$C33="Totalt:"</formula>
    </cfRule>
    <cfRule type="expression" dxfId="336" priority="1446" stopIfTrue="1">
      <formula>$C32="Totalt:"</formula>
    </cfRule>
    <cfRule type="expression" dxfId="335" priority="1447" stopIfTrue="1">
      <formula>$C32=""</formula>
    </cfRule>
    <cfRule type="expression" dxfId="334" priority="1448" stopIfTrue="1">
      <formula>$C32&lt;&gt;""</formula>
    </cfRule>
  </conditionalFormatting>
  <conditionalFormatting sqref="I32">
    <cfRule type="expression" dxfId="333" priority="1429" stopIfTrue="1">
      <formula>AND($C32&lt;&gt;"",$B31=$B$26)</formula>
    </cfRule>
    <cfRule type="expression" dxfId="332" priority="1430" stopIfTrue="1">
      <formula>$C32="Totalt:"</formula>
    </cfRule>
    <cfRule type="expression" dxfId="331" priority="1431" stopIfTrue="1">
      <formula>AND($C32&lt;&gt;"",$B31&lt;&gt;$B$26,$C33&lt;&gt;"Totalt:")</formula>
    </cfRule>
    <cfRule type="expression" dxfId="330" priority="1432" stopIfTrue="1">
      <formula>AND($C32&lt;&gt;"",$B31&lt;&gt;$B$26,$C33="Totalt:")</formula>
    </cfRule>
    <cfRule type="expression" dxfId="329" priority="1433" stopIfTrue="1">
      <formula>$C32=""</formula>
    </cfRule>
  </conditionalFormatting>
  <conditionalFormatting sqref="I32">
    <cfRule type="expression" dxfId="328" priority="1428">
      <formula>OR($A32&lt;&gt;"",AND($B32&lt;&gt;"",$B32&lt;&gt;$B31,$B32&lt;&gt;$B33,VLOOKUP($B32,Artlista_alla,4,FALSE)&gt;0))</formula>
    </cfRule>
  </conditionalFormatting>
  <conditionalFormatting sqref="D32">
    <cfRule type="expression" dxfId="327" priority="1423" stopIfTrue="1">
      <formula>AND($C32&lt;&gt;"",$B31=$B$26)</formula>
    </cfRule>
    <cfRule type="expression" dxfId="326" priority="1424" stopIfTrue="1">
      <formula>$C32="Totalt:"</formula>
    </cfRule>
    <cfRule type="expression" dxfId="325" priority="1425" stopIfTrue="1">
      <formula>AND($C32&lt;&gt;"",$B31&lt;&gt;$B$26,$C33&lt;&gt;"Totalt:")</formula>
    </cfRule>
    <cfRule type="expression" dxfId="324" priority="1426" stopIfTrue="1">
      <formula>AND($C32&lt;&gt;"",$B31&lt;&gt;$B$26,$C33="Totalt:")</formula>
    </cfRule>
    <cfRule type="expression" dxfId="323" priority="1427" stopIfTrue="1">
      <formula>$C32=""</formula>
    </cfRule>
  </conditionalFormatting>
  <conditionalFormatting sqref="N33">
    <cfRule type="expression" dxfId="322" priority="1363">
      <formula>AND($B33&lt;&gt;"",$B33&lt;&gt;$B32,$B33&lt;&gt;$B34,VLOOKUP($B33,Artlista_alla,4,FALSE)&gt;0)</formula>
    </cfRule>
    <cfRule type="expression" dxfId="321" priority="1367">
      <formula>$N33&lt;&gt;""</formula>
    </cfRule>
    <cfRule type="expression" dxfId="320" priority="1368" stopIfTrue="1">
      <formula>$C34="Totalt:"</formula>
    </cfRule>
    <cfRule type="expression" dxfId="319" priority="1369" stopIfTrue="1">
      <formula>$C33="Totalt:"</formula>
    </cfRule>
    <cfRule type="expression" dxfId="318" priority="1370" stopIfTrue="1">
      <formula>$C33=""</formula>
    </cfRule>
    <cfRule type="expression" dxfId="317" priority="1371" stopIfTrue="1">
      <formula>$C33&lt;&gt;""</formula>
    </cfRule>
  </conditionalFormatting>
  <conditionalFormatting sqref="I33">
    <cfRule type="expression" dxfId="316" priority="1352" stopIfTrue="1">
      <formula>AND($C33&lt;&gt;"",$B32=$B$26)</formula>
    </cfRule>
    <cfRule type="expression" dxfId="315" priority="1353" stopIfTrue="1">
      <formula>$C33="Totalt:"</formula>
    </cfRule>
    <cfRule type="expression" dxfId="314" priority="1354" stopIfTrue="1">
      <formula>AND($C33&lt;&gt;"",$B32&lt;&gt;$B$26,$C34&lt;&gt;"Totalt:")</formula>
    </cfRule>
    <cfRule type="expression" dxfId="313" priority="1355" stopIfTrue="1">
      <formula>AND($C33&lt;&gt;"",$B32&lt;&gt;$B$26,$C34="Totalt:")</formula>
    </cfRule>
    <cfRule type="expression" dxfId="312" priority="1356" stopIfTrue="1">
      <formula>$C33=""</formula>
    </cfRule>
  </conditionalFormatting>
  <conditionalFormatting sqref="I33">
    <cfRule type="expression" dxfId="311" priority="1351">
      <formula>OR($A33&lt;&gt;"",AND($B33&lt;&gt;"",$B33&lt;&gt;$B32,$B33&lt;&gt;$B34,VLOOKUP($B33,Artlista_alla,4,FALSE)&gt;0))</formula>
    </cfRule>
  </conditionalFormatting>
  <conditionalFormatting sqref="D33">
    <cfRule type="expression" dxfId="310" priority="1346" stopIfTrue="1">
      <formula>AND($C33&lt;&gt;"",$B32=$B$26)</formula>
    </cfRule>
    <cfRule type="expression" dxfId="309" priority="1347" stopIfTrue="1">
      <formula>$C33="Totalt:"</formula>
    </cfRule>
    <cfRule type="expression" dxfId="308" priority="1348" stopIfTrue="1">
      <formula>AND($C33&lt;&gt;"",$B32&lt;&gt;$B$26,$C34&lt;&gt;"Totalt:")</formula>
    </cfRule>
    <cfRule type="expression" dxfId="307" priority="1349" stopIfTrue="1">
      <formula>AND($C33&lt;&gt;"",$B32&lt;&gt;$B$26,$C34="Totalt:")</formula>
    </cfRule>
    <cfRule type="expression" dxfId="306" priority="1350" stopIfTrue="1">
      <formula>$C33=""</formula>
    </cfRule>
  </conditionalFormatting>
  <conditionalFormatting sqref="N34">
    <cfRule type="expression" dxfId="305" priority="1286">
      <formula>AND($B34&lt;&gt;"",$B34&lt;&gt;$B33,$B34&lt;&gt;$B35,VLOOKUP($B34,Artlista_alla,4,FALSE)&gt;0)</formula>
    </cfRule>
    <cfRule type="expression" dxfId="304" priority="1290">
      <formula>$N34&lt;&gt;""</formula>
    </cfRule>
    <cfRule type="expression" dxfId="303" priority="1291" stopIfTrue="1">
      <formula>$C35="Totalt:"</formula>
    </cfRule>
    <cfRule type="expression" dxfId="302" priority="1292" stopIfTrue="1">
      <formula>$C34="Totalt:"</formula>
    </cfRule>
    <cfRule type="expression" dxfId="301" priority="1293" stopIfTrue="1">
      <formula>$C34=""</formula>
    </cfRule>
    <cfRule type="expression" dxfId="300" priority="1294" stopIfTrue="1">
      <formula>$C34&lt;&gt;""</formula>
    </cfRule>
  </conditionalFormatting>
  <conditionalFormatting sqref="I34">
    <cfRule type="expression" dxfId="299" priority="1275" stopIfTrue="1">
      <formula>AND($C34&lt;&gt;"",$B33=$B$26)</formula>
    </cfRule>
    <cfRule type="expression" dxfId="298" priority="1276" stopIfTrue="1">
      <formula>$C34="Totalt:"</formula>
    </cfRule>
    <cfRule type="expression" dxfId="297" priority="1277" stopIfTrue="1">
      <formula>AND($C34&lt;&gt;"",$B33&lt;&gt;$B$26,$C35&lt;&gt;"Totalt:")</formula>
    </cfRule>
    <cfRule type="expression" dxfId="296" priority="1278" stopIfTrue="1">
      <formula>AND($C34&lt;&gt;"",$B33&lt;&gt;$B$26,$C35="Totalt:")</formula>
    </cfRule>
    <cfRule type="expression" dxfId="295" priority="1279" stopIfTrue="1">
      <formula>$C34=""</formula>
    </cfRule>
  </conditionalFormatting>
  <conditionalFormatting sqref="I34">
    <cfRule type="expression" dxfId="294" priority="1274">
      <formula>OR($A34&lt;&gt;"",AND($B34&lt;&gt;"",$B34&lt;&gt;$B33,$B34&lt;&gt;$B35,VLOOKUP($B34,Artlista_alla,4,FALSE)&gt;0))</formula>
    </cfRule>
  </conditionalFormatting>
  <conditionalFormatting sqref="D34">
    <cfRule type="expression" dxfId="293" priority="1269" stopIfTrue="1">
      <formula>AND($C34&lt;&gt;"",$B33=$B$26)</formula>
    </cfRule>
    <cfRule type="expression" dxfId="292" priority="1270" stopIfTrue="1">
      <formula>$C34="Totalt:"</formula>
    </cfRule>
    <cfRule type="expression" dxfId="291" priority="1271" stopIfTrue="1">
      <formula>AND($C34&lt;&gt;"",$B33&lt;&gt;$B$26,$C35&lt;&gt;"Totalt:")</formula>
    </cfRule>
    <cfRule type="expression" dxfId="290" priority="1272" stopIfTrue="1">
      <formula>AND($C34&lt;&gt;"",$B33&lt;&gt;$B$26,$C35="Totalt:")</formula>
    </cfRule>
    <cfRule type="expression" dxfId="289" priority="1273" stopIfTrue="1">
      <formula>$C34=""</formula>
    </cfRule>
  </conditionalFormatting>
  <conditionalFormatting sqref="N35">
    <cfRule type="expression" dxfId="288" priority="1209">
      <formula>AND($B35&lt;&gt;"",$B35&lt;&gt;$B34,$B35&lt;&gt;$B36,VLOOKUP($B35,Artlista_alla,4,FALSE)&gt;0)</formula>
    </cfRule>
    <cfRule type="expression" dxfId="287" priority="1213">
      <formula>$N35&lt;&gt;""</formula>
    </cfRule>
    <cfRule type="expression" dxfId="286" priority="1214" stopIfTrue="1">
      <formula>$C36="Totalt:"</formula>
    </cfRule>
    <cfRule type="expression" dxfId="285" priority="1215" stopIfTrue="1">
      <formula>$C35="Totalt:"</formula>
    </cfRule>
    <cfRule type="expression" dxfId="284" priority="1216" stopIfTrue="1">
      <formula>$C35=""</formula>
    </cfRule>
    <cfRule type="expression" dxfId="283" priority="1217" stopIfTrue="1">
      <formula>$C35&lt;&gt;""</formula>
    </cfRule>
  </conditionalFormatting>
  <conditionalFormatting sqref="I35">
    <cfRule type="expression" dxfId="282" priority="1198" stopIfTrue="1">
      <formula>AND($C35&lt;&gt;"",$B34=$B$26)</formula>
    </cfRule>
    <cfRule type="expression" dxfId="281" priority="1199" stopIfTrue="1">
      <formula>$C35="Totalt:"</formula>
    </cfRule>
    <cfRule type="expression" dxfId="280" priority="1200" stopIfTrue="1">
      <formula>AND($C35&lt;&gt;"",$B34&lt;&gt;$B$26,$C36&lt;&gt;"Totalt:")</formula>
    </cfRule>
    <cfRule type="expression" dxfId="279" priority="1201" stopIfTrue="1">
      <formula>AND($C35&lt;&gt;"",$B34&lt;&gt;$B$26,$C36="Totalt:")</formula>
    </cfRule>
    <cfRule type="expression" dxfId="278" priority="1202" stopIfTrue="1">
      <formula>$C35=""</formula>
    </cfRule>
  </conditionalFormatting>
  <conditionalFormatting sqref="I35">
    <cfRule type="expression" dxfId="277" priority="1197">
      <formula>OR($A35&lt;&gt;"",AND($B35&lt;&gt;"",$B35&lt;&gt;$B34,$B35&lt;&gt;$B36,VLOOKUP($B35,Artlista_alla,4,FALSE)&gt;0))</formula>
    </cfRule>
  </conditionalFormatting>
  <conditionalFormatting sqref="D35">
    <cfRule type="expression" dxfId="276" priority="1192" stopIfTrue="1">
      <formula>AND($C35&lt;&gt;"",$B34=$B$26)</formula>
    </cfRule>
    <cfRule type="expression" dxfId="275" priority="1193" stopIfTrue="1">
      <formula>$C35="Totalt:"</formula>
    </cfRule>
    <cfRule type="expression" dxfId="274" priority="1194" stopIfTrue="1">
      <formula>AND($C35&lt;&gt;"",$B34&lt;&gt;$B$26,$C36&lt;&gt;"Totalt:")</formula>
    </cfRule>
    <cfRule type="expression" dxfId="273" priority="1195" stopIfTrue="1">
      <formula>AND($C35&lt;&gt;"",$B34&lt;&gt;$B$26,$C36="Totalt:")</formula>
    </cfRule>
    <cfRule type="expression" dxfId="272" priority="1196" stopIfTrue="1">
      <formula>$C35=""</formula>
    </cfRule>
  </conditionalFormatting>
  <conditionalFormatting sqref="N36">
    <cfRule type="expression" dxfId="271" priority="1132">
      <formula>AND($B36&lt;&gt;"",$B36&lt;&gt;$B35,$B36&lt;&gt;$B37,VLOOKUP($B36,Artlista_alla,4,FALSE)&gt;0)</formula>
    </cfRule>
    <cfRule type="expression" dxfId="270" priority="1136">
      <formula>$N36&lt;&gt;""</formula>
    </cfRule>
    <cfRule type="expression" dxfId="269" priority="1137" stopIfTrue="1">
      <formula>$C37="Totalt:"</formula>
    </cfRule>
    <cfRule type="expression" dxfId="268" priority="1138" stopIfTrue="1">
      <formula>$C36="Totalt:"</formula>
    </cfRule>
    <cfRule type="expression" dxfId="267" priority="1139" stopIfTrue="1">
      <formula>$C36=""</formula>
    </cfRule>
    <cfRule type="expression" dxfId="266" priority="1140" stopIfTrue="1">
      <formula>$C36&lt;&gt;""</formula>
    </cfRule>
  </conditionalFormatting>
  <conditionalFormatting sqref="I36">
    <cfRule type="expression" dxfId="265" priority="1121" stopIfTrue="1">
      <formula>AND($C36&lt;&gt;"",$B35=$B$26)</formula>
    </cfRule>
    <cfRule type="expression" dxfId="264" priority="1122" stopIfTrue="1">
      <formula>$C36="Totalt:"</formula>
    </cfRule>
    <cfRule type="expression" dxfId="263" priority="1123" stopIfTrue="1">
      <formula>AND($C36&lt;&gt;"",$B35&lt;&gt;$B$26,$C37&lt;&gt;"Totalt:")</formula>
    </cfRule>
    <cfRule type="expression" dxfId="262" priority="1124" stopIfTrue="1">
      <formula>AND($C36&lt;&gt;"",$B35&lt;&gt;$B$26,$C37="Totalt:")</formula>
    </cfRule>
    <cfRule type="expression" dxfId="261" priority="1125" stopIfTrue="1">
      <formula>$C36=""</formula>
    </cfRule>
  </conditionalFormatting>
  <conditionalFormatting sqref="I36">
    <cfRule type="expression" dxfId="260" priority="1120">
      <formula>OR($A36&lt;&gt;"",AND($B36&lt;&gt;"",$B36&lt;&gt;$B35,$B36&lt;&gt;$B37,VLOOKUP($B36,Artlista_alla,4,FALSE)&gt;0))</formula>
    </cfRule>
  </conditionalFormatting>
  <conditionalFormatting sqref="D36">
    <cfRule type="expression" dxfId="259" priority="1115" stopIfTrue="1">
      <formula>AND($C36&lt;&gt;"",$B35=$B$26)</formula>
    </cfRule>
    <cfRule type="expression" dxfId="258" priority="1116" stopIfTrue="1">
      <formula>$C36="Totalt:"</formula>
    </cfRule>
    <cfRule type="expression" dxfId="257" priority="1117" stopIfTrue="1">
      <formula>AND($C36&lt;&gt;"",$B35&lt;&gt;$B$26,$C37&lt;&gt;"Totalt:")</formula>
    </cfRule>
    <cfRule type="expression" dxfId="256" priority="1118" stopIfTrue="1">
      <formula>AND($C36&lt;&gt;"",$B35&lt;&gt;$B$26,$C37="Totalt:")</formula>
    </cfRule>
    <cfRule type="expression" dxfId="255" priority="1119" stopIfTrue="1">
      <formula>$C36=""</formula>
    </cfRule>
  </conditionalFormatting>
  <conditionalFormatting sqref="N37">
    <cfRule type="expression" dxfId="254" priority="1055">
      <formula>AND($B37&lt;&gt;"",$B37&lt;&gt;$B36,$B37&lt;&gt;$B38,VLOOKUP($B37,Artlista_alla,4,FALSE)&gt;0)</formula>
    </cfRule>
    <cfRule type="expression" dxfId="253" priority="1059">
      <formula>$N37&lt;&gt;""</formula>
    </cfRule>
    <cfRule type="expression" dxfId="252" priority="1060" stopIfTrue="1">
      <formula>$C38="Totalt:"</formula>
    </cfRule>
    <cfRule type="expression" dxfId="251" priority="1061" stopIfTrue="1">
      <formula>$C37="Totalt:"</formula>
    </cfRule>
    <cfRule type="expression" dxfId="250" priority="1062" stopIfTrue="1">
      <formula>$C37=""</formula>
    </cfRule>
    <cfRule type="expression" dxfId="249" priority="1063" stopIfTrue="1">
      <formula>$C37&lt;&gt;""</formula>
    </cfRule>
  </conditionalFormatting>
  <conditionalFormatting sqref="I37">
    <cfRule type="expression" dxfId="248" priority="1044" stopIfTrue="1">
      <formula>AND($C37&lt;&gt;"",$B36=$B$26)</formula>
    </cfRule>
    <cfRule type="expression" dxfId="247" priority="1045" stopIfTrue="1">
      <formula>$C37="Totalt:"</formula>
    </cfRule>
    <cfRule type="expression" dxfId="246" priority="1046" stopIfTrue="1">
      <formula>AND($C37&lt;&gt;"",$B36&lt;&gt;$B$26,$C38&lt;&gt;"Totalt:")</formula>
    </cfRule>
    <cfRule type="expression" dxfId="245" priority="1047" stopIfTrue="1">
      <formula>AND($C37&lt;&gt;"",$B36&lt;&gt;$B$26,$C38="Totalt:")</formula>
    </cfRule>
    <cfRule type="expression" dxfId="244" priority="1048" stopIfTrue="1">
      <formula>$C37=""</formula>
    </cfRule>
  </conditionalFormatting>
  <conditionalFormatting sqref="I37">
    <cfRule type="expression" dxfId="243" priority="1043">
      <formula>OR($A37&lt;&gt;"",AND($B37&lt;&gt;"",$B37&lt;&gt;$B36,$B37&lt;&gt;$B38,VLOOKUP($B37,Artlista_alla,4,FALSE)&gt;0))</formula>
    </cfRule>
  </conditionalFormatting>
  <conditionalFormatting sqref="D37">
    <cfRule type="expression" dxfId="242" priority="1038" stopIfTrue="1">
      <formula>AND($C37&lt;&gt;"",$B36=$B$26)</formula>
    </cfRule>
    <cfRule type="expression" dxfId="241" priority="1039" stopIfTrue="1">
      <formula>$C37="Totalt:"</formula>
    </cfRule>
    <cfRule type="expression" dxfId="240" priority="1040" stopIfTrue="1">
      <formula>AND($C37&lt;&gt;"",$B36&lt;&gt;$B$26,$C38&lt;&gt;"Totalt:")</formula>
    </cfRule>
    <cfRule type="expression" dxfId="239" priority="1041" stopIfTrue="1">
      <formula>AND($C37&lt;&gt;"",$B36&lt;&gt;$B$26,$C38="Totalt:")</formula>
    </cfRule>
    <cfRule type="expression" dxfId="238" priority="1042" stopIfTrue="1">
      <formula>$C37=""</formula>
    </cfRule>
  </conditionalFormatting>
  <conditionalFormatting sqref="N38">
    <cfRule type="expression" dxfId="237" priority="978">
      <formula>AND($B38&lt;&gt;"",$B38&lt;&gt;$B37,$B38&lt;&gt;$B39,VLOOKUP($B38,Artlista_alla,4,FALSE)&gt;0)</formula>
    </cfRule>
    <cfRule type="expression" dxfId="236" priority="982">
      <formula>$N38&lt;&gt;""</formula>
    </cfRule>
    <cfRule type="expression" dxfId="235" priority="983" stopIfTrue="1">
      <formula>$C39="Totalt:"</formula>
    </cfRule>
    <cfRule type="expression" dxfId="234" priority="984" stopIfTrue="1">
      <formula>$C38="Totalt:"</formula>
    </cfRule>
    <cfRule type="expression" dxfId="233" priority="985" stopIfTrue="1">
      <formula>$C38=""</formula>
    </cfRule>
    <cfRule type="expression" dxfId="232" priority="986" stopIfTrue="1">
      <formula>$C38&lt;&gt;""</formula>
    </cfRule>
  </conditionalFormatting>
  <conditionalFormatting sqref="I38">
    <cfRule type="expression" dxfId="231" priority="967" stopIfTrue="1">
      <formula>AND($C38&lt;&gt;"",$B37=$B$26)</formula>
    </cfRule>
    <cfRule type="expression" dxfId="230" priority="968" stopIfTrue="1">
      <formula>$C38="Totalt:"</formula>
    </cfRule>
    <cfRule type="expression" dxfId="229" priority="969" stopIfTrue="1">
      <formula>AND($C38&lt;&gt;"",$B37&lt;&gt;$B$26,$C39&lt;&gt;"Totalt:")</formula>
    </cfRule>
    <cfRule type="expression" dxfId="228" priority="970" stopIfTrue="1">
      <formula>AND($C38&lt;&gt;"",$B37&lt;&gt;$B$26,$C39="Totalt:")</formula>
    </cfRule>
    <cfRule type="expression" dxfId="227" priority="971" stopIfTrue="1">
      <formula>$C38=""</formula>
    </cfRule>
  </conditionalFormatting>
  <conditionalFormatting sqref="I38">
    <cfRule type="expression" dxfId="226" priority="966">
      <formula>OR($A38&lt;&gt;"",AND($B38&lt;&gt;"",$B38&lt;&gt;$B37,$B38&lt;&gt;$B39,VLOOKUP($B38,Artlista_alla,4,FALSE)&gt;0))</formula>
    </cfRule>
  </conditionalFormatting>
  <conditionalFormatting sqref="D38">
    <cfRule type="expression" dxfId="225" priority="961" stopIfTrue="1">
      <formula>AND($C38&lt;&gt;"",$B37=$B$26)</formula>
    </cfRule>
    <cfRule type="expression" dxfId="224" priority="962" stopIfTrue="1">
      <formula>$C38="Totalt:"</formula>
    </cfRule>
    <cfRule type="expression" dxfId="223" priority="963" stopIfTrue="1">
      <formula>AND($C38&lt;&gt;"",$B37&lt;&gt;$B$26,$C39&lt;&gt;"Totalt:")</formula>
    </cfRule>
    <cfRule type="expression" dxfId="222" priority="964" stopIfTrue="1">
      <formula>AND($C38&lt;&gt;"",$B37&lt;&gt;$B$26,$C39="Totalt:")</formula>
    </cfRule>
    <cfRule type="expression" dxfId="221" priority="965" stopIfTrue="1">
      <formula>$C38=""</formula>
    </cfRule>
  </conditionalFormatting>
  <conditionalFormatting sqref="N39">
    <cfRule type="expression" dxfId="220" priority="901">
      <formula>AND($B39&lt;&gt;"",$B39&lt;&gt;$B38,$B39&lt;&gt;$B40,VLOOKUP($B39,Artlista_alla,4,FALSE)&gt;0)</formula>
    </cfRule>
    <cfRule type="expression" dxfId="219" priority="905">
      <formula>$N39&lt;&gt;""</formula>
    </cfRule>
    <cfRule type="expression" dxfId="218" priority="906" stopIfTrue="1">
      <formula>$C40="Totalt:"</formula>
    </cfRule>
    <cfRule type="expression" dxfId="217" priority="907" stopIfTrue="1">
      <formula>$C39="Totalt:"</formula>
    </cfRule>
    <cfRule type="expression" dxfId="216" priority="908" stopIfTrue="1">
      <formula>$C39=""</formula>
    </cfRule>
    <cfRule type="expression" dxfId="215" priority="909" stopIfTrue="1">
      <formula>$C39&lt;&gt;""</formula>
    </cfRule>
  </conditionalFormatting>
  <conditionalFormatting sqref="I39">
    <cfRule type="expression" dxfId="214" priority="890" stopIfTrue="1">
      <formula>AND($C39&lt;&gt;"",$B38=$B$26)</formula>
    </cfRule>
    <cfRule type="expression" dxfId="213" priority="891" stopIfTrue="1">
      <formula>$C39="Totalt:"</formula>
    </cfRule>
    <cfRule type="expression" dxfId="212" priority="892" stopIfTrue="1">
      <formula>AND($C39&lt;&gt;"",$B38&lt;&gt;$B$26,$C40&lt;&gt;"Totalt:")</formula>
    </cfRule>
    <cfRule type="expression" dxfId="211" priority="893" stopIfTrue="1">
      <formula>AND($C39&lt;&gt;"",$B38&lt;&gt;$B$26,$C40="Totalt:")</formula>
    </cfRule>
    <cfRule type="expression" dxfId="210" priority="894" stopIfTrue="1">
      <formula>$C39=""</formula>
    </cfRule>
  </conditionalFormatting>
  <conditionalFormatting sqref="I39">
    <cfRule type="expression" dxfId="209" priority="889">
      <formula>OR($A39&lt;&gt;"",AND($B39&lt;&gt;"",$B39&lt;&gt;$B38,$B39&lt;&gt;$B40,VLOOKUP($B39,Artlista_alla,4,FALSE)&gt;0))</formula>
    </cfRule>
  </conditionalFormatting>
  <conditionalFormatting sqref="D39">
    <cfRule type="expression" dxfId="208" priority="884" stopIfTrue="1">
      <formula>AND($C39&lt;&gt;"",$B38=$B$26)</formula>
    </cfRule>
    <cfRule type="expression" dxfId="207" priority="885" stopIfTrue="1">
      <formula>$C39="Totalt:"</formula>
    </cfRule>
    <cfRule type="expression" dxfId="206" priority="886" stopIfTrue="1">
      <formula>AND($C39&lt;&gt;"",$B38&lt;&gt;$B$26,$C40&lt;&gt;"Totalt:")</formula>
    </cfRule>
    <cfRule type="expression" dxfId="205" priority="887" stopIfTrue="1">
      <formula>AND($C39&lt;&gt;"",$B38&lt;&gt;$B$26,$C40="Totalt:")</formula>
    </cfRule>
    <cfRule type="expression" dxfId="204" priority="888" stopIfTrue="1">
      <formula>$C39=""</formula>
    </cfRule>
  </conditionalFormatting>
  <conditionalFormatting sqref="N40">
    <cfRule type="expression" dxfId="203" priority="824">
      <formula>AND($B40&lt;&gt;"",$B40&lt;&gt;$B39,$B40&lt;&gt;$B41,VLOOKUP($B40,Artlista_alla,4,FALSE)&gt;0)</formula>
    </cfRule>
    <cfRule type="expression" dxfId="202" priority="828">
      <formula>$N40&lt;&gt;""</formula>
    </cfRule>
    <cfRule type="expression" dxfId="201" priority="829" stopIfTrue="1">
      <formula>$C41="Totalt:"</formula>
    </cfRule>
    <cfRule type="expression" dxfId="200" priority="830" stopIfTrue="1">
      <formula>$C40="Totalt:"</formula>
    </cfRule>
    <cfRule type="expression" dxfId="199" priority="831" stopIfTrue="1">
      <formula>$C40=""</formula>
    </cfRule>
    <cfRule type="expression" dxfId="198" priority="832" stopIfTrue="1">
      <formula>$C40&lt;&gt;""</formula>
    </cfRule>
  </conditionalFormatting>
  <conditionalFormatting sqref="I40">
    <cfRule type="expression" dxfId="197" priority="813" stopIfTrue="1">
      <formula>AND($C40&lt;&gt;"",$B39=$B$26)</formula>
    </cfRule>
    <cfRule type="expression" dxfId="196" priority="814" stopIfTrue="1">
      <formula>$C40="Totalt:"</formula>
    </cfRule>
    <cfRule type="expression" dxfId="195" priority="815" stopIfTrue="1">
      <formula>AND($C40&lt;&gt;"",$B39&lt;&gt;$B$26,$C41&lt;&gt;"Totalt:")</formula>
    </cfRule>
    <cfRule type="expression" dxfId="194" priority="816" stopIfTrue="1">
      <formula>AND($C40&lt;&gt;"",$B39&lt;&gt;$B$26,$C41="Totalt:")</formula>
    </cfRule>
    <cfRule type="expression" dxfId="193" priority="817" stopIfTrue="1">
      <formula>$C40=""</formula>
    </cfRule>
  </conditionalFormatting>
  <conditionalFormatting sqref="I40">
    <cfRule type="expression" dxfId="192" priority="812">
      <formula>OR($A40&lt;&gt;"",AND($B40&lt;&gt;"",$B40&lt;&gt;$B39,$B40&lt;&gt;$B41,VLOOKUP($B40,Artlista_alla,4,FALSE)&gt;0))</formula>
    </cfRule>
  </conditionalFormatting>
  <conditionalFormatting sqref="D40">
    <cfRule type="expression" dxfId="191" priority="807" stopIfTrue="1">
      <formula>AND($C40&lt;&gt;"",$B39=$B$26)</formula>
    </cfRule>
    <cfRule type="expression" dxfId="190" priority="808" stopIfTrue="1">
      <formula>$C40="Totalt:"</formula>
    </cfRule>
    <cfRule type="expression" dxfId="189" priority="809" stopIfTrue="1">
      <formula>AND($C40&lt;&gt;"",$B39&lt;&gt;$B$26,$C41&lt;&gt;"Totalt:")</formula>
    </cfRule>
    <cfRule type="expression" dxfId="188" priority="810" stopIfTrue="1">
      <formula>AND($C40&lt;&gt;"",$B39&lt;&gt;$B$26,$C41="Totalt:")</formula>
    </cfRule>
    <cfRule type="expression" dxfId="187" priority="811" stopIfTrue="1">
      <formula>$C40=""</formula>
    </cfRule>
  </conditionalFormatting>
  <conditionalFormatting sqref="N41">
    <cfRule type="expression" dxfId="186" priority="747">
      <formula>AND($B41&lt;&gt;"",$B41&lt;&gt;$B40,$B41&lt;&gt;$B42,VLOOKUP($B41,Artlista_alla,4,FALSE)&gt;0)</formula>
    </cfRule>
    <cfRule type="expression" dxfId="185" priority="751">
      <formula>$N41&lt;&gt;""</formula>
    </cfRule>
    <cfRule type="expression" dxfId="184" priority="752" stopIfTrue="1">
      <formula>$C42="Totalt:"</formula>
    </cfRule>
    <cfRule type="expression" dxfId="183" priority="753" stopIfTrue="1">
      <formula>$C41="Totalt:"</formula>
    </cfRule>
    <cfRule type="expression" dxfId="182" priority="754" stopIfTrue="1">
      <formula>$C41=""</formula>
    </cfRule>
    <cfRule type="expression" dxfId="181" priority="755" stopIfTrue="1">
      <formula>$C41&lt;&gt;""</formula>
    </cfRule>
  </conditionalFormatting>
  <conditionalFormatting sqref="I41">
    <cfRule type="expression" dxfId="180" priority="736" stopIfTrue="1">
      <formula>AND($C41&lt;&gt;"",$B40=$B$26)</formula>
    </cfRule>
    <cfRule type="expression" dxfId="179" priority="737" stopIfTrue="1">
      <formula>$C41="Totalt:"</formula>
    </cfRule>
    <cfRule type="expression" dxfId="178" priority="738" stopIfTrue="1">
      <formula>AND($C41&lt;&gt;"",$B40&lt;&gt;$B$26,$C42&lt;&gt;"Totalt:")</formula>
    </cfRule>
    <cfRule type="expression" dxfId="177" priority="739" stopIfTrue="1">
      <formula>AND($C41&lt;&gt;"",$B40&lt;&gt;$B$26,$C42="Totalt:")</formula>
    </cfRule>
    <cfRule type="expression" dxfId="176" priority="740" stopIfTrue="1">
      <formula>$C41=""</formula>
    </cfRule>
  </conditionalFormatting>
  <conditionalFormatting sqref="I41">
    <cfRule type="expression" dxfId="175" priority="735">
      <formula>OR($A41&lt;&gt;"",AND($B41&lt;&gt;"",$B41&lt;&gt;$B40,$B41&lt;&gt;$B42,VLOOKUP($B41,Artlista_alla,4,FALSE)&gt;0))</formula>
    </cfRule>
  </conditionalFormatting>
  <conditionalFormatting sqref="D41">
    <cfRule type="expression" dxfId="174" priority="730" stopIfTrue="1">
      <formula>AND($C41&lt;&gt;"",$B40=$B$26)</formula>
    </cfRule>
    <cfRule type="expression" dxfId="173" priority="731" stopIfTrue="1">
      <formula>$C41="Totalt:"</formula>
    </cfRule>
    <cfRule type="expression" dxfId="172" priority="732" stopIfTrue="1">
      <formula>AND($C41&lt;&gt;"",$B40&lt;&gt;$B$26,$C42&lt;&gt;"Totalt:")</formula>
    </cfRule>
    <cfRule type="expression" dxfId="171" priority="733" stopIfTrue="1">
      <formula>AND($C41&lt;&gt;"",$B40&lt;&gt;$B$26,$C42="Totalt:")</formula>
    </cfRule>
    <cfRule type="expression" dxfId="170" priority="734" stopIfTrue="1">
      <formula>$C41=""</formula>
    </cfRule>
  </conditionalFormatting>
  <conditionalFormatting sqref="N42">
    <cfRule type="expression" dxfId="169" priority="670">
      <formula>AND($B42&lt;&gt;"",$B42&lt;&gt;$B41,$B42&lt;&gt;$B43,VLOOKUP($B42,Artlista_alla,4,FALSE)&gt;0)</formula>
    </cfRule>
    <cfRule type="expression" dxfId="168" priority="674">
      <formula>$N42&lt;&gt;""</formula>
    </cfRule>
    <cfRule type="expression" dxfId="167" priority="675" stopIfTrue="1">
      <formula>$C43="Totalt:"</formula>
    </cfRule>
    <cfRule type="expression" dxfId="166" priority="676" stopIfTrue="1">
      <formula>$C42="Totalt:"</formula>
    </cfRule>
    <cfRule type="expression" dxfId="165" priority="677" stopIfTrue="1">
      <formula>$C42=""</formula>
    </cfRule>
    <cfRule type="expression" dxfId="164" priority="678" stopIfTrue="1">
      <formula>$C42&lt;&gt;""</formula>
    </cfRule>
  </conditionalFormatting>
  <conditionalFormatting sqref="I42">
    <cfRule type="expression" dxfId="163" priority="659" stopIfTrue="1">
      <formula>AND($C42&lt;&gt;"",$B41=$B$26)</formula>
    </cfRule>
    <cfRule type="expression" dxfId="162" priority="660" stopIfTrue="1">
      <formula>$C42="Totalt:"</formula>
    </cfRule>
    <cfRule type="expression" dxfId="161" priority="661" stopIfTrue="1">
      <formula>AND($C42&lt;&gt;"",$B41&lt;&gt;$B$26,$C43&lt;&gt;"Totalt:")</formula>
    </cfRule>
    <cfRule type="expression" dxfId="160" priority="662" stopIfTrue="1">
      <formula>AND($C42&lt;&gt;"",$B41&lt;&gt;$B$26,$C43="Totalt:")</formula>
    </cfRule>
    <cfRule type="expression" dxfId="159" priority="663" stopIfTrue="1">
      <formula>$C42=""</formula>
    </cfRule>
  </conditionalFormatting>
  <conditionalFormatting sqref="I42">
    <cfRule type="expression" dxfId="158" priority="658">
      <formula>OR($A42&lt;&gt;"",AND($B42&lt;&gt;"",$B42&lt;&gt;$B41,$B42&lt;&gt;$B43,VLOOKUP($B42,Artlista_alla,4,FALSE)&gt;0))</formula>
    </cfRule>
  </conditionalFormatting>
  <conditionalFormatting sqref="D42">
    <cfRule type="expression" dxfId="157" priority="653" stopIfTrue="1">
      <formula>AND($C42&lt;&gt;"",$B41=$B$26)</formula>
    </cfRule>
    <cfRule type="expression" dxfId="156" priority="654" stopIfTrue="1">
      <formula>$C42="Totalt:"</formula>
    </cfRule>
    <cfRule type="expression" dxfId="155" priority="655" stopIfTrue="1">
      <formula>AND($C42&lt;&gt;"",$B41&lt;&gt;$B$26,$C43&lt;&gt;"Totalt:")</formula>
    </cfRule>
    <cfRule type="expression" dxfId="154" priority="656" stopIfTrue="1">
      <formula>AND($C42&lt;&gt;"",$B41&lt;&gt;$B$26,$C43="Totalt:")</formula>
    </cfRule>
    <cfRule type="expression" dxfId="153" priority="657" stopIfTrue="1">
      <formula>$C42=""</formula>
    </cfRule>
  </conditionalFormatting>
  <conditionalFormatting sqref="N43">
    <cfRule type="expression" dxfId="152" priority="593">
      <formula>AND($B43&lt;&gt;"",$B43&lt;&gt;$B42,$B43&lt;&gt;$B44,VLOOKUP($B43,Artlista_alla,4,FALSE)&gt;0)</formula>
    </cfRule>
    <cfRule type="expression" dxfId="151" priority="597">
      <formula>$N43&lt;&gt;""</formula>
    </cfRule>
    <cfRule type="expression" dxfId="150" priority="598" stopIfTrue="1">
      <formula>$C44="Totalt:"</formula>
    </cfRule>
    <cfRule type="expression" dxfId="149" priority="599" stopIfTrue="1">
      <formula>$C43="Totalt:"</formula>
    </cfRule>
    <cfRule type="expression" dxfId="148" priority="600" stopIfTrue="1">
      <formula>$C43=""</formula>
    </cfRule>
    <cfRule type="expression" dxfId="147" priority="601" stopIfTrue="1">
      <formula>$C43&lt;&gt;""</formula>
    </cfRule>
  </conditionalFormatting>
  <conditionalFormatting sqref="I43">
    <cfRule type="expression" dxfId="146" priority="582" stopIfTrue="1">
      <formula>AND($C43&lt;&gt;"",$B42=$B$26)</formula>
    </cfRule>
    <cfRule type="expression" dxfId="145" priority="583" stopIfTrue="1">
      <formula>$C43="Totalt:"</formula>
    </cfRule>
    <cfRule type="expression" dxfId="144" priority="584" stopIfTrue="1">
      <formula>AND($C43&lt;&gt;"",$B42&lt;&gt;$B$26,$C44&lt;&gt;"Totalt:")</formula>
    </cfRule>
    <cfRule type="expression" dxfId="143" priority="585" stopIfTrue="1">
      <formula>AND($C43&lt;&gt;"",$B42&lt;&gt;$B$26,$C44="Totalt:")</formula>
    </cfRule>
    <cfRule type="expression" dxfId="142" priority="586" stopIfTrue="1">
      <formula>$C43=""</formula>
    </cfRule>
  </conditionalFormatting>
  <conditionalFormatting sqref="I43">
    <cfRule type="expression" dxfId="141" priority="581">
      <formula>OR($A43&lt;&gt;"",AND($B43&lt;&gt;"",$B43&lt;&gt;$B42,$B43&lt;&gt;$B44,VLOOKUP($B43,Artlista_alla,4,FALSE)&gt;0))</formula>
    </cfRule>
  </conditionalFormatting>
  <conditionalFormatting sqref="D43">
    <cfRule type="expression" dxfId="140" priority="576" stopIfTrue="1">
      <formula>AND($C43&lt;&gt;"",$B42=$B$26)</formula>
    </cfRule>
    <cfRule type="expression" dxfId="139" priority="577" stopIfTrue="1">
      <formula>$C43="Totalt:"</formula>
    </cfRule>
    <cfRule type="expression" dxfId="138" priority="578" stopIfTrue="1">
      <formula>AND($C43&lt;&gt;"",$B42&lt;&gt;$B$26,$C44&lt;&gt;"Totalt:")</formula>
    </cfRule>
    <cfRule type="expression" dxfId="137" priority="579" stopIfTrue="1">
      <formula>AND($C43&lt;&gt;"",$B42&lt;&gt;$B$26,$C44="Totalt:")</formula>
    </cfRule>
    <cfRule type="expression" dxfId="136" priority="580" stopIfTrue="1">
      <formula>$C43=""</formula>
    </cfRule>
  </conditionalFormatting>
  <conditionalFormatting sqref="N44">
    <cfRule type="expression" dxfId="135" priority="516">
      <formula>AND($B44&lt;&gt;"",$B44&lt;&gt;$B43,$B44&lt;&gt;$B45,VLOOKUP($B44,Artlista_alla,4,FALSE)&gt;0)</formula>
    </cfRule>
    <cfRule type="expression" dxfId="134" priority="520">
      <formula>$N44&lt;&gt;""</formula>
    </cfRule>
    <cfRule type="expression" dxfId="133" priority="521" stopIfTrue="1">
      <formula>$C45="Totalt:"</formula>
    </cfRule>
    <cfRule type="expression" dxfId="132" priority="522" stopIfTrue="1">
      <formula>$C44="Totalt:"</formula>
    </cfRule>
    <cfRule type="expression" dxfId="131" priority="523" stopIfTrue="1">
      <formula>$C44=""</formula>
    </cfRule>
    <cfRule type="expression" dxfId="130" priority="524" stopIfTrue="1">
      <formula>$C44&lt;&gt;""</formula>
    </cfRule>
  </conditionalFormatting>
  <conditionalFormatting sqref="I44">
    <cfRule type="expression" dxfId="129" priority="505" stopIfTrue="1">
      <formula>AND($C44&lt;&gt;"",$B43=$B$26)</formula>
    </cfRule>
    <cfRule type="expression" dxfId="128" priority="506" stopIfTrue="1">
      <formula>$C44="Totalt:"</formula>
    </cfRule>
    <cfRule type="expression" dxfId="127" priority="507" stopIfTrue="1">
      <formula>AND($C44&lt;&gt;"",$B43&lt;&gt;$B$26,$C45&lt;&gt;"Totalt:")</formula>
    </cfRule>
    <cfRule type="expression" dxfId="126" priority="508" stopIfTrue="1">
      <formula>AND($C44&lt;&gt;"",$B43&lt;&gt;$B$26,$C45="Totalt:")</formula>
    </cfRule>
    <cfRule type="expression" dxfId="125" priority="509" stopIfTrue="1">
      <formula>$C44=""</formula>
    </cfRule>
  </conditionalFormatting>
  <conditionalFormatting sqref="I44">
    <cfRule type="expression" dxfId="124" priority="504">
      <formula>OR($A44&lt;&gt;"",AND($B44&lt;&gt;"",$B44&lt;&gt;$B43,$B44&lt;&gt;$B45,VLOOKUP($B44,Artlista_alla,4,FALSE)&gt;0))</formula>
    </cfRule>
  </conditionalFormatting>
  <conditionalFormatting sqref="D44">
    <cfRule type="expression" dxfId="123" priority="499" stopIfTrue="1">
      <formula>AND($C44&lt;&gt;"",$B43=$B$26)</formula>
    </cfRule>
    <cfRule type="expression" dxfId="122" priority="500" stopIfTrue="1">
      <formula>$C44="Totalt:"</formula>
    </cfRule>
    <cfRule type="expression" dxfId="121" priority="501" stopIfTrue="1">
      <formula>AND($C44&lt;&gt;"",$B43&lt;&gt;$B$26,$C45&lt;&gt;"Totalt:")</formula>
    </cfRule>
    <cfRule type="expression" dxfId="120" priority="502" stopIfTrue="1">
      <formula>AND($C44&lt;&gt;"",$B43&lt;&gt;$B$26,$C45="Totalt:")</formula>
    </cfRule>
    <cfRule type="expression" dxfId="119" priority="503" stopIfTrue="1">
      <formula>$C44=""</formula>
    </cfRule>
  </conditionalFormatting>
  <conditionalFormatting sqref="N45">
    <cfRule type="expression" dxfId="118" priority="439">
      <formula>AND($B45&lt;&gt;"",$B45&lt;&gt;$B44,$B45&lt;&gt;$B46,VLOOKUP($B45,Artlista_alla,4,FALSE)&gt;0)</formula>
    </cfRule>
    <cfRule type="expression" dxfId="117" priority="443">
      <formula>$N45&lt;&gt;""</formula>
    </cfRule>
    <cfRule type="expression" dxfId="116" priority="444" stopIfTrue="1">
      <formula>$C46="Totalt:"</formula>
    </cfRule>
    <cfRule type="expression" dxfId="115" priority="445" stopIfTrue="1">
      <formula>$C45="Totalt:"</formula>
    </cfRule>
    <cfRule type="expression" dxfId="114" priority="446" stopIfTrue="1">
      <formula>$C45=""</formula>
    </cfRule>
    <cfRule type="expression" dxfId="113" priority="447" stopIfTrue="1">
      <formula>$C45&lt;&gt;""</formula>
    </cfRule>
  </conditionalFormatting>
  <conditionalFormatting sqref="I45">
    <cfRule type="expression" dxfId="112" priority="428" stopIfTrue="1">
      <formula>AND($C45&lt;&gt;"",$B44=$B$26)</formula>
    </cfRule>
    <cfRule type="expression" dxfId="111" priority="429" stopIfTrue="1">
      <formula>$C45="Totalt:"</formula>
    </cfRule>
    <cfRule type="expression" dxfId="110" priority="430" stopIfTrue="1">
      <formula>AND($C45&lt;&gt;"",$B44&lt;&gt;$B$26,$C46&lt;&gt;"Totalt:")</formula>
    </cfRule>
    <cfRule type="expression" dxfId="109" priority="431" stopIfTrue="1">
      <formula>AND($C45&lt;&gt;"",$B44&lt;&gt;$B$26,$C46="Totalt:")</formula>
    </cfRule>
    <cfRule type="expression" dxfId="108" priority="432" stopIfTrue="1">
      <formula>$C45=""</formula>
    </cfRule>
  </conditionalFormatting>
  <conditionalFormatting sqref="I45">
    <cfRule type="expression" dxfId="107" priority="427">
      <formula>OR($A45&lt;&gt;"",AND($B45&lt;&gt;"",$B45&lt;&gt;$B44,$B45&lt;&gt;$B46,VLOOKUP($B45,Artlista_alla,4,FALSE)&gt;0))</formula>
    </cfRule>
  </conditionalFormatting>
  <conditionalFormatting sqref="D45">
    <cfRule type="expression" dxfId="106" priority="422" stopIfTrue="1">
      <formula>AND($C45&lt;&gt;"",$B44=$B$26)</formula>
    </cfRule>
    <cfRule type="expression" dxfId="105" priority="423" stopIfTrue="1">
      <formula>$C45="Totalt:"</formula>
    </cfRule>
    <cfRule type="expression" dxfId="104" priority="424" stopIfTrue="1">
      <formula>AND($C45&lt;&gt;"",$B44&lt;&gt;$B$26,$C46&lt;&gt;"Totalt:")</formula>
    </cfRule>
    <cfRule type="expression" dxfId="103" priority="425" stopIfTrue="1">
      <formula>AND($C45&lt;&gt;"",$B44&lt;&gt;$B$26,$C46="Totalt:")</formula>
    </cfRule>
    <cfRule type="expression" dxfId="102" priority="426" stopIfTrue="1">
      <formula>$C45=""</formula>
    </cfRule>
  </conditionalFormatting>
  <conditionalFormatting sqref="N46">
    <cfRule type="expression" dxfId="101" priority="362">
      <formula>AND($B46&lt;&gt;"",$B46&lt;&gt;$B45,$B46&lt;&gt;$B47,VLOOKUP($B46,Artlista_alla,4,FALSE)&gt;0)</formula>
    </cfRule>
    <cfRule type="expression" dxfId="100" priority="366">
      <formula>$N46&lt;&gt;""</formula>
    </cfRule>
    <cfRule type="expression" dxfId="99" priority="367" stopIfTrue="1">
      <formula>$C47="Totalt:"</formula>
    </cfRule>
    <cfRule type="expression" dxfId="98" priority="368" stopIfTrue="1">
      <formula>$C46="Totalt:"</formula>
    </cfRule>
    <cfRule type="expression" dxfId="97" priority="369" stopIfTrue="1">
      <formula>$C46=""</formula>
    </cfRule>
    <cfRule type="expression" dxfId="96" priority="370" stopIfTrue="1">
      <formula>$C46&lt;&gt;""</formula>
    </cfRule>
  </conditionalFormatting>
  <conditionalFormatting sqref="I46">
    <cfRule type="expression" dxfId="95" priority="351" stopIfTrue="1">
      <formula>AND($C46&lt;&gt;"",$B45=$B$26)</formula>
    </cfRule>
    <cfRule type="expression" dxfId="94" priority="352" stopIfTrue="1">
      <formula>$C46="Totalt:"</formula>
    </cfRule>
    <cfRule type="expression" dxfId="93" priority="353" stopIfTrue="1">
      <formula>AND($C46&lt;&gt;"",$B45&lt;&gt;$B$26,$C47&lt;&gt;"Totalt:")</formula>
    </cfRule>
    <cfRule type="expression" dxfId="92" priority="354" stopIfTrue="1">
      <formula>AND($C46&lt;&gt;"",$B45&lt;&gt;$B$26,$C47="Totalt:")</formula>
    </cfRule>
    <cfRule type="expression" dxfId="91" priority="355" stopIfTrue="1">
      <formula>$C46=""</formula>
    </cfRule>
  </conditionalFormatting>
  <conditionalFormatting sqref="I46">
    <cfRule type="expression" dxfId="90" priority="350">
      <formula>OR($A46&lt;&gt;"",AND($B46&lt;&gt;"",$B46&lt;&gt;$B45,$B46&lt;&gt;$B47,VLOOKUP($B46,Artlista_alla,4,FALSE)&gt;0))</formula>
    </cfRule>
  </conditionalFormatting>
  <conditionalFormatting sqref="D46">
    <cfRule type="expression" dxfId="89" priority="345" stopIfTrue="1">
      <formula>AND($C46&lt;&gt;"",$B45=$B$26)</formula>
    </cfRule>
    <cfRule type="expression" dxfId="88" priority="346" stopIfTrue="1">
      <formula>$C46="Totalt:"</formula>
    </cfRule>
    <cfRule type="expression" dxfId="87" priority="347" stopIfTrue="1">
      <formula>AND($C46&lt;&gt;"",$B45&lt;&gt;$B$26,$C47&lt;&gt;"Totalt:")</formula>
    </cfRule>
    <cfRule type="expression" dxfId="86" priority="348" stopIfTrue="1">
      <formula>AND($C46&lt;&gt;"",$B45&lt;&gt;$B$26,$C47="Totalt:")</formula>
    </cfRule>
    <cfRule type="expression" dxfId="85" priority="349" stopIfTrue="1">
      <formula>$C46=""</formula>
    </cfRule>
  </conditionalFormatting>
  <conditionalFormatting sqref="N47">
    <cfRule type="expression" dxfId="84" priority="285">
      <formula>AND($B47&lt;&gt;"",$B47&lt;&gt;$B46,$B47&lt;&gt;$B48,VLOOKUP($B47,Artlista_alla,4,FALSE)&gt;0)</formula>
    </cfRule>
    <cfRule type="expression" dxfId="83" priority="289">
      <formula>$N47&lt;&gt;""</formula>
    </cfRule>
    <cfRule type="expression" dxfId="82" priority="290" stopIfTrue="1">
      <formula>$C48="Totalt:"</formula>
    </cfRule>
    <cfRule type="expression" dxfId="81" priority="291" stopIfTrue="1">
      <formula>$C47="Totalt:"</formula>
    </cfRule>
    <cfRule type="expression" dxfId="80" priority="292" stopIfTrue="1">
      <formula>$C47=""</formula>
    </cfRule>
    <cfRule type="expression" dxfId="79" priority="293" stopIfTrue="1">
      <formula>$C47&lt;&gt;""</formula>
    </cfRule>
  </conditionalFormatting>
  <conditionalFormatting sqref="I47">
    <cfRule type="expression" dxfId="78" priority="274" stopIfTrue="1">
      <formula>AND($C47&lt;&gt;"",$B46=$B$26)</formula>
    </cfRule>
    <cfRule type="expression" dxfId="77" priority="275" stopIfTrue="1">
      <formula>$C47="Totalt:"</formula>
    </cfRule>
    <cfRule type="expression" dxfId="76" priority="276" stopIfTrue="1">
      <formula>AND($C47&lt;&gt;"",$B46&lt;&gt;$B$26,$C48&lt;&gt;"Totalt:")</formula>
    </cfRule>
    <cfRule type="expression" dxfId="75" priority="277" stopIfTrue="1">
      <formula>AND($C47&lt;&gt;"",$B46&lt;&gt;$B$26,$C48="Totalt:")</formula>
    </cfRule>
    <cfRule type="expression" dxfId="74" priority="278" stopIfTrue="1">
      <formula>$C47=""</formula>
    </cfRule>
  </conditionalFormatting>
  <conditionalFormatting sqref="I47">
    <cfRule type="expression" dxfId="73" priority="273">
      <formula>OR($A47&lt;&gt;"",AND($B47&lt;&gt;"",$B47&lt;&gt;$B46,$B47&lt;&gt;$B48,VLOOKUP($B47,Artlista_alla,4,FALSE)&gt;0))</formula>
    </cfRule>
  </conditionalFormatting>
  <conditionalFormatting sqref="D47">
    <cfRule type="expression" dxfId="72" priority="268" stopIfTrue="1">
      <formula>AND($C47&lt;&gt;"",$B46=$B$26)</formula>
    </cfRule>
    <cfRule type="expression" dxfId="71" priority="269" stopIfTrue="1">
      <formula>$C47="Totalt:"</formula>
    </cfRule>
    <cfRule type="expression" dxfId="70" priority="270" stopIfTrue="1">
      <formula>AND($C47&lt;&gt;"",$B46&lt;&gt;$B$26,$C48&lt;&gt;"Totalt:")</formula>
    </cfRule>
    <cfRule type="expression" dxfId="69" priority="271" stopIfTrue="1">
      <formula>AND($C47&lt;&gt;"",$B46&lt;&gt;$B$26,$C48="Totalt:")</formula>
    </cfRule>
    <cfRule type="expression" dxfId="68" priority="272" stopIfTrue="1">
      <formula>$C47=""</formula>
    </cfRule>
  </conditionalFormatting>
  <conditionalFormatting sqref="N48">
    <cfRule type="expression" dxfId="67" priority="208">
      <formula>AND($B48&lt;&gt;"",$B48&lt;&gt;$B47,$B48&lt;&gt;$B49,VLOOKUP($B48,Artlista_alla,4,FALSE)&gt;0)</formula>
    </cfRule>
    <cfRule type="expression" dxfId="66" priority="212">
      <formula>$N48&lt;&gt;""</formula>
    </cfRule>
    <cfRule type="expression" dxfId="65" priority="213" stopIfTrue="1">
      <formula>$C49="Totalt:"</formula>
    </cfRule>
    <cfRule type="expression" dxfId="64" priority="214" stopIfTrue="1">
      <formula>$C48="Totalt:"</formula>
    </cfRule>
    <cfRule type="expression" dxfId="63" priority="215" stopIfTrue="1">
      <formula>$C48=""</formula>
    </cfRule>
    <cfRule type="expression" dxfId="62" priority="216" stopIfTrue="1">
      <formula>$C48&lt;&gt;""</formula>
    </cfRule>
  </conditionalFormatting>
  <conditionalFormatting sqref="I48">
    <cfRule type="expression" dxfId="61" priority="197" stopIfTrue="1">
      <formula>AND($C48&lt;&gt;"",$B47=$B$26)</formula>
    </cfRule>
    <cfRule type="expression" dxfId="60" priority="198" stopIfTrue="1">
      <formula>$C48="Totalt:"</formula>
    </cfRule>
    <cfRule type="expression" dxfId="59" priority="199" stopIfTrue="1">
      <formula>AND($C48&lt;&gt;"",$B47&lt;&gt;$B$26,$C49&lt;&gt;"Totalt:")</formula>
    </cfRule>
    <cfRule type="expression" dxfId="58" priority="200" stopIfTrue="1">
      <formula>AND($C48&lt;&gt;"",$B47&lt;&gt;$B$26,$C49="Totalt:")</formula>
    </cfRule>
    <cfRule type="expression" dxfId="57" priority="201" stopIfTrue="1">
      <formula>$C48=""</formula>
    </cfRule>
  </conditionalFormatting>
  <conditionalFormatting sqref="I48">
    <cfRule type="expression" dxfId="56" priority="196">
      <formula>OR($A48&lt;&gt;"",AND($B48&lt;&gt;"",$B48&lt;&gt;$B47,$B48&lt;&gt;$B49,VLOOKUP($B48,Artlista_alla,4,FALSE)&gt;0))</formula>
    </cfRule>
  </conditionalFormatting>
  <conditionalFormatting sqref="D48">
    <cfRule type="expression" dxfId="55" priority="191" stopIfTrue="1">
      <formula>AND($C48&lt;&gt;"",$B47=$B$26)</formula>
    </cfRule>
    <cfRule type="expression" dxfId="54" priority="192" stopIfTrue="1">
      <formula>$C48="Totalt:"</formula>
    </cfRule>
    <cfRule type="expression" dxfId="53" priority="193" stopIfTrue="1">
      <formula>AND($C48&lt;&gt;"",$B47&lt;&gt;$B$26,$C49&lt;&gt;"Totalt:")</formula>
    </cfRule>
    <cfRule type="expression" dxfId="52" priority="194" stopIfTrue="1">
      <formula>AND($C48&lt;&gt;"",$B47&lt;&gt;$B$26,$C49="Totalt:")</formula>
    </cfRule>
    <cfRule type="expression" dxfId="51" priority="195" stopIfTrue="1">
      <formula>$C48=""</formula>
    </cfRule>
  </conditionalFormatting>
  <conditionalFormatting sqref="N49">
    <cfRule type="expression" dxfId="50" priority="131">
      <formula>AND($B49&lt;&gt;"",$B49&lt;&gt;$B48,$B49&lt;&gt;$B50,VLOOKUP($B49,Artlista_alla,4,FALSE)&gt;0)</formula>
    </cfRule>
    <cfRule type="expression" dxfId="49" priority="135">
      <formula>$N49&lt;&gt;""</formula>
    </cfRule>
    <cfRule type="expression" dxfId="48" priority="136" stopIfTrue="1">
      <formula>$C50="Totalt:"</formula>
    </cfRule>
    <cfRule type="expression" dxfId="47" priority="137" stopIfTrue="1">
      <formula>$C49="Totalt:"</formula>
    </cfRule>
    <cfRule type="expression" dxfId="46" priority="138" stopIfTrue="1">
      <formula>$C49=""</formula>
    </cfRule>
    <cfRule type="expression" dxfId="45" priority="139" stopIfTrue="1">
      <formula>$C49&lt;&gt;""</formula>
    </cfRule>
  </conditionalFormatting>
  <conditionalFormatting sqref="I49">
    <cfRule type="expression" dxfId="44" priority="120" stopIfTrue="1">
      <formula>AND($C49&lt;&gt;"",$B48=$B$26)</formula>
    </cfRule>
    <cfRule type="expression" dxfId="43" priority="121" stopIfTrue="1">
      <formula>$C49="Totalt:"</formula>
    </cfRule>
    <cfRule type="expression" dxfId="42" priority="122" stopIfTrue="1">
      <formula>AND($C49&lt;&gt;"",$B48&lt;&gt;$B$26,$C50&lt;&gt;"Totalt:")</formula>
    </cfRule>
    <cfRule type="expression" dxfId="41" priority="123" stopIfTrue="1">
      <formula>AND($C49&lt;&gt;"",$B48&lt;&gt;$B$26,$C50="Totalt:")</formula>
    </cfRule>
    <cfRule type="expression" dxfId="40" priority="124" stopIfTrue="1">
      <formula>$C49=""</formula>
    </cfRule>
  </conditionalFormatting>
  <conditionalFormatting sqref="I49">
    <cfRule type="expression" dxfId="39" priority="119">
      <formula>OR($A49&lt;&gt;"",AND($B49&lt;&gt;"",$B49&lt;&gt;$B48,$B49&lt;&gt;$B50,VLOOKUP($B49,Artlista_alla,4,FALSE)&gt;0))</formula>
    </cfRule>
  </conditionalFormatting>
  <conditionalFormatting sqref="D49">
    <cfRule type="expression" dxfId="38" priority="114" stopIfTrue="1">
      <formula>AND($C49&lt;&gt;"",$B48=$B$26)</formula>
    </cfRule>
    <cfRule type="expression" dxfId="37" priority="115" stopIfTrue="1">
      <formula>$C49="Totalt:"</formula>
    </cfRule>
    <cfRule type="expression" dxfId="36" priority="116" stopIfTrue="1">
      <formula>AND($C49&lt;&gt;"",$B48&lt;&gt;$B$26,$C50&lt;&gt;"Totalt:")</formula>
    </cfRule>
    <cfRule type="expression" dxfId="35" priority="117" stopIfTrue="1">
      <formula>AND($C49&lt;&gt;"",$B48&lt;&gt;$B$26,$C50="Totalt:")</formula>
    </cfRule>
    <cfRule type="expression" dxfId="34" priority="118" stopIfTrue="1">
      <formula>$C49=""</formula>
    </cfRule>
  </conditionalFormatting>
  <conditionalFormatting sqref="N50">
    <cfRule type="expression" dxfId="33" priority="54">
      <formula>AND($B50&lt;&gt;"",$B50&lt;&gt;$B49,$B50&lt;&gt;$B51,VLOOKUP($B50,Artlista_alla,4,FALSE)&gt;0)</formula>
    </cfRule>
    <cfRule type="expression" dxfId="32" priority="58">
      <formula>$N50&lt;&gt;""</formula>
    </cfRule>
    <cfRule type="expression" dxfId="31" priority="59" stopIfTrue="1">
      <formula>$C51="Totalt:"</formula>
    </cfRule>
    <cfRule type="expression" dxfId="30" priority="60" stopIfTrue="1">
      <formula>$C50="Totalt:"</formula>
    </cfRule>
    <cfRule type="expression" dxfId="29" priority="61" stopIfTrue="1">
      <formula>$C50=""</formula>
    </cfRule>
    <cfRule type="expression" dxfId="28" priority="62" stopIfTrue="1">
      <formula>$C50&lt;&gt;""</formula>
    </cfRule>
  </conditionalFormatting>
  <conditionalFormatting sqref="I50">
    <cfRule type="expression" dxfId="27" priority="43" stopIfTrue="1">
      <formula>AND($C50&lt;&gt;"",$B49=$B$26)</formula>
    </cfRule>
    <cfRule type="expression" dxfId="26" priority="44" stopIfTrue="1">
      <formula>$C50="Totalt:"</formula>
    </cfRule>
    <cfRule type="expression" dxfId="25" priority="45" stopIfTrue="1">
      <formula>AND($C50&lt;&gt;"",$B49&lt;&gt;$B$26,$C51&lt;&gt;"Totalt:")</formula>
    </cfRule>
    <cfRule type="expression" dxfId="24" priority="46" stopIfTrue="1">
      <formula>AND($C50&lt;&gt;"",$B49&lt;&gt;$B$26,$C51="Totalt:")</formula>
    </cfRule>
    <cfRule type="expression" dxfId="23" priority="47" stopIfTrue="1">
      <formula>$C50=""</formula>
    </cfRule>
  </conditionalFormatting>
  <conditionalFormatting sqref="I50">
    <cfRule type="expression" dxfId="22" priority="42">
      <formula>OR($A50&lt;&gt;"",AND($B50&lt;&gt;"",$B50&lt;&gt;$B49,$B50&lt;&gt;$B51,VLOOKUP($B50,Artlista_alla,4,FALSE)&gt;0))</formula>
    </cfRule>
  </conditionalFormatting>
  <conditionalFormatting sqref="D50">
    <cfRule type="expression" dxfId="21" priority="37" stopIfTrue="1">
      <formula>AND($C50&lt;&gt;"",$B49=$B$26)</formula>
    </cfRule>
    <cfRule type="expression" dxfId="20" priority="38" stopIfTrue="1">
      <formula>$C50="Totalt:"</formula>
    </cfRule>
    <cfRule type="expression" dxfId="19" priority="39" stopIfTrue="1">
      <formula>AND($C50&lt;&gt;"",$B49&lt;&gt;$B$26,$C51&lt;&gt;"Totalt:")</formula>
    </cfRule>
    <cfRule type="expression" dxfId="18" priority="40" stopIfTrue="1">
      <formula>AND($C50&lt;&gt;"",$B49&lt;&gt;$B$26,$C51="Totalt:")</formula>
    </cfRule>
    <cfRule type="expression" dxfId="17" priority="41" stopIfTrue="1">
      <formula>$C50=""</formula>
    </cfRule>
  </conditionalFormatting>
  <dataValidations count="6">
    <dataValidation type="custom" allowBlank="1" showInputMessage="1" showErrorMessage="1" sqref="N27:N50" xr:uid="{00000000-0002-0000-0400-000000000000}">
      <formula1>AND(ISNUMBER(N27),N27&gt;0,N27&lt;=1,G27&gt;0)</formula1>
    </dataValidation>
    <dataValidation type="list" showInputMessage="1" showErrorMessage="1" sqref="B1" xr:uid="{00000000-0002-0000-0400-000001000000}">
      <formula1>FångadeArter</formula1>
    </dataValidation>
    <dataValidation type="custom" allowBlank="1" showInputMessage="1" showErrorMessage="1" errorTitle="Otillåten inmatning!" error="Endast heltal får anges._x000a__x000a_Exempel:_x000a_6_x000a_51_x000a_70" sqref="B2" xr:uid="{00000000-0002-0000-0400-000002000000}">
      <formula1>AND(ISNUMBER(B2),INT(B2)=B2)</formula1>
    </dataValidation>
    <dataValidation type="custom" allowBlank="1" showInputMessage="1" showErrorMessage="1" errorTitle="Otillåten inmatning!" error="Endast heltal får anges._x000a__x000a_Exempel:_x000a_1_x000a_3_x000a_5_x000a_10" sqref="B3" xr:uid="{00000000-0002-0000-0400-000003000000}">
      <formula1>AND(ISNUMBER(B3),INT(B3)=B3)</formula1>
    </dataValidation>
    <dataValidation type="custom" allowBlank="1" showInputMessage="1" showErrorMessage="1" errorTitle="Otillåten inmatning!" error="Endast värdena som listas nedan får anges:_x000a__x000a_20_x000a_50_x000a_100_x000a_200_x000a_, eller värden som är större än 200" sqref="B4" xr:uid="{00000000-0002-0000-0400-000004000000}">
      <formula1>AND(ISNUMBER(B4),INT(B4)=B4,OR(B4=10,B4=20,B4=50,B4=100,B4&gt;100))</formula1>
    </dataValidation>
    <dataValidation type="custom" showInputMessage="1" showErrorMessage="1" errorTitle="Otillåten inmatning!" error="Värde får endast anges om:_x000a_- Fältet är ljusblått och_x000a_- vald art (C3) ärsamma art som i fältet till vänster och_x000a_- Arten är en laxfisk (öring, röding, lax, harr, bäckröding, sik, etc)" sqref="K11:K22" xr:uid="{00000000-0002-0000-0400-000005000000}">
      <formula1>AND(B$1=J11,VLOOKUP(I11,Artlista_alla,4,FALSE)&gt;0,B$1&lt;&gt;"",OR(ISNUMBER(K11),LEFT(K11,1)="&lt;",K11="x"))</formula1>
    </dataValidation>
  </dataValidations>
  <pageMargins left="0.43307086614173229" right="0.35433070866141736" top="0.74803149606299213" bottom="0.74803149606299213" header="0.31496062992125984" footer="0.31496062992125984"/>
  <pageSetup paperSize="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336"/>
  <sheetViews>
    <sheetView workbookViewId="0"/>
  </sheetViews>
  <sheetFormatPr defaultRowHeight="13.2" x14ac:dyDescent="0.25"/>
  <cols>
    <col min="1" max="1" width="12.109375" bestFit="1" customWidth="1"/>
    <col min="2" max="3" width="11.5546875" bestFit="1" customWidth="1"/>
    <col min="4" max="4" width="10.5546875" bestFit="1" customWidth="1"/>
    <col min="5" max="5" width="11.6640625" bestFit="1" customWidth="1"/>
    <col min="6" max="6" width="11.5546875" bestFit="1" customWidth="1"/>
    <col min="7" max="9" width="11.44140625" bestFit="1" customWidth="1"/>
    <col min="10" max="10" width="11.5546875" bestFit="1" customWidth="1"/>
    <col min="11" max="11" width="12.33203125" bestFit="1" customWidth="1"/>
    <col min="12" max="12" width="10.88671875" bestFit="1" customWidth="1"/>
    <col min="13" max="13" width="11.5546875" bestFit="1" customWidth="1"/>
    <col min="14" max="14" width="11.109375" bestFit="1" customWidth="1"/>
    <col min="15" max="15" width="11" bestFit="1" customWidth="1"/>
    <col min="16" max="16" width="10.109375" bestFit="1" customWidth="1"/>
    <col min="17" max="17" width="13.5546875" customWidth="1"/>
    <col min="18" max="19" width="11.33203125" bestFit="1" customWidth="1"/>
    <col min="20" max="20" width="11" bestFit="1" customWidth="1"/>
    <col min="21" max="21" width="9.88671875" bestFit="1" customWidth="1"/>
    <col min="22" max="22" width="10" bestFit="1" customWidth="1"/>
    <col min="23" max="23" width="10.88671875" bestFit="1" customWidth="1"/>
    <col min="24" max="24" width="11" bestFit="1" customWidth="1"/>
    <col min="25" max="25" width="9.88671875" bestFit="1" customWidth="1"/>
    <col min="26" max="27" width="9.5546875" bestFit="1" customWidth="1"/>
    <col min="28" max="28" width="10.109375" bestFit="1" customWidth="1"/>
    <col min="29" max="29" width="10.88671875" bestFit="1" customWidth="1"/>
    <col min="30" max="30" width="10.5546875" bestFit="1" customWidth="1"/>
    <col min="31" max="31" width="10.88671875" bestFit="1" customWidth="1"/>
    <col min="32" max="32" width="11.88671875" bestFit="1" customWidth="1"/>
    <col min="33" max="33" width="11.6640625" bestFit="1" customWidth="1"/>
    <col min="34" max="34" width="9.6640625" bestFit="1" customWidth="1"/>
    <col min="35" max="35" width="10.5546875" bestFit="1" customWidth="1"/>
    <col min="36" max="37" width="10" bestFit="1" customWidth="1"/>
    <col min="38" max="38" width="11.44140625" bestFit="1" customWidth="1"/>
    <col min="39" max="39" width="10.33203125" bestFit="1" customWidth="1"/>
    <col min="40" max="40" width="10.44140625" bestFit="1" customWidth="1"/>
    <col min="41" max="41" width="10.5546875" bestFit="1" customWidth="1"/>
    <col min="42" max="43" width="11.109375" bestFit="1" customWidth="1"/>
    <col min="44" max="45" width="11" bestFit="1" customWidth="1"/>
    <col min="46" max="46" width="10.88671875" bestFit="1" customWidth="1"/>
    <col min="47" max="52" width="10.6640625" bestFit="1" customWidth="1"/>
    <col min="53" max="53" width="10.88671875" customWidth="1"/>
    <col min="54" max="54" width="16.33203125" customWidth="1"/>
    <col min="55" max="55" width="6.88671875" bestFit="1" customWidth="1"/>
  </cols>
  <sheetData>
    <row r="1" spans="1:58" x14ac:dyDescent="0.25">
      <c r="A1" s="6" t="s">
        <v>650</v>
      </c>
      <c r="B1" s="115"/>
      <c r="C1" s="115"/>
      <c r="D1" s="115"/>
      <c r="E1" s="115"/>
      <c r="F1" s="115"/>
      <c r="G1" s="115"/>
      <c r="H1" s="115"/>
      <c r="I1" s="115"/>
      <c r="J1" s="115"/>
      <c r="K1" s="115"/>
      <c r="L1" s="115"/>
      <c r="M1" s="115"/>
      <c r="N1" s="115"/>
      <c r="O1" s="115"/>
      <c r="P1" s="115"/>
      <c r="Q1" s="115"/>
      <c r="R1" s="115"/>
      <c r="S1" s="115"/>
      <c r="T1" s="115"/>
    </row>
    <row r="2" spans="1:58" x14ac:dyDescent="0.25">
      <c r="A2" s="22"/>
      <c r="B2" s="3" t="s">
        <v>485</v>
      </c>
      <c r="C2" s="3" t="s">
        <v>486</v>
      </c>
      <c r="D2" s="3" t="s">
        <v>478</v>
      </c>
      <c r="E2" s="3" t="s">
        <v>654</v>
      </c>
      <c r="F2" s="3" t="s">
        <v>655</v>
      </c>
      <c r="G2" s="3" t="s">
        <v>656</v>
      </c>
      <c r="H2" s="3" t="s">
        <v>657</v>
      </c>
      <c r="I2" s="3" t="s">
        <v>479</v>
      </c>
      <c r="J2" s="3" t="s">
        <v>644</v>
      </c>
      <c r="K2" s="3" t="s">
        <v>645</v>
      </c>
      <c r="L2" s="3" t="s">
        <v>480</v>
      </c>
      <c r="M2" s="3" t="s">
        <v>658</v>
      </c>
      <c r="N2" s="3" t="s">
        <v>659</v>
      </c>
      <c r="O2" s="3" t="s">
        <v>481</v>
      </c>
      <c r="P2" s="3" t="s">
        <v>482</v>
      </c>
      <c r="Q2" s="3" t="s">
        <v>483</v>
      </c>
      <c r="R2" s="3" t="s">
        <v>484</v>
      </c>
      <c r="S2" s="3" t="s">
        <v>871</v>
      </c>
      <c r="T2" s="3" t="s">
        <v>64</v>
      </c>
    </row>
    <row r="3" spans="1:58" x14ac:dyDescent="0.25">
      <c r="A3" s="2" t="str">
        <f>IF(J3&lt;&gt;"","LOKALER","")</f>
        <v>LOKALER</v>
      </c>
      <c r="B3" s="2">
        <f>IF(Protokoll!Y3&lt;&gt;"",Protokoll!Y3,-9)</f>
        <v>13</v>
      </c>
      <c r="C3" s="2" t="str">
        <f>IF(Protokoll!$X$5&lt;&gt;"",IF(LEN(Protokoll!$X$5)&gt;6,VLOOKUP(Protokoll!$X$5,Beräkningshjälp!U$64:V$295,2,FALSE),Protokoll!$X$5),"")</f>
        <v>103104</v>
      </c>
      <c r="D3" s="2" t="str">
        <f>IF(Protokoll!X6&lt;&gt;"",UPPER(Protokoll!X6),"")</f>
        <v/>
      </c>
      <c r="E3" s="2" t="str">
        <f>IF(Protokoll!H3&lt;&gt;"",UPPER(LEFT(Protokoll!H3,20)),"")</f>
        <v>TÖRLAN</v>
      </c>
      <c r="F3" s="2">
        <f>IF(Protokoll!I5&lt;&gt;"",IF(LEN(Protokoll!I5)=7,ROUND(Protokoll!I5/10,0),Protokoll!I5*1),-9)</f>
        <v>632502</v>
      </c>
      <c r="G3" s="2">
        <f>IF(Protokoll!N5&lt;&gt;"",IF(LEN(Protokoll!N5)=7,ROUND(Protokoll!N5/10,0),Protokoll!N5*1),-9)</f>
        <v>129020</v>
      </c>
      <c r="H3" s="2" t="str">
        <f>IF(Protokoll!F7&lt;&gt;"",UPPER(LEFT(Protokoll!F7,20)),"")</f>
        <v>OVAN BRO MOT BORRÅS</v>
      </c>
      <c r="I3" s="2" t="str">
        <f>IF(Protokoll!S7&lt;&gt;"",UPPER(Protokoll!S7),"")</f>
        <v/>
      </c>
      <c r="J3" s="2">
        <f>IF(Protokoll!I6&lt;&gt;"",IF(AND(LEN(Protokoll!I6)=6,LEN(Protokoll!N6)=6),Protokoll!I6*1,IF(LEN(Protokoll!N6)&lt;&gt;LEN(Protokoll!I6),Protokoll!I6*1,LEFT(Protokoll!I6,6)*1)),-9)</f>
        <v>632588</v>
      </c>
      <c r="K3" s="2">
        <f>IF(Protokoll!N6&lt;&gt;"",IF(AND(LEN(Protokoll!I6)=6,LEN(Protokoll!N6)=6),Protokoll!N6*1,IF(LEN(Protokoll!I6)&lt;&gt;LEN(Protokoll!N6),Protokoll!N6*1,LEFT(Protokoll!N6,6)*1)),-9)</f>
        <v>129478</v>
      </c>
      <c r="L3" s="2">
        <f>IF(Protokoll!Y7&lt;&gt;"",ROUND(Protokoll!Y7,0),-9)</f>
        <v>-9</v>
      </c>
      <c r="M3" s="2" t="str">
        <f>IF(Protokoll!AC54&lt;&gt;"","&gt;1000",IF(Protokoll!W54&lt;&gt;"","&lt;1000",IF(Protokoll!S54&lt;&gt;"","&lt;100",IF(Protokoll!O54&lt;&gt;"","&lt;10",""))))</f>
        <v>&lt;1000</v>
      </c>
      <c r="N3" s="2" t="str">
        <f>IF(Protokoll!AC55&lt;&gt;"","&gt;10",IF(Protokoll!W55&lt;&gt;"","&lt;10",IF(Protokoll!S55&lt;&gt;"","&lt;05",IF(Protokoll!O55&lt;&gt;"","&lt;01",""))))</f>
        <v/>
      </c>
      <c r="O3" s="142">
        <f>IF(Protokoll!K53&lt;&gt;"",IF(COUNT(Protokoll!K53)&gt;0,IF(Protokoll!K53&gt;10,10,ROUND(Protokoll!K53,1)),10),-9)</f>
        <v>10</v>
      </c>
      <c r="P3" s="142">
        <f>IF(Protokoll!X53&lt;&gt;"",IF(Protokoll!X53&gt;10,10,ROUND(Protokoll!X53,1)),-9)</f>
        <v>-9</v>
      </c>
      <c r="Q3" s="2">
        <f>IF(Protokoll!P4&lt;&gt;"",Protokoll!P4,-9)</f>
        <v>1383</v>
      </c>
      <c r="R3" s="2" t="str">
        <f>IF(Protokoll!E4&lt;&gt;"",UPPER(Protokoll!E4),"")</f>
        <v>VARBERG</v>
      </c>
      <c r="S3" s="2" t="str">
        <f>IF(Protokoll!AC1&lt;&gt;"",UPPER(Protokoll!AC1),"")</f>
        <v>5B NO</v>
      </c>
      <c r="T3" s="2"/>
    </row>
    <row r="5" spans="1:58" x14ac:dyDescent="0.25">
      <c r="B5" s="115"/>
      <c r="C5" s="115"/>
      <c r="D5" s="115"/>
      <c r="E5" s="115"/>
      <c r="F5" s="115"/>
      <c r="I5" s="115"/>
      <c r="K5" s="115"/>
      <c r="L5" s="115"/>
      <c r="M5" s="115"/>
      <c r="N5" s="115"/>
      <c r="O5" s="115"/>
      <c r="P5" s="115"/>
      <c r="Q5" s="115"/>
      <c r="R5" s="115"/>
      <c r="S5" s="115"/>
      <c r="T5" s="115"/>
      <c r="U5" s="115"/>
      <c r="V5" s="115"/>
      <c r="W5" s="115"/>
      <c r="X5" s="115"/>
      <c r="Y5" s="115"/>
      <c r="Z5" s="115"/>
      <c r="AA5" s="115"/>
      <c r="AB5" s="115"/>
      <c r="AC5" s="115"/>
      <c r="AD5" s="115"/>
      <c r="AE5" s="115"/>
      <c r="AF5" s="115"/>
      <c r="AG5" s="115"/>
      <c r="AI5" s="115"/>
      <c r="AJ5" s="115"/>
      <c r="AK5" s="115"/>
      <c r="AL5" s="115"/>
      <c r="AM5" s="115"/>
      <c r="AN5" s="115"/>
      <c r="AO5" s="115"/>
      <c r="AP5" s="115"/>
      <c r="AQ5" s="115"/>
      <c r="AR5" s="115"/>
      <c r="AS5" s="115"/>
      <c r="AT5" s="115"/>
      <c r="AU5" s="115"/>
      <c r="AV5" s="115"/>
      <c r="AW5" s="115"/>
      <c r="AX5" s="115"/>
      <c r="AY5" s="115"/>
      <c r="AZ5" s="115"/>
      <c r="BB5" s="115"/>
      <c r="BC5" s="115"/>
    </row>
    <row r="6" spans="1:58" x14ac:dyDescent="0.25">
      <c r="A6" s="6" t="s">
        <v>651</v>
      </c>
      <c r="B6" s="3" t="s">
        <v>644</v>
      </c>
      <c r="C6" s="3" t="s">
        <v>645</v>
      </c>
      <c r="D6" s="3" t="s">
        <v>646</v>
      </c>
      <c r="E6" s="3" t="s">
        <v>1527</v>
      </c>
      <c r="F6" s="3" t="s">
        <v>496</v>
      </c>
      <c r="G6" s="118" t="s">
        <v>497</v>
      </c>
      <c r="H6" s="118" t="s">
        <v>500</v>
      </c>
      <c r="I6" s="118" t="s">
        <v>501</v>
      </c>
      <c r="J6" s="118" t="s">
        <v>498</v>
      </c>
      <c r="K6" s="118" t="s">
        <v>499</v>
      </c>
      <c r="L6" s="3" t="s">
        <v>648</v>
      </c>
      <c r="M6" s="3" t="s">
        <v>872</v>
      </c>
      <c r="N6" s="3" t="s">
        <v>502</v>
      </c>
      <c r="O6" s="3" t="s">
        <v>472</v>
      </c>
      <c r="P6" s="3" t="s">
        <v>660</v>
      </c>
      <c r="Q6" s="3" t="s">
        <v>503</v>
      </c>
      <c r="R6" s="3" t="s">
        <v>71</v>
      </c>
      <c r="S6" s="3" t="s">
        <v>504</v>
      </c>
      <c r="T6" s="3" t="s">
        <v>505</v>
      </c>
      <c r="U6" s="3" t="s">
        <v>873</v>
      </c>
      <c r="V6" s="3" t="s">
        <v>899</v>
      </c>
      <c r="W6" s="3" t="s">
        <v>506</v>
      </c>
      <c r="X6" s="3" t="s">
        <v>661</v>
      </c>
      <c r="Y6" s="3" t="s">
        <v>662</v>
      </c>
      <c r="Z6" s="3" t="s">
        <v>507</v>
      </c>
      <c r="AA6" s="3" t="s">
        <v>508</v>
      </c>
      <c r="AB6" s="3" t="s">
        <v>509</v>
      </c>
      <c r="AC6" s="3" t="s">
        <v>663</v>
      </c>
      <c r="AD6" s="3" t="s">
        <v>664</v>
      </c>
      <c r="AE6" s="3" t="s">
        <v>665</v>
      </c>
      <c r="AF6" s="3" t="s">
        <v>510</v>
      </c>
      <c r="AG6" s="3" t="s">
        <v>666</v>
      </c>
      <c r="AH6" s="3" t="s">
        <v>667</v>
      </c>
      <c r="AI6" s="3" t="s">
        <v>511</v>
      </c>
      <c r="AJ6" s="3" t="s">
        <v>512</v>
      </c>
      <c r="AK6" s="3" t="s">
        <v>668</v>
      </c>
      <c r="AL6" s="3" t="s">
        <v>669</v>
      </c>
      <c r="AM6" s="3" t="s">
        <v>513</v>
      </c>
      <c r="AN6" s="3" t="s">
        <v>514</v>
      </c>
      <c r="AO6" s="3" t="s">
        <v>515</v>
      </c>
      <c r="AP6" s="3" t="s">
        <v>670</v>
      </c>
      <c r="AQ6" s="3" t="s">
        <v>671</v>
      </c>
      <c r="AR6" s="3" t="s">
        <v>672</v>
      </c>
      <c r="AS6" s="3" t="s">
        <v>673</v>
      </c>
      <c r="AT6" s="3" t="s">
        <v>674</v>
      </c>
      <c r="AU6" s="3" t="s">
        <v>487</v>
      </c>
      <c r="AV6" s="3" t="s">
        <v>488</v>
      </c>
      <c r="AW6" s="3" t="s">
        <v>489</v>
      </c>
      <c r="AX6" s="3" t="s">
        <v>490</v>
      </c>
      <c r="AY6" s="3" t="s">
        <v>491</v>
      </c>
      <c r="AZ6" s="3" t="s">
        <v>492</v>
      </c>
      <c r="BA6" s="3" t="s">
        <v>493</v>
      </c>
      <c r="BB6" s="3" t="s">
        <v>649</v>
      </c>
      <c r="BC6" s="3" t="s">
        <v>494</v>
      </c>
      <c r="BD6" s="3" t="s">
        <v>495</v>
      </c>
      <c r="BE6" s="118" t="s">
        <v>2272</v>
      </c>
      <c r="BF6" s="3" t="s">
        <v>2521</v>
      </c>
    </row>
    <row r="7" spans="1:58" x14ac:dyDescent="0.25">
      <c r="A7" s="2" t="str">
        <f>IF(D7&lt;&gt;"","ELFISKEN","")</f>
        <v>ELFISKEN</v>
      </c>
      <c r="B7" s="2">
        <f>IF(D7&lt;&gt;"",J3,-9)</f>
        <v>632588</v>
      </c>
      <c r="C7" s="2">
        <f>IF(D7&lt;&gt;"",K3,-9)</f>
        <v>129478</v>
      </c>
      <c r="D7" s="2">
        <f>IF(Protokoll!X9&lt;&gt;"",IF(LEN(Protokoll!X9)=8,Protokoll!X9*1,CONCATENATE(LEFT(Protokoll!X9,4),RIGHT(LEFT(Protokoll!X9,7),2),RIGHT(Protokoll!X9,2))*1),-9)</f>
        <v>20200819</v>
      </c>
      <c r="E7" s="136" t="str">
        <f>IF(Protokoll!H9&lt;&gt;"",IF(ISTEXT(VLOOKUP(Protokoll!H9,Beräkningshjälp!Y3:Z1000,2,FALSE)),VLOOKUP(Protokoll!H9,Beräkningshjälp!Y3:Z1000,2,FALSE),"Manuell!"),"")</f>
        <v>Ekoll</v>
      </c>
      <c r="F7" s="136" t="str">
        <f>IF(Protokoll!X10&lt;&gt;"",IF(ISTEXT(VLOOKUP(Protokoll!X10,Beräkningshjälp!Y3:Z1000,2,FALSE)),VLOOKUP(Protokoll!X10,Beräkningshjälp!Y3:Z1000,2,FALSE),"Manuell!"),"")</f>
        <v>Manuell!</v>
      </c>
      <c r="G7" s="2" t="str">
        <f>IF(Protokoll!G16&lt;&gt;"",IF(ISTEXT(VLOOKUP(Protokoll!G16,Beräkningshjälp!Q64:Q89,1,FALSE)),UPPER(Protokoll!G16),"Manuell"),"")</f>
        <v>LUGAB</v>
      </c>
      <c r="H7" s="2" t="str">
        <f>IF(Protokoll!Z16="X","BENSIN",IF(Protokoll!AD16="X","BATTERI",""))</f>
        <v>BENSIN</v>
      </c>
      <c r="I7" s="2">
        <f>IF(Protokoll!H17&lt;&gt;"",ROUND(Protokoll!H17,0),-9)</f>
        <v>400</v>
      </c>
      <c r="J7" s="142">
        <f>IF(Protokoll!R17&lt;&gt;"",ROUND(Protokoll!R17,1),-9)</f>
        <v>1.2</v>
      </c>
      <c r="K7" s="2">
        <f>IF(Protokoll!Z17&lt;&gt;"",ROUND(Protokoll!Z17,0),-9)</f>
        <v>-9</v>
      </c>
      <c r="L7" s="2">
        <f>IF(Protokoll!H13&lt;&gt;0,Protokoll!H13,-9)</f>
        <v>1</v>
      </c>
      <c r="M7" s="2" t="str">
        <f>IF(Protokoll!P13&lt;&gt;"","KVANT",IF(Protokoll!T13&lt;&gt;"","KVAL",""))</f>
        <v>KVAL</v>
      </c>
      <c r="N7" s="142">
        <f>IF(Protokoll!H18&lt;&gt;"",ROUND(Protokoll!H18,1),-9)</f>
        <v>4</v>
      </c>
      <c r="O7" s="142">
        <f>IF(Protokoll!H19&lt;&gt;"",ROUND(Protokoll!H19,1),-9)</f>
        <v>25</v>
      </c>
      <c r="P7" s="142">
        <f>IF(Protokoll!R18&lt;&gt;"",ROUND(Protokoll!R18,1),-9)</f>
        <v>4</v>
      </c>
      <c r="Q7" s="143">
        <f>IF(Protokoll!AC19&lt;&gt;"",ROUND(Protokoll!AC19,0),-9)</f>
        <v>100</v>
      </c>
      <c r="R7" s="2" t="str">
        <f>IF(LEFT(Protokoll!Q14,1)="N","N","")</f>
        <v/>
      </c>
      <c r="S7" s="142">
        <f>IF(Protokoll!R20&lt;&gt;"",ROUND(Protokoll!R20,1),-9)</f>
        <v>-9</v>
      </c>
      <c r="T7" s="2">
        <f>IF(Protokoll!AC20&lt;&gt;"",ROUND(Protokoll!AC20,0),-9)</f>
        <v>-9</v>
      </c>
      <c r="U7" s="136">
        <f>IF(Protokoll!S23&lt;&gt;"",1,IF(Protokoll!W23&lt;&gt;"",2,IF(Protokoll!Z23&lt;&gt;"",3,-9)))</f>
        <v>1</v>
      </c>
      <c r="V7" s="2">
        <f>IF(Protokoll!S26&lt;&gt;"",1,IF(Protokoll!W26&lt;&gt;"",2,IF(Protokoll!Z26&lt;&gt;"",3,-9)))</f>
        <v>1</v>
      </c>
      <c r="W7" s="144">
        <f>IF(Protokoll!H20&lt;&gt;"",ROUND(Protokoll!H20,2),-0.9)</f>
        <v>0.5</v>
      </c>
      <c r="X7" s="144">
        <f>IF(Protokoll!H22&lt;&gt;"",ROUND(Protokoll!H22,2),-0.9)</f>
        <v>0.4</v>
      </c>
      <c r="Y7" s="2">
        <f>IF(Protokoll!K30&lt;&gt;"",1,IF(Protokoll!P30&lt;&gt;"",2,IF(Protokoll!V30&lt;&gt;"",3,-9)))</f>
        <v>1</v>
      </c>
      <c r="Z7" s="2" t="str">
        <f>IF(COUNTIF(Protokoll!G32:AE32,"D1")&gt;0,IF(COUNTIF(Protokoll!G32:S32,"D1")&gt;0,IF(COUNTIF(Protokoll!G32:M32,"D1")&gt;0,IF(Protokoll!G32="D1","FIN",IF(Protokoll!J32="D1","SAND","GRUS")),IF(Protokoll!P32="D1","STEN1","STEN2")),IF(COUNTIF(Protokoll!V32:Y32,"D1")&gt;0,IF(Protokoll!V32="D1","BLOCK1","BLOCK2"),IF(Protokoll!AB32="D1","BLOCK3","HÄLL"))),"")</f>
        <v>FIN</v>
      </c>
      <c r="AA7" s="2" t="str">
        <f>IF(COUNTIF(Protokoll!G32:AE32,"D2")&gt;0,IF(COUNTIF(Protokoll!G32:S32,"D2")&gt;0,IF(COUNTIF(Protokoll!G32:M32,"D2")&gt;0,IF(Protokoll!G32="D2","FIN",IF(Protokoll!J32="D2","SAND","GRUS")),IF(Protokoll!P32="D2","STEN1","STEN2")),IF(COUNTIF(Protokoll!V32:Y32,"D2")&gt;0,IF(Protokoll!V32="D2","BLOCK1","BLOCK2"),IF(Protokoll!AB32="D2","BLOCK3","HÄLL"))),"")</f>
        <v>SAND</v>
      </c>
      <c r="AB7" s="2" t="str">
        <f>IF(COUNTIF(Protokoll!G32:AE32,"D3")&gt;0,IF(COUNTIF(Protokoll!G32:S32,"D3")&gt;0,IF(COUNTIF(Protokoll!G32:M32,"D3")&gt;0,IF(Protokoll!G32="D3","FIN",IF(Protokoll!J32="D3","SAND","GRUS")),IF(Protokoll!P32="D3","STEN1","STEN2")),IF(COUNTIF(Protokoll!V32:Y32,"D3")&gt;0,IF(Protokoll!V32="D3","BLOCK1","BLOCK2"),IF(Protokoll!AB32="D3","BLOCK3","HÄLL"))),"")</f>
        <v>STEN2</v>
      </c>
      <c r="AC7" s="2" t="str">
        <f>IF(Protokoll!K29&lt;&gt;"","LÅG",IF(Protokoll!P29&lt;&gt;"","MED",IF(Protokoll!V29&lt;&gt;"","HÖG","")))</f>
        <v>LÅG</v>
      </c>
      <c r="AD7" s="2" t="str">
        <f>IF(Protokoll!K28&lt;&gt;"","LUGN",IF(Protokoll!P28&lt;&gt;"","STRÖ",IF(Protokoll!V28&lt;&gt;"","STRÅ","")))</f>
        <v>LUGN</v>
      </c>
      <c r="AE7" s="142">
        <f>IF(Protokoll!H26&lt;&gt;"",ROUND(Protokoll!H26,1),-9)</f>
        <v>14</v>
      </c>
      <c r="AF7" s="142">
        <f>IF(Protokoll!H24&lt;&gt;"", ROUND(Protokoll!H24,1),-9)</f>
        <v>22</v>
      </c>
      <c r="AG7" s="2" t="str">
        <f>IF(Protokoll!J35&lt;&gt;"",IF(Protokoll!J35=0,"SAKN",IF(Protokoll!J35=1,"RING",IF(Protokoll!J35=2,"MÅTT",IF(Protokoll!J35=3,"RIKL","")))),"")</f>
        <v/>
      </c>
      <c r="AH7" s="2" t="str">
        <f>IF(COUNT(Protokoll!M35:Y35)&gt;0,IF(MAX(Protokoll!M35:Y35)=3,"RIKL",IF(MAX(Protokoll!M35:Y35)=2,"MÅTT",IF(MAX(Protokoll!M35:Y35)=1,"RING",IF(MAX(Protokoll!M35:Y35)=0,"SAKN","")))),"")</f>
        <v>RIKL</v>
      </c>
      <c r="AI7" s="2" t="str">
        <f>IF(COUNTIF(Protokoll!M34:Y34,"D1")&gt;0,IF(OR(Protokoll!M34="D1",Protokoll!P34="D1",Protokoll!S34="D1"),"BLOM",IF(Protokoll!V34="D1","MOSS",IF(Protokoll!Y34="D1","PALG",""))),IF(COUNTIF(Protokoll!J34:Y34,"D2")&gt;0,IF(OR(Protokoll!M34="D2",Protokoll!P34="D2",Protokoll!S34="D2"),"BLOM",IF(Protokoll!V34="D2","MOSS",IF(Protokoll!Y34="D2","PALG",""))),""))</f>
        <v>PALG</v>
      </c>
      <c r="AJ7" s="2" t="str">
        <f>IF(COUNTIF(Protokoll!B36:AE38,"D1")&gt;0,IF(COUNTIF(Protokoll!N36:AD36,"D1")&gt;0,IF(COUNTIF(Protokoll!N36:S36,"D1")&gt;0,IF(Protokoll!N36="D1","LÖVSK","BARRS"),IF(Protokoll!X36="D1","BLASK","HYGGE")),IF(COUNTIF(Protokoll!E37:AD37,"D1")&gt;0,IF(COUNTIF(Protokoll!E37:O37,"D1")&gt;0,IF(Protokoll!E37="D1","ÅKER",IF(Protokoll!I37="D1","ÄNG","HED")),IF(Protokoll!S37="D1","MYR",IF(Protokoll!X37="D1","KALFJ","BERG"))),IF(Protokoll!E38="D1","ARTIF",""))),"")</f>
        <v>ARTIF</v>
      </c>
      <c r="AK7" s="2" t="str">
        <f>IF(Protokoll!R38&lt;&gt;"",UPPER(LEFT(Protokoll!R38,5)),"")</f>
        <v>AL</v>
      </c>
      <c r="AL7" s="2" t="str">
        <f>IF(Protokoll!AB38&lt;&gt;"",UPPER(LEFT(Protokoll!AB38,5)),"")</f>
        <v/>
      </c>
      <c r="AM7" s="2">
        <f>IF(Protokoll!G39&lt;&gt;"",ROUND(Protokoll!G39,-1),-9)</f>
        <v>50</v>
      </c>
      <c r="AN7" s="2">
        <f>IF(Protokoll!V39&lt;&gt;"",Protokoll!V39,-9)</f>
        <v>0</v>
      </c>
      <c r="AO7" s="142">
        <f>IF(Protokoll!AD39&lt;&gt;"",ROUND(Protokoll!AD39,1),-9)</f>
        <v>0</v>
      </c>
      <c r="AP7" s="2" t="str">
        <f>IF(OR(Protokoll!O56&lt;&gt;"",Protokoll!T56&lt;&gt;"",Protokoll!X56&lt;&gt;""),IF(Protokoll!T56&lt;&gt;"",IF(Protokoll!X56&lt;&gt;"","BÅDE","NED"),IF(Protokoll!X56&lt;&gt;"","UPP","INGA")),"")</f>
        <v>INGA</v>
      </c>
      <c r="AQ7" s="2" t="str">
        <f>IF(Protokoll!S57&lt;&gt;"","STRÖM",IF(Protokoll!X57&lt;&gt;"","VANDR",""))</f>
        <v>VANDR</v>
      </c>
      <c r="AR7" s="2">
        <f>IF(D7&lt;&gt;"",IF(Protokoll!S58&lt;&gt;"",Protokoll!S58,-9),"")</f>
        <v>0</v>
      </c>
      <c r="AS7" s="2" t="str">
        <f>IF(Protokoll!I60&lt;&gt;"","JA",IF(Protokoll!M60&lt;&gt;"","NEJ",""))</f>
        <v>NEJ</v>
      </c>
      <c r="AT7" s="2">
        <f>IF(Protokoll!W60&lt;&gt;"",IF(LEN(Protokoll!W60)=8,Protokoll!W60,IF(LEN(Protokoll!W60)=10,CONCATENATE(LEFT(Protokoll!W60,4),RIGHT(LEFT(Protokoll!W60,7),2),RIGHT(Protokoll!W60,2)),CONCATENATE(Protokoll!W60,"0000"))),IF(Protokoll!M60&lt;&gt;"",0,-9))</f>
        <v>0</v>
      </c>
      <c r="AU7" s="2" t="str">
        <f>IF(COUNTA(Protokoll!J61,Protokoll!O61,Protokoll!T61,Protokoll!Y61)&gt;0,IF(COUNTA(Protokoll!J61,Protokoll!O61,Protokoll!T61,Protokoll!Y61)&gt;1,"BLA",IF(Protokoll!J61&lt;&gt;"","SJÖ",IF(Protokoll!O61&lt;&gt;"","DOS",IF(Protokoll!T61&lt;&gt;"","VÅT","BÄC")))),"")</f>
        <v/>
      </c>
      <c r="AV7" s="2" t="str">
        <f>IF(Protokoll!$AA$62&lt;&gt;"","NEJ",IF(COUNT(DGET(Beräkningshjälp!$D49:$D89,1,Beräkningshjälp!A46:A47))&gt;0,DGET(Beräkningshjälp!$B49:$D89,2,Beräkningshjälp!A46:A47),""))</f>
        <v>KANAL</v>
      </c>
      <c r="AW7" s="2" t="str">
        <f>IF(Protokoll!$X$9&lt;&gt;"",IF(COUNT(DGET(Beräkningshjälp!$D49:$D89,1,Beräkningshjälp!B46:B47))&gt;0,DGET(Beräkningshjälp!$B49:$D89,2,Beräkningshjälp!B46:B47),""),"")</f>
        <v/>
      </c>
      <c r="AX7" s="2" t="str">
        <f>IF(Protokoll!$X$9&lt;&gt;"",IF(COUNT(DGET(Beräkningshjälp!$D49:$D89,1,Beräkningshjälp!C46:C47))&gt;0,DGET(Beräkningshjälp!$B49:$D89,2,Beräkningshjälp!C46:C47),""),"")</f>
        <v/>
      </c>
      <c r="AY7" s="2">
        <f>IF(COUNT(DGET(Beräkningshjälp!$D49:$D89,1,Beräkningshjälp!A46:A47))&gt;0,IF(DGET(Beräkningshjälp!$B49:$D89,1,Beräkningshjälp!A46:A47)&lt;&gt;"X",DGET(Beräkningshjälp!$B49:$D89,1,Beräkningshjälp!A46:A47),-9),-9)</f>
        <v>3</v>
      </c>
      <c r="AZ7" s="2">
        <f>IF(COUNT(DGET(Beräkningshjälp!$D49:$D89,1,Beräkningshjälp!B46:B47))&gt;0,IF(DGET(Beräkningshjälp!$B49:$D89,1,Beräkningshjälp!B46:B47)&lt;&gt;"X",DGET(Beräkningshjälp!$B49:$D89,1,Beräkningshjälp!B46:B47),-9),-9)</f>
        <v>-9</v>
      </c>
      <c r="BA7" s="2">
        <f>IF(COUNT(DGET(Beräkningshjälp!$D49:$D89,1,Beräkningshjälp!C46:C47))&gt;0,IF(DGET(Beräkningshjälp!$B49:$D89,1,Beräkningshjälp!C46:C47)&lt;&gt;"X",DGET(Beräkningshjälp!$B49:$D89,1,Beräkningshjälp!C46:C47),-9),-9)</f>
        <v>-9</v>
      </c>
      <c r="BB7" s="114" t="str">
        <f>IF(Protokoll!T19&lt;&gt;"",IF(Protokoll!T19&gt;=5,CONCATENATE(ROUND(Protokoll!T19,0)," % AV YTAN AVRÄKNAD AV UTFÖRAREN"),""),IF(COUNTIF(Beräkningshjälp!B50:B89,"X")+COUNTIF(Beräkningshjälp!B50:B89,1)+COUNTIF(Beräkningshjälp!B50:B89,2)+COUNTIF(Beräkningshjälp!B50:B89,3)&gt;3,"MER PÅVERKAN FINNS",""))</f>
        <v/>
      </c>
      <c r="BC7" s="2" t="s">
        <v>863</v>
      </c>
      <c r="BD7" s="2" t="str">
        <f>IF(Protokoll!Y4&lt;&gt;"",UPPER(Protokoll!Y4),"")</f>
        <v>BASINV</v>
      </c>
      <c r="BE7">
        <f>IF(ISNUMBER(SEARCH("-",Protokoll!$AG$1)),(LEFT(RIGHT(Protokoll!$AG$1,10),4)&amp;LEFT(RIGHT(Protokoll!$AG$1,5),2)&amp;RIGHT(Protokoll!$AG$1,2))*1,IF(ISNUMBER(RIGHT(Protokoll!$AG$1,8)*1),RIGHT(Protokoll!$AG$1,8)*1,""))</f>
        <v>20200626</v>
      </c>
      <c r="BF7" t="str">
        <f>IF(Protokoll!S6&lt;&gt;"",Protokoll!S6,-9)</f>
        <v>Ja</v>
      </c>
    </row>
    <row r="8" spans="1:58" x14ac:dyDescent="0.25">
      <c r="C8" s="2"/>
    </row>
    <row r="9" spans="1:58" x14ac:dyDescent="0.25">
      <c r="B9" s="115"/>
      <c r="C9" s="115"/>
      <c r="D9" s="115"/>
      <c r="E9" s="115"/>
      <c r="F9" s="115"/>
      <c r="G9" s="115"/>
      <c r="H9" s="115"/>
      <c r="I9" s="115"/>
      <c r="J9" s="115"/>
      <c r="K9" s="115"/>
      <c r="L9" s="115"/>
      <c r="M9" s="115"/>
      <c r="N9" s="115"/>
      <c r="O9" s="115"/>
    </row>
    <row r="10" spans="1:58" x14ac:dyDescent="0.25">
      <c r="A10" s="6" t="s">
        <v>652</v>
      </c>
      <c r="B10" s="3" t="s">
        <v>644</v>
      </c>
      <c r="C10" s="3" t="s">
        <v>645</v>
      </c>
      <c r="D10" s="3" t="s">
        <v>646</v>
      </c>
      <c r="E10" s="3" t="s">
        <v>471</v>
      </c>
      <c r="F10" s="3" t="s">
        <v>473</v>
      </c>
      <c r="G10" s="3" t="s">
        <v>474</v>
      </c>
      <c r="H10" s="3" t="s">
        <v>675</v>
      </c>
      <c r="I10" s="3" t="s">
        <v>52</v>
      </c>
      <c r="J10" s="3" t="s">
        <v>592</v>
      </c>
      <c r="K10" s="3" t="s">
        <v>676</v>
      </c>
      <c r="L10" s="3" t="s">
        <v>677</v>
      </c>
      <c r="M10" s="3" t="s">
        <v>475</v>
      </c>
      <c r="N10" s="3" t="s">
        <v>476</v>
      </c>
      <c r="O10" s="3" t="s">
        <v>649</v>
      </c>
    </row>
    <row r="11" spans="1:58" x14ac:dyDescent="0.25">
      <c r="A11" s="2" t="str">
        <f t="shared" ref="A11:A16" si="0">IF(D11&lt;&gt;"","FANGSTER","")</f>
        <v>FANGSTER</v>
      </c>
      <c r="B11" s="2">
        <f t="shared" ref="B11:B22" si="1">IF(E11&lt;&gt;"",IF($J$3&lt;&gt;"",$J$3,-9),"")</f>
        <v>632588</v>
      </c>
      <c r="C11" s="2">
        <f t="shared" ref="C11:C22" si="2">IF(E11&lt;&gt;"",IF($K$3&lt;&gt;"",$K$3,""),"")</f>
        <v>129478</v>
      </c>
      <c r="D11" s="145">
        <f>IF(E11&lt;&gt;"",IF(Protokoll!$X$9&lt;&gt;"",D$7,-9),"")</f>
        <v>20200819</v>
      </c>
      <c r="E11" s="136" t="str">
        <f>IF(Protokoll!$X$9&lt;&gt;"",IF(ISNUMBER(VLOOKUP(ROW()-ROW(E$10),Beräkningshjälp!$M$1:$O$60,1,FALSE)),IF(VLOOKUP(ROW()-ROW(E$10),Beräkningshjälp!$M$1:$O$60,2,FALSE)="INGEN FÅNGST","EJFANGST",VLOOKUP(ROW()-ROW(E$10),Beräkningshjälp!$M$1:$O$60,3,FALSE)),""),"")</f>
        <v>EJFANGST</v>
      </c>
      <c r="F11" s="136">
        <f>IF(E11&lt;&gt;"",IF(E11="EJFANGST",-9,IF(COUNTIF(Artuppgifter!B$27:B$50,ROW()-ROW(F$10))&gt;1,ROUND(VLOOKUP(VLOOKUP(VLOOKUP(E11,Beräkningshjälp!$O$1:$U$60,7,FALSE),Beräkningshjälp!$M$1:$N$60,2,FALSE)&amp;" &gt;0+",Artuppgifter!$C$27:$N$50,7,FALSE),1),ROUND(VLOOKUP(ROW()-ROW(F$10),Artuppgifter!$B$27:$N$50,8,FALSE),1))),"")</f>
        <v>-9</v>
      </c>
      <c r="G11" s="136">
        <f>IF(E11&lt;&gt;"",IF(E11="EJFANGST",-9,IF(COUNTIF(Artuppgifter!B$27:B$50,ROW()-ROW(F$10))&gt;1,ROUND(VLOOKUP(VLOOKUP(VLOOKUP(E11,Beräkningshjälp!$O$1:$U$60,7,FALSE),Beräkningshjälp!$M$1:$N$60,2,FALSE)&amp;" 0+",Artuppgifter!$C$27:$N$50,7,FALSE),1),-9)),"")</f>
        <v>-9</v>
      </c>
      <c r="H11" s="136" t="str">
        <f>IF(E11&lt;&gt;"",IF(E11="EJFANGST","",IF(COUNTIF(Artuppgifter!B$27:B$50,ROW()-ROW(F$10))&gt;1,VLOOKUP(VLOOKUP(VLOOKUP(E11,Beräkningshjälp!$O$1:$U$60,7,FALSE),Beräkningshjälp!$M$1:$N$60,2,FALSE)&amp;" &gt;0+",Artuppgifter!$C$27:$N$50,9,FALSE),VLOOKUP(ROW()-ROW(F$10),Artuppgifter!$B$27:$N$50,10,FALSE))),"")</f>
        <v/>
      </c>
      <c r="I11" s="136" t="str">
        <f>IF(E11&lt;&gt;"",IF(E11="EJFANGST","",IF(G11&gt;0,IF(COUNTIF(Artuppgifter!B$27:B$50,ROW()-ROW(I$10))&gt;1,VLOOKUP(VLOOKUP(VLOOKUP(E11,Beräkningshjälp!$O$1:$U$60,7,FALSE),Beräkningshjälp!$M$1:$N$60,2,FALSE)&amp;" 0+",Artuppgifter!$C$27:$N$50,9,FALSE),VLOOKUP(ROW()-ROW(I$10),Artuppgifter!$B$27:$N$50,10,FALSE)),"")),"")</f>
        <v/>
      </c>
      <c r="J11" s="136">
        <f>IF(E11&lt;&gt;"",IF(OR(H11="",E11="EJFANGST",H11="AREA"),-0.9,IF(COUNTIF(Artuppgifter!B$27:B$50,ROW()-ROW(F$10))&gt;1,ROUND(VLOOKUP(VLOOKUP(VLOOKUP(E11,Beräkningshjälp!$O$1:$U$60,7,FALSE),Beräkningshjälp!$M$1:$N$60,2,FALSE)&amp;" &gt;0+",Artuppgifter!$C$27:$N$50,IF(protokollAntalutfisk=1,10,11),FALSE),2),ROUND(VLOOKUP(ROW()-ROW(F$10),Artuppgifter!$B$27:$N$50,IF(protokollAntalutfisk=1,11,12),FALSE),2))),"")</f>
        <v>-0.9</v>
      </c>
      <c r="K11" s="136">
        <f>IF(E11&lt;&gt;"",IF(OR(E11="EJFANGST",I11="AREA",I11=""),-0.9,IF(COUNTIF(Artuppgifter!B$27:B$50,ROW()-ROW(K$10))&gt;1,ROUND(VLOOKUP(VLOOKUP(VLOOKUP(E11,Beräkningshjälp!$O$1:$U$60,7,FALSE),Beräkningshjälp!$M$1:$N$60,2,FALSE)&amp;" 0+",Artuppgifter!$C$27:$N$50,IF(protokollAntalutfisk=1,10,11),FALSE),2),-0.9)),"")</f>
        <v>-0.9</v>
      </c>
      <c r="L11" s="136">
        <f>IF(E11&lt;&gt;"",IF(ISNUMBER(VLOOKUP(VLOOKUP(VLOOKUP(E11,Beräkningshjälp!$O$1:$U$60,7,FALSE),Beräkningshjälp!$M$1:$N$60,2,FALSE),Artuppgifter!$J$11:$N$22,4,FALSE)),VLOOKUP(VLOOKUP(VLOOKUP(E11,Beräkningshjälp!$O$1:$U$60,7,FALSE),Beräkningshjälp!$M$1:$N$60,2,FALSE),Artuppgifter!$J$11:$N$22,4,FALSE),-9),"")</f>
        <v>-9</v>
      </c>
      <c r="M11" s="136">
        <f>IF(E11&lt;&gt;"",IF(ISNUMBER(VLOOKUP(VLOOKUP(VLOOKUP(E11,Beräkningshjälp!$O$1:$U$60,7,FALSE),Beräkningshjälp!$M$1:$N$60,2,FALSE),Artuppgifter!$J$11:$N$22,5,FALSE)),VLOOKUP(VLOOKUP(VLOOKUP(E11,Beräkningshjälp!$O$1:$U$60,7,FALSE),Beräkningshjälp!$M$1:$N$60,2,FALSE),Artuppgifter!$J$11:$N$22,5,FALSE),-9),"")</f>
        <v>-9</v>
      </c>
      <c r="N11" s="136">
        <f>IF(E11&lt;&gt;"",IF(ISNUMBER(VLOOKUP(VLOOKUP(VLOOKUP(E11,Beräkningshjälp!$O$1:$U$60,7,FALSE),Beräkningshjälp!$M$1:$N$60,2,FALSE),Artuppgifter!$J$11:$N$22,3,FALSE)),VLOOKUP(VLOOKUP(VLOOKUP(E11,Beräkningshjälp!$O$1:$U$60,7,FALSE),Beräkningshjälp!$M$1:$N$60,2,FALSE),Artuppgifter!$J$11:$N$22,3,FALSE),-9),"")</f>
        <v>-9</v>
      </c>
      <c r="O11" s="524" t="str">
        <f>IF(IF(ISNUMBER(VLOOKUP(VLOOKUP(VLOOKUP($E11,Beräkningshjälp!$O$2:$U$60,7,FALSE),Beräkningshjälp!$M$2:$N$60,2,FALSE),Artuppgifter!$C$26:$N$50,12,FALSE)),VLOOKUP(VLOOKUP(VLOOKUP($E11,Beräkningshjälp!$O$2:$U$60,7,FALSE),Beräkningshjälp!$M$2:$N$60,2,FALSE),Artuppgifter!$C$26:$N$50,12,FALSE)&gt;0,FALSE),"Eget P",IF(IF(ISNUMBER(VLOOKUP(VLOOKUP(VLOOKUP($E11,Beräkningshjälp!$O$2:$U$60,7,FALSE),Beräkningshjälp!$M$2:$N$60,2,FALSE)&amp;" &gt;0+",Artuppgifter!$C$26:$N$50,12,FALSE)),VLOOKUP(VLOOKUP(VLOOKUP($E11,Beräkningshjälp!$O$2:$U$60,7,FALSE),Beräkningshjälp!$M$2:$N$60,2,FALSE)&amp;" &gt;0+",Artuppgifter!$C$26:$N$50,12,FALSE)&gt;0,FALSE),"Eget P &gt;0+, ","")&amp;IF(IF(ISNUMBER(VLOOKUP(VLOOKUP(VLOOKUP($E11,Beräkningshjälp!$O$2:$U$60,7,FALSE),Beräkningshjälp!$M$2:$N$60,2,FALSE)&amp;" 0+",Artuppgifter!$C$26:$N$50,12,FALSE)),VLOOKUP(VLOOKUP(VLOOKUP($E11,Beräkningshjälp!$O$2:$U$60,7,FALSE),Beräkningshjälp!$M$2:$N$60,2,FALSE)&amp;" 0+",Artuppgifter!$C$26:$N$50,12,FALSE)&gt;0,FALSE),"Eget P 0+",""))</f>
        <v/>
      </c>
    </row>
    <row r="12" spans="1:58" x14ac:dyDescent="0.25">
      <c r="A12" s="2" t="str">
        <f>IF(D12&lt;&gt;"","FANGSTER","")</f>
        <v/>
      </c>
      <c r="B12" s="2" t="str">
        <f t="shared" si="1"/>
        <v/>
      </c>
      <c r="C12" s="2" t="str">
        <f t="shared" si="2"/>
        <v/>
      </c>
      <c r="D12" s="145" t="str">
        <f>IF(E12&lt;&gt;"",IF(Protokoll!$X$9&lt;&gt;"",D$7,-9),"")</f>
        <v/>
      </c>
      <c r="E12" s="136" t="str">
        <f>IF(Protokoll!$X$9&lt;&gt;"",IF(ISNUMBER(VLOOKUP(ROW()-ROW(E$10),Beräkningshjälp!$M$1:$O$60,1,FALSE)),IF(VLOOKUP(ROW()-ROW(E$10),Beräkningshjälp!$M$1:$O$60,2,FALSE)="INGEN FÅNGST","EJFANGST",VLOOKUP(ROW()-ROW(E$10),Beräkningshjälp!$M$1:$O$60,3,FALSE)),""),"")</f>
        <v/>
      </c>
      <c r="F12" s="136" t="str">
        <f>IF(E12&lt;&gt;"",IF(E12="EJFANGST",-9,IF(COUNTIF(Artuppgifter!B$27:B$50,ROW()-ROW(F$10))&gt;1,ROUND(VLOOKUP(VLOOKUP(VLOOKUP(E12,Beräkningshjälp!$O$1:$U$60,7,FALSE),Beräkningshjälp!$M$1:$N$60,2,FALSE)&amp;" &gt;0+",Artuppgifter!$C$27:$N$50,7,FALSE),1),ROUND(VLOOKUP(ROW()-ROW(F$10),Artuppgifter!$B$27:$N$50,8,FALSE),1))),"")</f>
        <v/>
      </c>
      <c r="G12" s="136" t="str">
        <f>IF(E12&lt;&gt;"",IF(E12="EJFANGST",-9,IF(COUNTIF(Artuppgifter!B$27:B$50,ROW()-ROW(F$10))&gt;1,ROUND(VLOOKUP(VLOOKUP(VLOOKUP(E12,Beräkningshjälp!$O$1:$U$60,7,FALSE),Beräkningshjälp!$M$1:$N$60,2,FALSE)&amp;" 0+",Artuppgifter!$C$27:$N$50,7,FALSE),1),-9)),"")</f>
        <v/>
      </c>
      <c r="H12" s="136" t="str">
        <f>IF(E12&lt;&gt;"",IF(E12="EJFANGST","",IF(COUNTIF(Artuppgifter!B$27:B$50,ROW()-ROW(F$10))&gt;1,VLOOKUP(VLOOKUP(VLOOKUP(E12,Beräkningshjälp!$O$1:$U$60,7,FALSE),Beräkningshjälp!$M$1:$N$60,2,FALSE)&amp;" &gt;0+",Artuppgifter!$C$27:$N$50,9,FALSE),VLOOKUP(ROW()-ROW(F$10),Artuppgifter!$B$27:$N$50,10,FALSE))),"")</f>
        <v/>
      </c>
      <c r="I12" s="136" t="str">
        <f>IF(E12&lt;&gt;"",IF(E12="EJFANGST","",IF(G12&gt;0,IF(COUNTIF(Artuppgifter!B$27:B$50,ROW()-ROW(I$10))&gt;1,VLOOKUP(VLOOKUP(VLOOKUP(E12,Beräkningshjälp!$O$1:$U$60,7,FALSE),Beräkningshjälp!$M$1:$N$60,2,FALSE)&amp;" 0+",Artuppgifter!$C$27:$N$50,9,FALSE),VLOOKUP(ROW()-ROW(I$10),Artuppgifter!$B$27:$N$50,10,FALSE)),"")),"")</f>
        <v/>
      </c>
      <c r="J12" s="136" t="str">
        <f>IF(E12&lt;&gt;"",IF(OR(H12="",E12="EJFANGST",H12="AREA"),-0.9,IF(COUNTIF(Artuppgifter!B$27:B$50,ROW()-ROW(F$10))&gt;1,ROUND(VLOOKUP(VLOOKUP(VLOOKUP(E12,Beräkningshjälp!$O$1:$U$60,7,FALSE),Beräkningshjälp!$M$1:$N$60,2,FALSE)&amp;" &gt;0+",Artuppgifter!$C$27:$N$50,IF(protokollAntalutfisk=1,10,11),FALSE),2),ROUND(VLOOKUP(ROW()-ROW(F$10),Artuppgifter!$B$27:$N$50,IF(protokollAntalutfisk=1,11,12),FALSE),2))),"")</f>
        <v/>
      </c>
      <c r="K12" s="136" t="str">
        <f>IF(E12&lt;&gt;"",IF(OR(E12="EJFANGST",I12="AREA",I12=""),-0.9,IF(COUNTIF(Artuppgifter!B$27:B$50,ROW()-ROW(K$10))&gt;1,ROUND(VLOOKUP(VLOOKUP(VLOOKUP(E12,Beräkningshjälp!$O$1:$U$60,7,FALSE),Beräkningshjälp!$M$1:$N$60,2,FALSE)&amp;" 0+",Artuppgifter!$C$27:$N$50,IF(protokollAntalutfisk=1,10,11),FALSE),2),-0.9)),"")</f>
        <v/>
      </c>
      <c r="L12" s="136" t="str">
        <f>IF(E12&lt;&gt;"",IF(ISNUMBER(VLOOKUP(VLOOKUP(VLOOKUP(E12,Beräkningshjälp!$O$1:$U$60,7,FALSE),Beräkningshjälp!$M$1:$N$60,2,FALSE),Artuppgifter!$J$11:$N$22,4,FALSE)),VLOOKUP(VLOOKUP(VLOOKUP(E12,Beräkningshjälp!$O$1:$U$60,7,FALSE),Beräkningshjälp!$M$1:$N$60,2,FALSE),Artuppgifter!$J$11:$N$22,4,FALSE),-9),"")</f>
        <v/>
      </c>
      <c r="M12" s="136" t="str">
        <f>IF(E12&lt;&gt;"",IF(ISNUMBER(VLOOKUP(VLOOKUP(VLOOKUP(E12,Beräkningshjälp!$O$1:$U$60,7,FALSE),Beräkningshjälp!$M$1:$N$60,2,FALSE),Artuppgifter!$J$11:$N$22,5,FALSE)),VLOOKUP(VLOOKUP(VLOOKUP(E12,Beräkningshjälp!$O$1:$U$60,7,FALSE),Beräkningshjälp!$M$1:$N$60,2,FALSE),Artuppgifter!$J$11:$N$22,5,FALSE),-9),"")</f>
        <v/>
      </c>
      <c r="N12" s="136" t="str">
        <f>IF(E12&lt;&gt;"",IF(ISNUMBER(VLOOKUP(VLOOKUP(VLOOKUP(E12,Beräkningshjälp!$O$1:$U$60,7,FALSE),Beräkningshjälp!$M$1:$N$60,2,FALSE),Artuppgifter!$J$11:$N$22,3,FALSE)),VLOOKUP(VLOOKUP(VLOOKUP(E12,Beräkningshjälp!$O$1:$U$60,7,FALSE),Beräkningshjälp!$M$1:$N$60,2,FALSE),Artuppgifter!$J$11:$N$22,3,FALSE),-9),"")</f>
        <v/>
      </c>
      <c r="O12" s="524" t="str">
        <f>IF(IF(ISNUMBER(VLOOKUP(VLOOKUP(VLOOKUP($E12,Beräkningshjälp!$O$2:$U$60,7,FALSE),Beräkningshjälp!$M$2:$N$60,2,FALSE),Artuppgifter!$C$26:$N$50,12,FALSE)),VLOOKUP(VLOOKUP(VLOOKUP($E12,Beräkningshjälp!$O$2:$U$60,7,FALSE),Beräkningshjälp!$M$2:$N$60,2,FALSE),Artuppgifter!$C$26:$N$50,12,FALSE)&gt;0,FALSE),"Eget P",IF(IF(ISNUMBER(VLOOKUP(VLOOKUP(VLOOKUP($E12,Beräkningshjälp!$O$2:$U$60,7,FALSE),Beräkningshjälp!$M$2:$N$60,2,FALSE)&amp;" &gt;0+",Artuppgifter!$C$26:$N$50,12,FALSE)),VLOOKUP(VLOOKUP(VLOOKUP($E12,Beräkningshjälp!$O$2:$U$60,7,FALSE),Beräkningshjälp!$M$2:$N$60,2,FALSE)&amp;" &gt;0+",Artuppgifter!$C$26:$N$50,12,FALSE)&gt;0,FALSE),"Eget P &gt;0+, ","")&amp;IF(IF(ISNUMBER(VLOOKUP(VLOOKUP(VLOOKUP($E12,Beräkningshjälp!$O$2:$U$60,7,FALSE),Beräkningshjälp!$M$2:$N$60,2,FALSE)&amp;" 0+",Artuppgifter!$C$26:$N$50,12,FALSE)),VLOOKUP(VLOOKUP(VLOOKUP($E12,Beräkningshjälp!$O$2:$U$60,7,FALSE),Beräkningshjälp!$M$2:$N$60,2,FALSE)&amp;" 0+",Artuppgifter!$C$26:$N$50,12,FALSE)&gt;0,FALSE),"Eget P 0+",""))</f>
        <v/>
      </c>
    </row>
    <row r="13" spans="1:58" x14ac:dyDescent="0.25">
      <c r="A13" s="2" t="str">
        <f t="shared" si="0"/>
        <v/>
      </c>
      <c r="B13" s="2" t="str">
        <f t="shared" si="1"/>
        <v/>
      </c>
      <c r="C13" s="2" t="str">
        <f t="shared" si="2"/>
        <v/>
      </c>
      <c r="D13" s="145" t="str">
        <f>IF(E13&lt;&gt;"",IF(Protokoll!$X$9&lt;&gt;"",D$7,-9),"")</f>
        <v/>
      </c>
      <c r="E13" s="136" t="str">
        <f>IF(Protokoll!$X$9&lt;&gt;"",IF(ISNUMBER(VLOOKUP(ROW()-ROW(E$10),Beräkningshjälp!$M$1:$O$60,1,FALSE)),IF(VLOOKUP(ROW()-ROW(E$10),Beräkningshjälp!$M$1:$O$60,2,FALSE)="INGEN FÅNGST","EJFANGST",VLOOKUP(ROW()-ROW(E$10),Beräkningshjälp!$M$1:$O$60,3,FALSE)),""),"")</f>
        <v/>
      </c>
      <c r="F13" s="136" t="str">
        <f>IF(E13&lt;&gt;"",IF(E13="EJFANGST",-9,IF(COUNTIF(Artuppgifter!B$27:B$50,ROW()-ROW(F$10))&gt;1,ROUND(VLOOKUP(VLOOKUP(VLOOKUP(E13,Beräkningshjälp!$O$1:$U$60,7,FALSE),Beräkningshjälp!$M$1:$N$60,2,FALSE)&amp;" &gt;0+",Artuppgifter!$C$27:$N$50,7,FALSE),1),ROUND(VLOOKUP(ROW()-ROW(F$10),Artuppgifter!$B$27:$N$50,8,FALSE),1))),"")</f>
        <v/>
      </c>
      <c r="G13" s="136" t="str">
        <f>IF(E13&lt;&gt;"",IF(E13="EJFANGST",-9,IF(COUNTIF(Artuppgifter!B$27:B$50,ROW()-ROW(F$10))&gt;1,ROUND(VLOOKUP(VLOOKUP(VLOOKUP(E13,Beräkningshjälp!$O$1:$U$60,7,FALSE),Beräkningshjälp!$M$1:$N$60,2,FALSE)&amp;" 0+",Artuppgifter!$C$27:$N$50,7,FALSE),1),-9)),"")</f>
        <v/>
      </c>
      <c r="H13" s="136" t="str">
        <f>IF(E13&lt;&gt;"",IF(E13="EJFANGST","",IF(COUNTIF(Artuppgifter!B$27:B$50,ROW()-ROW(F$10))&gt;1,VLOOKUP(VLOOKUP(VLOOKUP(E13,Beräkningshjälp!$O$1:$U$60,7,FALSE),Beräkningshjälp!$M$1:$N$60,2,FALSE)&amp;" &gt;0+",Artuppgifter!$C$27:$N$50,9,FALSE),VLOOKUP(ROW()-ROW(F$10),Artuppgifter!$B$27:$N$50,10,FALSE))),"")</f>
        <v/>
      </c>
      <c r="I13" s="136" t="str">
        <f>IF(E13&lt;&gt;"",IF(E13="EJFANGST","",IF(G13&gt;0,IF(COUNTIF(Artuppgifter!B$27:B$50,ROW()-ROW(I$10))&gt;1,VLOOKUP(VLOOKUP(VLOOKUP(E13,Beräkningshjälp!$O$1:$U$60,7,FALSE),Beräkningshjälp!$M$1:$N$60,2,FALSE)&amp;" 0+",Artuppgifter!$C$27:$N$50,9,FALSE),VLOOKUP(ROW()-ROW(I$10),Artuppgifter!$B$27:$N$50,10,FALSE)),"")),"")</f>
        <v/>
      </c>
      <c r="J13" s="136" t="str">
        <f>IF(E13&lt;&gt;"",IF(OR(H13="",E13="EJFANGST",H13="AREA"),-0.9,IF(COUNTIF(Artuppgifter!B$27:B$50,ROW()-ROW(F$10))&gt;1,ROUND(VLOOKUP(VLOOKUP(VLOOKUP(E13,Beräkningshjälp!$O$1:$U$60,7,FALSE),Beräkningshjälp!$M$1:$N$60,2,FALSE)&amp;" &gt;0+",Artuppgifter!$C$27:$N$50,IF(protokollAntalutfisk=1,10,11),FALSE),2),ROUND(VLOOKUP(ROW()-ROW(F$10),Artuppgifter!$B$27:$N$50,IF(protokollAntalutfisk=1,11,12),FALSE),2))),"")</f>
        <v/>
      </c>
      <c r="K13" s="136" t="str">
        <f>IF(E13&lt;&gt;"",IF(OR(E13="EJFANGST",I13="AREA",I13=""),-0.9,IF(COUNTIF(Artuppgifter!B$27:B$50,ROW()-ROW(K$10))&gt;1,ROUND(VLOOKUP(VLOOKUP(VLOOKUP(E13,Beräkningshjälp!$O$1:$U$60,7,FALSE),Beräkningshjälp!$M$1:$N$60,2,FALSE)&amp;" 0+",Artuppgifter!$C$27:$N$50,IF(protokollAntalutfisk=1,10,11),FALSE),2),-0.9)),"")</f>
        <v/>
      </c>
      <c r="L13" s="136" t="str">
        <f>IF(E13&lt;&gt;"",IF(ISNUMBER(VLOOKUP(VLOOKUP(VLOOKUP(E13,Beräkningshjälp!$O$1:$U$60,7,FALSE),Beräkningshjälp!$M$1:$N$60,2,FALSE),Artuppgifter!$J$11:$N$22,4,FALSE)),VLOOKUP(VLOOKUP(VLOOKUP(E13,Beräkningshjälp!$O$1:$U$60,7,FALSE),Beräkningshjälp!$M$1:$N$60,2,FALSE),Artuppgifter!$J$11:$N$22,4,FALSE),-9),"")</f>
        <v/>
      </c>
      <c r="M13" s="136" t="str">
        <f>IF(E13&lt;&gt;"",IF(ISNUMBER(VLOOKUP(VLOOKUP(VLOOKUP(E13,Beräkningshjälp!$O$1:$U$60,7,FALSE),Beräkningshjälp!$M$1:$N$60,2,FALSE),Artuppgifter!$J$11:$N$22,5,FALSE)),VLOOKUP(VLOOKUP(VLOOKUP(E13,Beräkningshjälp!$O$1:$U$60,7,FALSE),Beräkningshjälp!$M$1:$N$60,2,FALSE),Artuppgifter!$J$11:$N$22,5,FALSE),-9),"")</f>
        <v/>
      </c>
      <c r="N13" s="136" t="str">
        <f>IF(E13&lt;&gt;"",IF(ISNUMBER(VLOOKUP(VLOOKUP(VLOOKUP(E13,Beräkningshjälp!$O$1:$U$60,7,FALSE),Beräkningshjälp!$M$1:$N$60,2,FALSE),Artuppgifter!$J$11:$N$22,3,FALSE)),VLOOKUP(VLOOKUP(VLOOKUP(E13,Beräkningshjälp!$O$1:$U$60,7,FALSE),Beräkningshjälp!$M$1:$N$60,2,FALSE),Artuppgifter!$J$11:$N$22,3,FALSE),-9),"")</f>
        <v/>
      </c>
      <c r="O13" s="524" t="str">
        <f>IF(IF(ISNUMBER(VLOOKUP(VLOOKUP(VLOOKUP($E13,Beräkningshjälp!$O$2:$U$60,7,FALSE),Beräkningshjälp!$M$2:$N$60,2,FALSE),Artuppgifter!$C$26:$N$50,12,FALSE)),VLOOKUP(VLOOKUP(VLOOKUP($E13,Beräkningshjälp!$O$2:$U$60,7,FALSE),Beräkningshjälp!$M$2:$N$60,2,FALSE),Artuppgifter!$C$26:$N$50,12,FALSE)&gt;0,FALSE),"Eget P",IF(IF(ISNUMBER(VLOOKUP(VLOOKUP(VLOOKUP($E13,Beräkningshjälp!$O$2:$U$60,7,FALSE),Beräkningshjälp!$M$2:$N$60,2,FALSE)&amp;" &gt;0+",Artuppgifter!$C$26:$N$50,12,FALSE)),VLOOKUP(VLOOKUP(VLOOKUP($E13,Beräkningshjälp!$O$2:$U$60,7,FALSE),Beräkningshjälp!$M$2:$N$60,2,FALSE)&amp;" &gt;0+",Artuppgifter!$C$26:$N$50,12,FALSE)&gt;0,FALSE),"Eget P &gt;0+, ","")&amp;IF(IF(ISNUMBER(VLOOKUP(VLOOKUP(VLOOKUP($E13,Beräkningshjälp!$O$2:$U$60,7,FALSE),Beräkningshjälp!$M$2:$N$60,2,FALSE)&amp;" 0+",Artuppgifter!$C$26:$N$50,12,FALSE)),VLOOKUP(VLOOKUP(VLOOKUP($E13,Beräkningshjälp!$O$2:$U$60,7,FALSE),Beräkningshjälp!$M$2:$N$60,2,FALSE)&amp;" 0+",Artuppgifter!$C$26:$N$50,12,FALSE)&gt;0,FALSE),"Eget P 0+",""))</f>
        <v/>
      </c>
    </row>
    <row r="14" spans="1:58" x14ac:dyDescent="0.25">
      <c r="A14" s="2" t="str">
        <f t="shared" si="0"/>
        <v/>
      </c>
      <c r="B14" s="2" t="str">
        <f t="shared" si="1"/>
        <v/>
      </c>
      <c r="C14" s="2" t="str">
        <f t="shared" si="2"/>
        <v/>
      </c>
      <c r="D14" s="145" t="str">
        <f>IF(E14&lt;&gt;"",IF(Protokoll!$X$9&lt;&gt;"",D$7,-9),"")</f>
        <v/>
      </c>
      <c r="E14" s="136" t="str">
        <f>IF(Protokoll!$X$9&lt;&gt;"",IF(ISNUMBER(VLOOKUP(ROW()-ROW(E$10),Beräkningshjälp!$M$1:$O$60,1,FALSE)),IF(VLOOKUP(ROW()-ROW(E$10),Beräkningshjälp!$M$1:$O$60,2,FALSE)="INGEN FÅNGST","EJFANGST",VLOOKUP(ROW()-ROW(E$10),Beräkningshjälp!$M$1:$O$60,3,FALSE)),""),"")</f>
        <v/>
      </c>
      <c r="F14" s="136" t="str">
        <f>IF(E14&lt;&gt;"",IF(E14="EJFANGST",-9,IF(COUNTIF(Artuppgifter!B$27:B$50,ROW()-ROW(F$10))&gt;1,ROUND(VLOOKUP(VLOOKUP(VLOOKUP(E14,Beräkningshjälp!$O$1:$U$60,7,FALSE),Beräkningshjälp!$M$1:$N$60,2,FALSE)&amp;" &gt;0+",Artuppgifter!$C$27:$N$50,7,FALSE),1),ROUND(VLOOKUP(ROW()-ROW(F$10),Artuppgifter!$B$27:$N$50,8,FALSE),1))),"")</f>
        <v/>
      </c>
      <c r="G14" s="136" t="str">
        <f>IF(E14&lt;&gt;"",IF(E14="EJFANGST",-9,IF(COUNTIF(Artuppgifter!B$27:B$50,ROW()-ROW(F$10))&gt;1,ROUND(VLOOKUP(VLOOKUP(VLOOKUP(E14,Beräkningshjälp!$O$1:$U$60,7,FALSE),Beräkningshjälp!$M$1:$N$60,2,FALSE)&amp;" 0+",Artuppgifter!$C$27:$N$50,7,FALSE),1),-9)),"")</f>
        <v/>
      </c>
      <c r="H14" s="136" t="str">
        <f>IF(E14&lt;&gt;"",IF(E14="EJFANGST","",IF(COUNTIF(Artuppgifter!B$27:B$50,ROW()-ROW(F$10))&gt;1,VLOOKUP(VLOOKUP(VLOOKUP(E14,Beräkningshjälp!$O$1:$U$60,7,FALSE),Beräkningshjälp!$M$1:$N$60,2,FALSE)&amp;" &gt;0+",Artuppgifter!$C$27:$N$50,9,FALSE),VLOOKUP(ROW()-ROW(F$10),Artuppgifter!$B$27:$N$50,10,FALSE))),"")</f>
        <v/>
      </c>
      <c r="I14" s="136" t="str">
        <f>IF(E14&lt;&gt;"",IF(E14="EJFANGST","",IF(G14&gt;0,IF(COUNTIF(Artuppgifter!B$27:B$50,ROW()-ROW(I$10))&gt;1,VLOOKUP(VLOOKUP(VLOOKUP(E14,Beräkningshjälp!$O$1:$U$60,7,FALSE),Beräkningshjälp!$M$1:$N$60,2,FALSE)&amp;" 0+",Artuppgifter!$C$27:$N$50,9,FALSE),VLOOKUP(ROW()-ROW(I$10),Artuppgifter!$B$27:$N$50,10,FALSE)),"")),"")</f>
        <v/>
      </c>
      <c r="J14" s="136" t="str">
        <f>IF(E14&lt;&gt;"",IF(OR(H14="",E14="EJFANGST",H14="AREA"),-0.9,IF(COUNTIF(Artuppgifter!B$27:B$50,ROW()-ROW(F$10))&gt;1,ROUND(VLOOKUP(VLOOKUP(VLOOKUP(E14,Beräkningshjälp!$O$1:$U$60,7,FALSE),Beräkningshjälp!$M$1:$N$60,2,FALSE)&amp;" &gt;0+",Artuppgifter!$C$27:$N$50,IF(protokollAntalutfisk=1,10,11),FALSE),2),ROUND(VLOOKUP(ROW()-ROW(F$10),Artuppgifter!$B$27:$N$50,IF(protokollAntalutfisk=1,11,12),FALSE),2))),"")</f>
        <v/>
      </c>
      <c r="K14" s="136" t="str">
        <f>IF(E14&lt;&gt;"",IF(OR(E14="EJFANGST",I14="AREA",I14=""),-0.9,IF(COUNTIF(Artuppgifter!B$27:B$50,ROW()-ROW(K$10))&gt;1,ROUND(VLOOKUP(VLOOKUP(VLOOKUP(E14,Beräkningshjälp!$O$1:$U$60,7,FALSE),Beräkningshjälp!$M$1:$N$60,2,FALSE)&amp;" 0+",Artuppgifter!$C$27:$N$50,IF(protokollAntalutfisk=1,10,11),FALSE),2),-0.9)),"")</f>
        <v/>
      </c>
      <c r="L14" s="136" t="str">
        <f>IF(E14&lt;&gt;"",IF(ISNUMBER(VLOOKUP(VLOOKUP(VLOOKUP(E14,Beräkningshjälp!$O$1:$U$60,7,FALSE),Beräkningshjälp!$M$1:$N$60,2,FALSE),Artuppgifter!$J$11:$N$22,4,FALSE)),VLOOKUP(VLOOKUP(VLOOKUP(E14,Beräkningshjälp!$O$1:$U$60,7,FALSE),Beräkningshjälp!$M$1:$N$60,2,FALSE),Artuppgifter!$J$11:$N$22,4,FALSE),-9),"")</f>
        <v/>
      </c>
      <c r="M14" s="136" t="str">
        <f>IF(E14&lt;&gt;"",IF(ISNUMBER(VLOOKUP(VLOOKUP(VLOOKUP(E14,Beräkningshjälp!$O$1:$U$60,7,FALSE),Beräkningshjälp!$M$1:$N$60,2,FALSE),Artuppgifter!$J$11:$N$22,5,FALSE)),VLOOKUP(VLOOKUP(VLOOKUP(E14,Beräkningshjälp!$O$1:$U$60,7,FALSE),Beräkningshjälp!$M$1:$N$60,2,FALSE),Artuppgifter!$J$11:$N$22,5,FALSE),-9),"")</f>
        <v/>
      </c>
      <c r="N14" s="136" t="str">
        <f>IF(E14&lt;&gt;"",IF(ISNUMBER(VLOOKUP(VLOOKUP(VLOOKUP(E14,Beräkningshjälp!$O$1:$U$60,7,FALSE),Beräkningshjälp!$M$1:$N$60,2,FALSE),Artuppgifter!$J$11:$N$22,3,FALSE)),VLOOKUP(VLOOKUP(VLOOKUP(E14,Beräkningshjälp!$O$1:$U$60,7,FALSE),Beräkningshjälp!$M$1:$N$60,2,FALSE),Artuppgifter!$J$11:$N$22,3,FALSE),-9),"")</f>
        <v/>
      </c>
      <c r="O14" s="524" t="str">
        <f>IF(IF(ISNUMBER(VLOOKUP(VLOOKUP(VLOOKUP($E14,Beräkningshjälp!$O$2:$U$60,7,FALSE),Beräkningshjälp!$M$2:$N$60,2,FALSE),Artuppgifter!$C$26:$N$50,12,FALSE)),VLOOKUP(VLOOKUP(VLOOKUP($E14,Beräkningshjälp!$O$2:$U$60,7,FALSE),Beräkningshjälp!$M$2:$N$60,2,FALSE),Artuppgifter!$C$26:$N$50,12,FALSE)&gt;0,FALSE),"Eget P",IF(IF(ISNUMBER(VLOOKUP(VLOOKUP(VLOOKUP($E14,Beräkningshjälp!$O$2:$U$60,7,FALSE),Beräkningshjälp!$M$2:$N$60,2,FALSE)&amp;" &gt;0+",Artuppgifter!$C$26:$N$50,12,FALSE)),VLOOKUP(VLOOKUP(VLOOKUP($E14,Beräkningshjälp!$O$2:$U$60,7,FALSE),Beräkningshjälp!$M$2:$N$60,2,FALSE)&amp;" &gt;0+",Artuppgifter!$C$26:$N$50,12,FALSE)&gt;0,FALSE),"Eget P &gt;0+, ","")&amp;IF(IF(ISNUMBER(VLOOKUP(VLOOKUP(VLOOKUP($E14,Beräkningshjälp!$O$2:$U$60,7,FALSE),Beräkningshjälp!$M$2:$N$60,2,FALSE)&amp;" 0+",Artuppgifter!$C$26:$N$50,12,FALSE)),VLOOKUP(VLOOKUP(VLOOKUP($E14,Beräkningshjälp!$O$2:$U$60,7,FALSE),Beräkningshjälp!$M$2:$N$60,2,FALSE)&amp;" 0+",Artuppgifter!$C$26:$N$50,12,FALSE)&gt;0,FALSE),"Eget P 0+",""))</f>
        <v/>
      </c>
      <c r="Q14" s="2"/>
    </row>
    <row r="15" spans="1:58" x14ac:dyDescent="0.25">
      <c r="A15" s="2" t="str">
        <f t="shared" si="0"/>
        <v/>
      </c>
      <c r="B15" s="2" t="str">
        <f t="shared" si="1"/>
        <v/>
      </c>
      <c r="C15" s="2" t="str">
        <f t="shared" si="2"/>
        <v/>
      </c>
      <c r="D15" s="145" t="str">
        <f>IF(E15&lt;&gt;"",IF(Protokoll!$X$9&lt;&gt;"",D$7,-9),"")</f>
        <v/>
      </c>
      <c r="E15" s="136" t="str">
        <f>IF(Protokoll!$X$9&lt;&gt;"",IF(ISNUMBER(VLOOKUP(ROW()-ROW(E$10),Beräkningshjälp!$M$1:$O$60,1,FALSE)),IF(VLOOKUP(ROW()-ROW(E$10),Beräkningshjälp!$M$1:$O$60,2,FALSE)="INGEN FÅNGST","EJFANGST",VLOOKUP(ROW()-ROW(E$10),Beräkningshjälp!$M$1:$O$60,3,FALSE)),""),"")</f>
        <v/>
      </c>
      <c r="F15" s="136" t="str">
        <f>IF(E15&lt;&gt;"",IF(E15="EJFANGST",-9,IF(COUNTIF(Artuppgifter!B$27:B$50,ROW()-ROW(F$10))&gt;1,ROUND(VLOOKUP(VLOOKUP(VLOOKUP(E15,Beräkningshjälp!$O$1:$U$60,7,FALSE),Beräkningshjälp!$M$1:$N$60,2,FALSE)&amp;" &gt;0+",Artuppgifter!$C$27:$N$50,7,FALSE),1),ROUND(VLOOKUP(ROW()-ROW(F$10),Artuppgifter!$B$27:$N$50,8,FALSE),1))),"")</f>
        <v/>
      </c>
      <c r="G15" s="136" t="str">
        <f>IF(E15&lt;&gt;"",IF(E15="EJFANGST",-9,IF(COUNTIF(Artuppgifter!B$27:B$50,ROW()-ROW(F$10))&gt;1,ROUND(VLOOKUP(VLOOKUP(VLOOKUP(E15,Beräkningshjälp!$O$1:$U$60,7,FALSE),Beräkningshjälp!$M$1:$N$60,2,FALSE)&amp;" 0+",Artuppgifter!$C$27:$N$50,7,FALSE),1),-9)),"")</f>
        <v/>
      </c>
      <c r="H15" s="136" t="str">
        <f>IF(E15&lt;&gt;"",IF(E15="EJFANGST","",IF(COUNTIF(Artuppgifter!B$27:B$50,ROW()-ROW(F$10))&gt;1,VLOOKUP(VLOOKUP(VLOOKUP(E15,Beräkningshjälp!$O$1:$U$60,7,FALSE),Beräkningshjälp!$M$1:$N$60,2,FALSE)&amp;" &gt;0+",Artuppgifter!$C$27:$N$50,9,FALSE),VLOOKUP(ROW()-ROW(F$10),Artuppgifter!$B$27:$N$50,10,FALSE))),"")</f>
        <v/>
      </c>
      <c r="I15" s="136" t="str">
        <f>IF(E15&lt;&gt;"",IF(E15="EJFANGST","",IF(G15&gt;0,IF(COUNTIF(Artuppgifter!B$27:B$50,ROW()-ROW(I$10))&gt;1,VLOOKUP(VLOOKUP(VLOOKUP(E15,Beräkningshjälp!$O$1:$U$60,7,FALSE),Beräkningshjälp!$M$1:$N$60,2,FALSE)&amp;" 0+",Artuppgifter!$C$27:$N$50,9,FALSE),VLOOKUP(ROW()-ROW(I$10),Artuppgifter!$B$27:$N$50,10,FALSE)),"")),"")</f>
        <v/>
      </c>
      <c r="J15" s="136" t="str">
        <f>IF(E15&lt;&gt;"",IF(OR(H15="",E15="EJFANGST",H15="AREA"),-0.9,IF(COUNTIF(Artuppgifter!B$27:B$50,ROW()-ROW(F$10))&gt;1,ROUND(VLOOKUP(VLOOKUP(VLOOKUP(E15,Beräkningshjälp!$O$1:$U$60,7,FALSE),Beräkningshjälp!$M$1:$N$60,2,FALSE)&amp;" &gt;0+",Artuppgifter!$C$27:$N$50,IF(protokollAntalutfisk=1,10,11),FALSE),2),ROUND(VLOOKUP(ROW()-ROW(F$10),Artuppgifter!$B$27:$N$50,IF(protokollAntalutfisk=1,11,12),FALSE),2))),"")</f>
        <v/>
      </c>
      <c r="K15" s="136" t="str">
        <f>IF(E15&lt;&gt;"",IF(OR(E15="EJFANGST",I15="AREA",I15=""),-0.9,IF(COUNTIF(Artuppgifter!B$27:B$50,ROW()-ROW(K$10))&gt;1,ROUND(VLOOKUP(VLOOKUP(VLOOKUP(E15,Beräkningshjälp!$O$1:$U$60,7,FALSE),Beräkningshjälp!$M$1:$N$60,2,FALSE)&amp;" 0+",Artuppgifter!$C$27:$N$50,IF(protokollAntalutfisk=1,10,11),FALSE),2),-0.9)),"")</f>
        <v/>
      </c>
      <c r="L15" s="136" t="str">
        <f>IF(E15&lt;&gt;"",IF(ISNUMBER(VLOOKUP(VLOOKUP(VLOOKUP(E15,Beräkningshjälp!$O$1:$U$60,7,FALSE),Beräkningshjälp!$M$1:$N$60,2,FALSE),Artuppgifter!$J$11:$N$22,4,FALSE)),VLOOKUP(VLOOKUP(VLOOKUP(E15,Beräkningshjälp!$O$1:$U$60,7,FALSE),Beräkningshjälp!$M$1:$N$60,2,FALSE),Artuppgifter!$J$11:$N$22,4,FALSE),-9),"")</f>
        <v/>
      </c>
      <c r="M15" s="136" t="str">
        <f>IF(E15&lt;&gt;"",IF(ISNUMBER(VLOOKUP(VLOOKUP(VLOOKUP(E15,Beräkningshjälp!$O$1:$U$60,7,FALSE),Beräkningshjälp!$M$1:$N$60,2,FALSE),Artuppgifter!$J$11:$N$22,5,FALSE)),VLOOKUP(VLOOKUP(VLOOKUP(E15,Beräkningshjälp!$O$1:$U$60,7,FALSE),Beräkningshjälp!$M$1:$N$60,2,FALSE),Artuppgifter!$J$11:$N$22,5,FALSE),-9),"")</f>
        <v/>
      </c>
      <c r="N15" s="136" t="str">
        <f>IF(E15&lt;&gt;"",IF(ISNUMBER(VLOOKUP(VLOOKUP(VLOOKUP(E15,Beräkningshjälp!$O$1:$U$60,7,FALSE),Beräkningshjälp!$M$1:$N$60,2,FALSE),Artuppgifter!$J$11:$N$22,3,FALSE)),VLOOKUP(VLOOKUP(VLOOKUP(E15,Beräkningshjälp!$O$1:$U$60,7,FALSE),Beräkningshjälp!$M$1:$N$60,2,FALSE),Artuppgifter!$J$11:$N$22,3,FALSE),-9),"")</f>
        <v/>
      </c>
      <c r="O15" s="524" t="str">
        <f>IF(IF(ISNUMBER(VLOOKUP(VLOOKUP(VLOOKUP($E15,Beräkningshjälp!$O$2:$U$60,7,FALSE),Beräkningshjälp!$M$2:$N$60,2,FALSE),Artuppgifter!$C$26:$N$50,12,FALSE)),VLOOKUP(VLOOKUP(VLOOKUP($E15,Beräkningshjälp!$O$2:$U$60,7,FALSE),Beräkningshjälp!$M$2:$N$60,2,FALSE),Artuppgifter!$C$26:$N$50,12,FALSE)&gt;0,FALSE),"Eget P",IF(IF(ISNUMBER(VLOOKUP(VLOOKUP(VLOOKUP($E15,Beräkningshjälp!$O$2:$U$60,7,FALSE),Beräkningshjälp!$M$2:$N$60,2,FALSE)&amp;" &gt;0+",Artuppgifter!$C$26:$N$50,12,FALSE)),VLOOKUP(VLOOKUP(VLOOKUP($E15,Beräkningshjälp!$O$2:$U$60,7,FALSE),Beräkningshjälp!$M$2:$N$60,2,FALSE)&amp;" &gt;0+",Artuppgifter!$C$26:$N$50,12,FALSE)&gt;0,FALSE),"Eget P &gt;0+, ","")&amp;IF(IF(ISNUMBER(VLOOKUP(VLOOKUP(VLOOKUP($E15,Beräkningshjälp!$O$2:$U$60,7,FALSE),Beräkningshjälp!$M$2:$N$60,2,FALSE)&amp;" 0+",Artuppgifter!$C$26:$N$50,12,FALSE)),VLOOKUP(VLOOKUP(VLOOKUP($E15,Beräkningshjälp!$O$2:$U$60,7,FALSE),Beräkningshjälp!$M$2:$N$60,2,FALSE)&amp;" 0+",Artuppgifter!$C$26:$N$50,12,FALSE)&gt;0,FALSE),"Eget P 0+",""))</f>
        <v/>
      </c>
    </row>
    <row r="16" spans="1:58" x14ac:dyDescent="0.25">
      <c r="A16" s="2" t="str">
        <f t="shared" si="0"/>
        <v/>
      </c>
      <c r="B16" s="2" t="str">
        <f t="shared" si="1"/>
        <v/>
      </c>
      <c r="C16" s="2" t="str">
        <f t="shared" si="2"/>
        <v/>
      </c>
      <c r="D16" s="145" t="str">
        <f>IF(E16&lt;&gt;"",IF(Protokoll!$X$9&lt;&gt;"",D$7,-9),"")</f>
        <v/>
      </c>
      <c r="E16" s="136" t="str">
        <f>IF(Protokoll!$X$9&lt;&gt;"",IF(ISNUMBER(VLOOKUP(ROW()-ROW(E$10),Beräkningshjälp!$M$1:$O$60,1,FALSE)),IF(VLOOKUP(ROW()-ROW(E$10),Beräkningshjälp!$M$1:$O$60,2,FALSE)="INGEN FÅNGST","EJFANGST",VLOOKUP(ROW()-ROW(E$10),Beräkningshjälp!$M$1:$O$60,3,FALSE)),""),"")</f>
        <v/>
      </c>
      <c r="F16" s="136" t="str">
        <f>IF(E16&lt;&gt;"",IF(E16="EJFANGST",-9,IF(COUNTIF(Artuppgifter!B$27:B$50,ROW()-ROW(F$10))&gt;1,ROUND(VLOOKUP(VLOOKUP(VLOOKUP(E16,Beräkningshjälp!$O$1:$U$60,7,FALSE),Beräkningshjälp!$M$1:$N$60,2,FALSE)&amp;" &gt;0+",Artuppgifter!$C$27:$N$50,7,FALSE),1),ROUND(VLOOKUP(ROW()-ROW(F$10),Artuppgifter!$B$27:$N$50,8,FALSE),1))),"")</f>
        <v/>
      </c>
      <c r="G16" s="136" t="str">
        <f>IF(E16&lt;&gt;"",IF(E16="EJFANGST",-9,IF(COUNTIF(Artuppgifter!B$27:B$50,ROW()-ROW(F$10))&gt;1,ROUND(VLOOKUP(VLOOKUP(VLOOKUP(E16,Beräkningshjälp!$O$1:$U$60,7,FALSE),Beräkningshjälp!$M$1:$N$60,2,FALSE)&amp;" 0+",Artuppgifter!$C$27:$N$50,7,FALSE),1),-9)),"")</f>
        <v/>
      </c>
      <c r="H16" s="136" t="str">
        <f>IF(E16&lt;&gt;"",IF(E16="EJFANGST","",IF(COUNTIF(Artuppgifter!B$27:B$50,ROW()-ROW(F$10))&gt;1,VLOOKUP(VLOOKUP(VLOOKUP(E16,Beräkningshjälp!$O$1:$U$60,7,FALSE),Beräkningshjälp!$M$1:$N$60,2,FALSE)&amp;" &gt;0+",Artuppgifter!$C$27:$N$50,9,FALSE),VLOOKUP(ROW()-ROW(F$10),Artuppgifter!$B$27:$N$50,10,FALSE))),"")</f>
        <v/>
      </c>
      <c r="I16" s="136" t="str">
        <f>IF(E16&lt;&gt;"",IF(E16="EJFANGST","",IF(G16&gt;0,IF(COUNTIF(Artuppgifter!B$27:B$50,ROW()-ROW(I$10))&gt;1,VLOOKUP(VLOOKUP(VLOOKUP(E16,Beräkningshjälp!$O$1:$U$60,7,FALSE),Beräkningshjälp!$M$1:$N$60,2,FALSE)&amp;" 0+",Artuppgifter!$C$27:$N$50,9,FALSE),VLOOKUP(ROW()-ROW(I$10),Artuppgifter!$B$27:$N$50,10,FALSE)),"")),"")</f>
        <v/>
      </c>
      <c r="J16" s="136" t="str">
        <f>IF(E16&lt;&gt;"",IF(OR(H16="",E16="EJFANGST",H16="AREA"),-0.9,IF(COUNTIF(Artuppgifter!B$27:B$50,ROW()-ROW(F$10))&gt;1,ROUND(VLOOKUP(VLOOKUP(VLOOKUP(E16,Beräkningshjälp!$O$1:$U$60,7,FALSE),Beräkningshjälp!$M$1:$N$60,2,FALSE)&amp;" &gt;0+",Artuppgifter!$C$27:$N$50,IF(protokollAntalutfisk=1,10,11),FALSE),2),ROUND(VLOOKUP(ROW()-ROW(F$10),Artuppgifter!$B$27:$N$50,IF(protokollAntalutfisk=1,11,12),FALSE),2))),"")</f>
        <v/>
      </c>
      <c r="K16" s="136" t="str">
        <f>IF(E16&lt;&gt;"",IF(OR(E16="EJFANGST",I16="AREA",I16=""),-0.9,IF(COUNTIF(Artuppgifter!B$27:B$50,ROW()-ROW(K$10))&gt;1,ROUND(VLOOKUP(VLOOKUP(VLOOKUP(E16,Beräkningshjälp!$O$1:$U$60,7,FALSE),Beräkningshjälp!$M$1:$N$60,2,FALSE)&amp;" 0+",Artuppgifter!$C$27:$N$50,IF(protokollAntalutfisk=1,10,11),FALSE),2),-0.9)),"")</f>
        <v/>
      </c>
      <c r="L16" s="136" t="str">
        <f>IF(E16&lt;&gt;"",IF(ISNUMBER(VLOOKUP(VLOOKUP(VLOOKUP(E16,Beräkningshjälp!$O$1:$U$60,7,FALSE),Beräkningshjälp!$M$1:$N$60,2,FALSE),Artuppgifter!$J$11:$N$22,4,FALSE)),VLOOKUP(VLOOKUP(VLOOKUP(E16,Beräkningshjälp!$O$1:$U$60,7,FALSE),Beräkningshjälp!$M$1:$N$60,2,FALSE),Artuppgifter!$J$11:$N$22,4,FALSE),-9),"")</f>
        <v/>
      </c>
      <c r="M16" s="136" t="str">
        <f>IF(E16&lt;&gt;"",IF(ISNUMBER(VLOOKUP(VLOOKUP(VLOOKUP(E16,Beräkningshjälp!$O$1:$U$60,7,FALSE),Beräkningshjälp!$M$1:$N$60,2,FALSE),Artuppgifter!$J$11:$N$22,5,FALSE)),VLOOKUP(VLOOKUP(VLOOKUP(E16,Beräkningshjälp!$O$1:$U$60,7,FALSE),Beräkningshjälp!$M$1:$N$60,2,FALSE),Artuppgifter!$J$11:$N$22,5,FALSE),-9),"")</f>
        <v/>
      </c>
      <c r="N16" s="136" t="str">
        <f>IF(E16&lt;&gt;"",IF(ISNUMBER(VLOOKUP(VLOOKUP(VLOOKUP(E16,Beräkningshjälp!$O$1:$U$60,7,FALSE),Beräkningshjälp!$M$1:$N$60,2,FALSE),Artuppgifter!$J$11:$N$22,3,FALSE)),VLOOKUP(VLOOKUP(VLOOKUP(E16,Beräkningshjälp!$O$1:$U$60,7,FALSE),Beräkningshjälp!$M$1:$N$60,2,FALSE),Artuppgifter!$J$11:$N$22,3,FALSE),-9),"")</f>
        <v/>
      </c>
      <c r="O16" s="524" t="str">
        <f>IF(IF(ISNUMBER(VLOOKUP(VLOOKUP(VLOOKUP($E16,Beräkningshjälp!$O$2:$U$60,7,FALSE),Beräkningshjälp!$M$2:$N$60,2,FALSE),Artuppgifter!$C$26:$N$50,12,FALSE)),VLOOKUP(VLOOKUP(VLOOKUP($E16,Beräkningshjälp!$O$2:$U$60,7,FALSE),Beräkningshjälp!$M$2:$N$60,2,FALSE),Artuppgifter!$C$26:$N$50,12,FALSE)&gt;0,FALSE),"Eget P",IF(IF(ISNUMBER(VLOOKUP(VLOOKUP(VLOOKUP($E16,Beräkningshjälp!$O$2:$U$60,7,FALSE),Beräkningshjälp!$M$2:$N$60,2,FALSE)&amp;" &gt;0+",Artuppgifter!$C$26:$N$50,12,FALSE)),VLOOKUP(VLOOKUP(VLOOKUP($E16,Beräkningshjälp!$O$2:$U$60,7,FALSE),Beräkningshjälp!$M$2:$N$60,2,FALSE)&amp;" &gt;0+",Artuppgifter!$C$26:$N$50,12,FALSE)&gt;0,FALSE),"Eget P &gt;0+, ","")&amp;IF(IF(ISNUMBER(VLOOKUP(VLOOKUP(VLOOKUP($E16,Beräkningshjälp!$O$2:$U$60,7,FALSE),Beräkningshjälp!$M$2:$N$60,2,FALSE)&amp;" 0+",Artuppgifter!$C$26:$N$50,12,FALSE)),VLOOKUP(VLOOKUP(VLOOKUP($E16,Beräkningshjälp!$O$2:$U$60,7,FALSE),Beräkningshjälp!$M$2:$N$60,2,FALSE)&amp;" 0+",Artuppgifter!$C$26:$N$50,12,FALSE)&gt;0,FALSE),"Eget P 0+",""))</f>
        <v/>
      </c>
    </row>
    <row r="17" spans="1:18" s="2" customFormat="1" x14ac:dyDescent="0.25">
      <c r="A17" s="2" t="str">
        <f t="shared" ref="A17:A22" si="3">IF(D17&lt;&gt;"","FANGSTER","")</f>
        <v/>
      </c>
      <c r="B17" s="2" t="str">
        <f t="shared" si="1"/>
        <v/>
      </c>
      <c r="C17" s="2" t="str">
        <f t="shared" si="2"/>
        <v/>
      </c>
      <c r="D17" s="145" t="str">
        <f>IF(E17&lt;&gt;"",IF(Protokoll!$X$9&lt;&gt;"",D$7,-9),"")</f>
        <v/>
      </c>
      <c r="E17" s="136" t="str">
        <f>IF(Protokoll!$X$9&lt;&gt;"",IF(ISNUMBER(VLOOKUP(ROW()-ROW(E$10),Beräkningshjälp!$M$1:$O$60,1,FALSE)),IF(VLOOKUP(ROW()-ROW(E$10),Beräkningshjälp!$M$1:$O$60,2,FALSE)="INGEN FÅNGST","EJFANGST",VLOOKUP(ROW()-ROW(E$10),Beräkningshjälp!$M$1:$O$60,3,FALSE)),""),"")</f>
        <v/>
      </c>
      <c r="F17" s="136" t="str">
        <f>IF(E17&lt;&gt;"",IF(E17="EJFANGST",-9,IF(COUNTIF(Artuppgifter!B$27:B$50,ROW()-ROW(F$10))&gt;1,ROUND(VLOOKUP(VLOOKUP(VLOOKUP(E17,Beräkningshjälp!$O$1:$U$60,7,FALSE),Beräkningshjälp!$M$1:$N$60,2,FALSE)&amp;" &gt;0+",Artuppgifter!$C$27:$N$50,7,FALSE),1),ROUND(VLOOKUP(ROW()-ROW(F$10),Artuppgifter!$B$27:$N$50,8,FALSE),1))),"")</f>
        <v/>
      </c>
      <c r="G17" s="136" t="str">
        <f>IF(E17&lt;&gt;"",IF(E17="EJFANGST",-9,IF(COUNTIF(Artuppgifter!B$27:B$50,ROW()-ROW(F$10))&gt;1,ROUND(VLOOKUP(VLOOKUP(VLOOKUP(E17,Beräkningshjälp!$O$1:$U$60,7,FALSE),Beräkningshjälp!$M$1:$N$60,2,FALSE)&amp;" 0+",Artuppgifter!$C$27:$N$50,7,FALSE),1),-9)),"")</f>
        <v/>
      </c>
      <c r="H17" s="136" t="str">
        <f>IF(E17&lt;&gt;"",IF(E17="EJFANGST","",IF(COUNTIF(Artuppgifter!B$27:B$50,ROW()-ROW(F$10))&gt;1,VLOOKUP(VLOOKUP(VLOOKUP(E17,Beräkningshjälp!$O$1:$U$60,7,FALSE),Beräkningshjälp!$M$1:$N$60,2,FALSE)&amp;" &gt;0+",Artuppgifter!$C$27:$N$50,9,FALSE),VLOOKUP(ROW()-ROW(F$10),Artuppgifter!$B$27:$N$50,10,FALSE))),"")</f>
        <v/>
      </c>
      <c r="I17" s="136" t="str">
        <f>IF(E17&lt;&gt;"",IF(E17="EJFANGST","",IF(G17&gt;0,IF(COUNTIF(Artuppgifter!B$27:B$50,ROW()-ROW(I$10))&gt;1,VLOOKUP(VLOOKUP(VLOOKUP(E17,Beräkningshjälp!$O$1:$U$60,7,FALSE),Beräkningshjälp!$M$1:$N$60,2,FALSE)&amp;" 0+",Artuppgifter!$C$27:$N$50,9,FALSE),VLOOKUP(ROW()-ROW(I$10),Artuppgifter!$B$27:$N$50,10,FALSE)),"")),"")</f>
        <v/>
      </c>
      <c r="J17" s="136" t="str">
        <f>IF(E17&lt;&gt;"",IF(OR(H17="",E17="EJFANGST",H17="AREA"),-0.9,IF(COUNTIF(Artuppgifter!B$27:B$50,ROW()-ROW(F$10))&gt;1,ROUND(VLOOKUP(VLOOKUP(VLOOKUP(E17,Beräkningshjälp!$O$1:$U$60,7,FALSE),Beräkningshjälp!$M$1:$N$60,2,FALSE)&amp;" &gt;0+",Artuppgifter!$C$27:$N$50,IF(protokollAntalutfisk=1,10,11),FALSE),2),ROUND(VLOOKUP(ROW()-ROW(F$10),Artuppgifter!$B$27:$N$50,IF(protokollAntalutfisk=1,11,12),FALSE),2))),"")</f>
        <v/>
      </c>
      <c r="K17" s="136" t="str">
        <f>IF(E17&lt;&gt;"",IF(OR(E17="EJFANGST",I17="AREA",I17=""),-0.9,IF(COUNTIF(Artuppgifter!B$27:B$50,ROW()-ROW(K$10))&gt;1,ROUND(VLOOKUP(VLOOKUP(VLOOKUP(E17,Beräkningshjälp!$O$1:$U$60,7,FALSE),Beräkningshjälp!$M$1:$N$60,2,FALSE)&amp;" 0+",Artuppgifter!$C$27:$N$50,IF(protokollAntalutfisk=1,10,11),FALSE),2),-0.9)),"")</f>
        <v/>
      </c>
      <c r="L17" s="136" t="str">
        <f>IF(E17&lt;&gt;"",IF(ISNUMBER(VLOOKUP(VLOOKUP(VLOOKUP(E17,Beräkningshjälp!$O$1:$U$60,7,FALSE),Beräkningshjälp!$M$1:$N$60,2,FALSE),Artuppgifter!$J$11:$N$22,4,FALSE)),VLOOKUP(VLOOKUP(VLOOKUP(E17,Beräkningshjälp!$O$1:$U$60,7,FALSE),Beräkningshjälp!$M$1:$N$60,2,FALSE),Artuppgifter!$J$11:$N$22,4,FALSE),-9),"")</f>
        <v/>
      </c>
      <c r="M17" s="136" t="str">
        <f>IF(E17&lt;&gt;"",IF(ISNUMBER(VLOOKUP(VLOOKUP(VLOOKUP(E17,Beräkningshjälp!$O$1:$U$60,7,FALSE),Beräkningshjälp!$M$1:$N$60,2,FALSE),Artuppgifter!$J$11:$N$22,5,FALSE)),VLOOKUP(VLOOKUP(VLOOKUP(E17,Beräkningshjälp!$O$1:$U$60,7,FALSE),Beräkningshjälp!$M$1:$N$60,2,FALSE),Artuppgifter!$J$11:$N$22,5,FALSE),-9),"")</f>
        <v/>
      </c>
      <c r="N17" s="136" t="str">
        <f>IF(E17&lt;&gt;"",IF(ISNUMBER(VLOOKUP(VLOOKUP(VLOOKUP(E17,Beräkningshjälp!$O$1:$U$60,7,FALSE),Beräkningshjälp!$M$1:$N$60,2,FALSE),Artuppgifter!$J$11:$N$22,3,FALSE)),VLOOKUP(VLOOKUP(VLOOKUP(E17,Beräkningshjälp!$O$1:$U$60,7,FALSE),Beräkningshjälp!$M$1:$N$60,2,FALSE),Artuppgifter!$J$11:$N$22,3,FALSE),-9),"")</f>
        <v/>
      </c>
      <c r="O17" s="524" t="str">
        <f>IF(IF(ISNUMBER(VLOOKUP(VLOOKUP(VLOOKUP($E17,Beräkningshjälp!$O$2:$U$60,7,FALSE),Beräkningshjälp!$M$2:$N$60,2,FALSE),Artuppgifter!$C$26:$N$50,12,FALSE)),VLOOKUP(VLOOKUP(VLOOKUP($E17,Beräkningshjälp!$O$2:$U$60,7,FALSE),Beräkningshjälp!$M$2:$N$60,2,FALSE),Artuppgifter!$C$26:$N$50,12,FALSE)&gt;0,FALSE),"Eget P",IF(IF(ISNUMBER(VLOOKUP(VLOOKUP(VLOOKUP($E17,Beräkningshjälp!$O$2:$U$60,7,FALSE),Beräkningshjälp!$M$2:$N$60,2,FALSE)&amp;" &gt;0+",Artuppgifter!$C$26:$N$50,12,FALSE)),VLOOKUP(VLOOKUP(VLOOKUP($E17,Beräkningshjälp!$O$2:$U$60,7,FALSE),Beräkningshjälp!$M$2:$N$60,2,FALSE)&amp;" &gt;0+",Artuppgifter!$C$26:$N$50,12,FALSE)&gt;0,FALSE),"Eget P &gt;0+, ","")&amp;IF(IF(ISNUMBER(VLOOKUP(VLOOKUP(VLOOKUP($E17,Beräkningshjälp!$O$2:$U$60,7,FALSE),Beräkningshjälp!$M$2:$N$60,2,FALSE)&amp;" 0+",Artuppgifter!$C$26:$N$50,12,FALSE)),VLOOKUP(VLOOKUP(VLOOKUP($E17,Beräkningshjälp!$O$2:$U$60,7,FALSE),Beräkningshjälp!$M$2:$N$60,2,FALSE)&amp;" 0+",Artuppgifter!$C$26:$N$50,12,FALSE)&gt;0,FALSE),"Eget P 0+",""))</f>
        <v/>
      </c>
    </row>
    <row r="18" spans="1:18" s="2" customFormat="1" x14ac:dyDescent="0.25">
      <c r="A18" s="2" t="str">
        <f>IF(D18&lt;&gt;"","FANGSTER","")</f>
        <v/>
      </c>
      <c r="B18" s="2" t="str">
        <f t="shared" si="1"/>
        <v/>
      </c>
      <c r="C18" s="2" t="str">
        <f t="shared" si="2"/>
        <v/>
      </c>
      <c r="D18" s="145" t="str">
        <f>IF(E18&lt;&gt;"",IF(Protokoll!$X$9&lt;&gt;"",D$7,-9),"")</f>
        <v/>
      </c>
      <c r="E18" s="136" t="str">
        <f>IF(Protokoll!$X$9&lt;&gt;"",IF(ISNUMBER(VLOOKUP(ROW()-ROW(E$10),Beräkningshjälp!$M$1:$O$60,1,FALSE)),IF(VLOOKUP(ROW()-ROW(E$10),Beräkningshjälp!$M$1:$O$60,2,FALSE)="INGEN FÅNGST","EJFANGST",VLOOKUP(ROW()-ROW(E$10),Beräkningshjälp!$M$1:$O$60,3,FALSE)),""),"")</f>
        <v/>
      </c>
      <c r="F18" s="136" t="str">
        <f>IF(E18&lt;&gt;"",IF(E18="EJFANGST",-9,IF(COUNTIF(Artuppgifter!B$27:B$50,ROW()-ROW(F$10))&gt;1,ROUND(VLOOKUP(VLOOKUP(VLOOKUP(E18,Beräkningshjälp!$O$1:$U$60,7,FALSE),Beräkningshjälp!$M$1:$N$60,2,FALSE)&amp;" &gt;0+",Artuppgifter!$C$27:$N$50,7,FALSE),1),ROUND(VLOOKUP(ROW()-ROW(F$10),Artuppgifter!$B$27:$N$50,8,FALSE),1))),"")</f>
        <v/>
      </c>
      <c r="G18" s="136" t="str">
        <f>IF(E18&lt;&gt;"",IF(E18="EJFANGST",-9,IF(COUNTIF(Artuppgifter!B$27:B$50,ROW()-ROW(F$10))&gt;1,ROUND(VLOOKUP(VLOOKUP(VLOOKUP(E18,Beräkningshjälp!$O$1:$U$60,7,FALSE),Beräkningshjälp!$M$1:$N$60,2,FALSE)&amp;" 0+",Artuppgifter!$C$27:$N$50,7,FALSE),1),-9)),"")</f>
        <v/>
      </c>
      <c r="H18" s="136" t="str">
        <f>IF(E18&lt;&gt;"",IF(E18="EJFANGST","",IF(COUNTIF(Artuppgifter!B$27:B$50,ROW()-ROW(F$10))&gt;1,VLOOKUP(VLOOKUP(VLOOKUP(E18,Beräkningshjälp!$O$1:$U$60,7,FALSE),Beräkningshjälp!$M$1:$N$60,2,FALSE)&amp;" &gt;0+",Artuppgifter!$C$27:$N$50,9,FALSE),VLOOKUP(ROW()-ROW(F$10),Artuppgifter!$B$27:$N$50,10,FALSE))),"")</f>
        <v/>
      </c>
      <c r="I18" s="136" t="str">
        <f>IF(E18&lt;&gt;"",IF(E18="EJFANGST","",IF(G18&gt;0,IF(COUNTIF(Artuppgifter!B$27:B$50,ROW()-ROW(I$10))&gt;1,VLOOKUP(VLOOKUP(VLOOKUP(E18,Beräkningshjälp!$O$1:$U$60,7,FALSE),Beräkningshjälp!$M$1:$N$60,2,FALSE)&amp;" 0+",Artuppgifter!$C$27:$N$50,9,FALSE),VLOOKUP(ROW()-ROW(I$10),Artuppgifter!$B$27:$N$50,10,FALSE)),"")),"")</f>
        <v/>
      </c>
      <c r="J18" s="136" t="str">
        <f>IF(E18&lt;&gt;"",IF(OR(H18="",E18="EJFANGST",H18="AREA"),-0.9,IF(COUNTIF(Artuppgifter!B$27:B$50,ROW()-ROW(F$10))&gt;1,ROUND(VLOOKUP(VLOOKUP(VLOOKUP(E18,Beräkningshjälp!$O$1:$U$60,7,FALSE),Beräkningshjälp!$M$1:$N$60,2,FALSE)&amp;" &gt;0+",Artuppgifter!$C$27:$N$50,IF(protokollAntalutfisk=1,10,11),FALSE),2),ROUND(VLOOKUP(ROW()-ROW(F$10),Artuppgifter!$B$27:$N$50,IF(protokollAntalutfisk=1,11,12),FALSE),2))),"")</f>
        <v/>
      </c>
      <c r="K18" s="136" t="str">
        <f>IF(E18&lt;&gt;"",IF(OR(E18="EJFANGST",I18="AREA",I18=""),-0.9,IF(COUNTIF(Artuppgifter!B$27:B$50,ROW()-ROW(K$10))&gt;1,ROUND(VLOOKUP(VLOOKUP(VLOOKUP(E18,Beräkningshjälp!$O$1:$U$60,7,FALSE),Beräkningshjälp!$M$1:$N$60,2,FALSE)&amp;" 0+",Artuppgifter!$C$27:$N$50,IF(protokollAntalutfisk=1,10,11),FALSE),2),-0.9)),"")</f>
        <v/>
      </c>
      <c r="L18" s="136" t="str">
        <f>IF(E18&lt;&gt;"",IF(ISNUMBER(VLOOKUP(VLOOKUP(VLOOKUP(E18,Beräkningshjälp!$O$1:$U$60,7,FALSE),Beräkningshjälp!$M$1:$N$60,2,FALSE),Artuppgifter!$J$11:$N$22,4,FALSE)),VLOOKUP(VLOOKUP(VLOOKUP(E18,Beräkningshjälp!$O$1:$U$60,7,FALSE),Beräkningshjälp!$M$1:$N$60,2,FALSE),Artuppgifter!$J$11:$N$22,4,FALSE),-9),"")</f>
        <v/>
      </c>
      <c r="M18" s="136" t="str">
        <f>IF(E18&lt;&gt;"",IF(ISNUMBER(VLOOKUP(VLOOKUP(VLOOKUP(E18,Beräkningshjälp!$O$1:$U$60,7,FALSE),Beräkningshjälp!$M$1:$N$60,2,FALSE),Artuppgifter!$J$11:$N$22,5,FALSE)),VLOOKUP(VLOOKUP(VLOOKUP(E18,Beräkningshjälp!$O$1:$U$60,7,FALSE),Beräkningshjälp!$M$1:$N$60,2,FALSE),Artuppgifter!$J$11:$N$22,5,FALSE),-9),"")</f>
        <v/>
      </c>
      <c r="N18" s="136" t="str">
        <f>IF(E18&lt;&gt;"",IF(ISNUMBER(VLOOKUP(VLOOKUP(VLOOKUP(E18,Beräkningshjälp!$O$1:$U$60,7,FALSE),Beräkningshjälp!$M$1:$N$60,2,FALSE),Artuppgifter!$J$11:$N$22,3,FALSE)),VLOOKUP(VLOOKUP(VLOOKUP(E18,Beräkningshjälp!$O$1:$U$60,7,FALSE),Beräkningshjälp!$M$1:$N$60,2,FALSE),Artuppgifter!$J$11:$N$22,3,FALSE),-9),"")</f>
        <v/>
      </c>
      <c r="O18" s="524" t="str">
        <f>IF(IF(ISNUMBER(VLOOKUP(VLOOKUP(VLOOKUP($E18,Beräkningshjälp!$O$2:$U$60,7,FALSE),Beräkningshjälp!$M$2:$N$60,2,FALSE),Artuppgifter!$C$26:$N$50,12,FALSE)),VLOOKUP(VLOOKUP(VLOOKUP($E18,Beräkningshjälp!$O$2:$U$60,7,FALSE),Beräkningshjälp!$M$2:$N$60,2,FALSE),Artuppgifter!$C$26:$N$50,12,FALSE)&gt;0,FALSE),"Eget P",IF(IF(ISNUMBER(VLOOKUP(VLOOKUP(VLOOKUP($E18,Beräkningshjälp!$O$2:$U$60,7,FALSE),Beräkningshjälp!$M$2:$N$60,2,FALSE)&amp;" &gt;0+",Artuppgifter!$C$26:$N$50,12,FALSE)),VLOOKUP(VLOOKUP(VLOOKUP($E18,Beräkningshjälp!$O$2:$U$60,7,FALSE),Beräkningshjälp!$M$2:$N$60,2,FALSE)&amp;" &gt;0+",Artuppgifter!$C$26:$N$50,12,FALSE)&gt;0,FALSE),"Eget P &gt;0+, ","")&amp;IF(IF(ISNUMBER(VLOOKUP(VLOOKUP(VLOOKUP($E18,Beräkningshjälp!$O$2:$U$60,7,FALSE),Beräkningshjälp!$M$2:$N$60,2,FALSE)&amp;" 0+",Artuppgifter!$C$26:$N$50,12,FALSE)),VLOOKUP(VLOOKUP(VLOOKUP($E18,Beräkningshjälp!$O$2:$U$60,7,FALSE),Beräkningshjälp!$M$2:$N$60,2,FALSE)&amp;" 0+",Artuppgifter!$C$26:$N$50,12,FALSE)&gt;0,FALSE),"Eget P 0+",""))</f>
        <v/>
      </c>
    </row>
    <row r="19" spans="1:18" s="2" customFormat="1" x14ac:dyDescent="0.25">
      <c r="A19" s="2" t="str">
        <f t="shared" si="3"/>
        <v/>
      </c>
      <c r="B19" s="2" t="str">
        <f t="shared" si="1"/>
        <v/>
      </c>
      <c r="C19" s="2" t="str">
        <f t="shared" si="2"/>
        <v/>
      </c>
      <c r="D19" s="145" t="str">
        <f>IF(E19&lt;&gt;"",IF(Protokoll!$X$9&lt;&gt;"",D$7,-9),"")</f>
        <v/>
      </c>
      <c r="E19" s="136" t="str">
        <f>IF(Protokoll!$X$9&lt;&gt;"",IF(ISNUMBER(VLOOKUP(ROW()-ROW(E$10),Beräkningshjälp!$M$1:$O$60,1,FALSE)),IF(VLOOKUP(ROW()-ROW(E$10),Beräkningshjälp!$M$1:$O$60,2,FALSE)="INGEN FÅNGST","EJFANGST",VLOOKUP(ROW()-ROW(E$10),Beräkningshjälp!$M$1:$O$60,3,FALSE)),""),"")</f>
        <v/>
      </c>
      <c r="F19" s="136" t="str">
        <f>IF(E19&lt;&gt;"",IF(E19="EJFANGST",-9,IF(COUNTIF(Artuppgifter!B$27:B$50,ROW()-ROW(F$10))&gt;1,ROUND(VLOOKUP(VLOOKUP(VLOOKUP(E19,Beräkningshjälp!$O$1:$U$60,7,FALSE),Beräkningshjälp!$M$1:$N$60,2,FALSE)&amp;" &gt;0+",Artuppgifter!$C$27:$N$50,7,FALSE),1),ROUND(VLOOKUP(ROW()-ROW(F$10),Artuppgifter!$B$27:$N$50,8,FALSE),1))),"")</f>
        <v/>
      </c>
      <c r="G19" s="136" t="str">
        <f>IF(E19&lt;&gt;"",IF(E19="EJFANGST",-9,IF(COUNTIF(Artuppgifter!B$27:B$50,ROW()-ROW(F$10))&gt;1,ROUND(VLOOKUP(VLOOKUP(VLOOKUP(E19,Beräkningshjälp!$O$1:$U$60,7,FALSE),Beräkningshjälp!$M$1:$N$60,2,FALSE)&amp;" 0+",Artuppgifter!$C$27:$N$50,7,FALSE),1),-9)),"")</f>
        <v/>
      </c>
      <c r="H19" s="136" t="str">
        <f>IF(E19&lt;&gt;"",IF(E19="EJFANGST","",IF(COUNTIF(Artuppgifter!B$27:B$50,ROW()-ROW(F$10))&gt;1,VLOOKUP(VLOOKUP(VLOOKUP(E19,Beräkningshjälp!$O$1:$U$60,7,FALSE),Beräkningshjälp!$M$1:$N$60,2,FALSE)&amp;" &gt;0+",Artuppgifter!$C$27:$N$50,9,FALSE),VLOOKUP(ROW()-ROW(F$10),Artuppgifter!$B$27:$N$50,10,FALSE))),"")</f>
        <v/>
      </c>
      <c r="I19" s="136" t="str">
        <f>IF(E19&lt;&gt;"",IF(E19="EJFANGST","",IF(G19&gt;0,IF(COUNTIF(Artuppgifter!B$27:B$50,ROW()-ROW(I$10))&gt;1,VLOOKUP(VLOOKUP(VLOOKUP(E19,Beräkningshjälp!$O$1:$U$60,7,FALSE),Beräkningshjälp!$M$1:$N$60,2,FALSE)&amp;" 0+",Artuppgifter!$C$27:$N$50,9,FALSE),VLOOKUP(ROW()-ROW(I$10),Artuppgifter!$B$27:$N$50,10,FALSE)),"")),"")</f>
        <v/>
      </c>
      <c r="J19" s="136" t="str">
        <f>IF(E19&lt;&gt;"",IF(OR(H19="",E19="EJFANGST",H19="AREA"),-0.9,IF(COUNTIF(Artuppgifter!B$27:B$50,ROW()-ROW(F$10))&gt;1,ROUND(VLOOKUP(VLOOKUP(VLOOKUP(E19,Beräkningshjälp!$O$1:$U$60,7,FALSE),Beräkningshjälp!$M$1:$N$60,2,FALSE)&amp;" &gt;0+",Artuppgifter!$C$27:$N$50,IF(protokollAntalutfisk=1,10,11),FALSE),2),ROUND(VLOOKUP(ROW()-ROW(F$10),Artuppgifter!$B$27:$N$50,IF(protokollAntalutfisk=1,11,12),FALSE),2))),"")</f>
        <v/>
      </c>
      <c r="K19" s="136" t="str">
        <f>IF(E19&lt;&gt;"",IF(OR(E19="EJFANGST",I19="AREA",I19=""),-0.9,IF(COUNTIF(Artuppgifter!B$27:B$50,ROW()-ROW(K$10))&gt;1,ROUND(VLOOKUP(VLOOKUP(VLOOKUP(E19,Beräkningshjälp!$O$1:$U$60,7,FALSE),Beräkningshjälp!$M$1:$N$60,2,FALSE)&amp;" 0+",Artuppgifter!$C$27:$N$50,IF(protokollAntalutfisk=1,10,11),FALSE),2),-0.9)),"")</f>
        <v/>
      </c>
      <c r="L19" s="136" t="str">
        <f>IF(E19&lt;&gt;"",IF(ISNUMBER(VLOOKUP(VLOOKUP(VLOOKUP(E19,Beräkningshjälp!$O$1:$U$60,7,FALSE),Beräkningshjälp!$M$1:$N$60,2,FALSE),Artuppgifter!$J$11:$N$22,4,FALSE)),VLOOKUP(VLOOKUP(VLOOKUP(E19,Beräkningshjälp!$O$1:$U$60,7,FALSE),Beräkningshjälp!$M$1:$N$60,2,FALSE),Artuppgifter!$J$11:$N$22,4,FALSE),-9),"")</f>
        <v/>
      </c>
      <c r="M19" s="136" t="str">
        <f>IF(E19&lt;&gt;"",IF(ISNUMBER(VLOOKUP(VLOOKUP(VLOOKUP(E19,Beräkningshjälp!$O$1:$U$60,7,FALSE),Beräkningshjälp!$M$1:$N$60,2,FALSE),Artuppgifter!$J$11:$N$22,5,FALSE)),VLOOKUP(VLOOKUP(VLOOKUP(E19,Beräkningshjälp!$O$1:$U$60,7,FALSE),Beräkningshjälp!$M$1:$N$60,2,FALSE),Artuppgifter!$J$11:$N$22,5,FALSE),-9),"")</f>
        <v/>
      </c>
      <c r="N19" s="136" t="str">
        <f>IF(E19&lt;&gt;"",IF(ISNUMBER(VLOOKUP(VLOOKUP(VLOOKUP(E19,Beräkningshjälp!$O$1:$U$60,7,FALSE),Beräkningshjälp!$M$1:$N$60,2,FALSE),Artuppgifter!$J$11:$N$22,3,FALSE)),VLOOKUP(VLOOKUP(VLOOKUP(E19,Beräkningshjälp!$O$1:$U$60,7,FALSE),Beräkningshjälp!$M$1:$N$60,2,FALSE),Artuppgifter!$J$11:$N$22,3,FALSE),-9),"")</f>
        <v/>
      </c>
      <c r="O19" s="524" t="str">
        <f>IF(IF(ISNUMBER(VLOOKUP(VLOOKUP(VLOOKUP($E19,Beräkningshjälp!$O$2:$U$60,7,FALSE),Beräkningshjälp!$M$2:$N$60,2,FALSE),Artuppgifter!$C$26:$N$50,12,FALSE)),VLOOKUP(VLOOKUP(VLOOKUP($E19,Beräkningshjälp!$O$2:$U$60,7,FALSE),Beräkningshjälp!$M$2:$N$60,2,FALSE),Artuppgifter!$C$26:$N$50,12,FALSE)&gt;0,FALSE),"Eget P",IF(IF(ISNUMBER(VLOOKUP(VLOOKUP(VLOOKUP($E19,Beräkningshjälp!$O$2:$U$60,7,FALSE),Beräkningshjälp!$M$2:$N$60,2,FALSE)&amp;" &gt;0+",Artuppgifter!$C$26:$N$50,12,FALSE)),VLOOKUP(VLOOKUP(VLOOKUP($E19,Beräkningshjälp!$O$2:$U$60,7,FALSE),Beräkningshjälp!$M$2:$N$60,2,FALSE)&amp;" &gt;0+",Artuppgifter!$C$26:$N$50,12,FALSE)&gt;0,FALSE),"Eget P &gt;0+, ","")&amp;IF(IF(ISNUMBER(VLOOKUP(VLOOKUP(VLOOKUP($E19,Beräkningshjälp!$O$2:$U$60,7,FALSE),Beräkningshjälp!$M$2:$N$60,2,FALSE)&amp;" 0+",Artuppgifter!$C$26:$N$50,12,FALSE)),VLOOKUP(VLOOKUP(VLOOKUP($E19,Beräkningshjälp!$O$2:$U$60,7,FALSE),Beräkningshjälp!$M$2:$N$60,2,FALSE)&amp;" 0+",Artuppgifter!$C$26:$N$50,12,FALSE)&gt;0,FALSE),"Eget P 0+",""))</f>
        <v/>
      </c>
    </row>
    <row r="20" spans="1:18" s="2" customFormat="1" x14ac:dyDescent="0.25">
      <c r="A20" s="2" t="str">
        <f t="shared" si="3"/>
        <v/>
      </c>
      <c r="B20" s="2" t="str">
        <f t="shared" si="1"/>
        <v/>
      </c>
      <c r="C20" s="2" t="str">
        <f t="shared" si="2"/>
        <v/>
      </c>
      <c r="D20" s="145" t="str">
        <f>IF(E20&lt;&gt;"",IF(Protokoll!$X$9&lt;&gt;"",D$7,-9),"")</f>
        <v/>
      </c>
      <c r="E20" s="136" t="str">
        <f>IF(Protokoll!$X$9&lt;&gt;"",IF(ISNUMBER(VLOOKUP(ROW()-ROW(E$10),Beräkningshjälp!$M$1:$O$60,1,FALSE)),IF(VLOOKUP(ROW()-ROW(E$10),Beräkningshjälp!$M$1:$O$60,2,FALSE)="INGEN FÅNGST","EJFANGST",VLOOKUP(ROW()-ROW(E$10),Beräkningshjälp!$M$1:$O$60,3,FALSE)),""),"")</f>
        <v/>
      </c>
      <c r="F20" s="136" t="str">
        <f>IF(E20&lt;&gt;"",IF(E20="EJFANGST",-9,IF(COUNTIF(Artuppgifter!B$27:B$50,ROW()-ROW(F$10))&gt;1,ROUND(VLOOKUP(VLOOKUP(VLOOKUP(E20,Beräkningshjälp!$O$1:$U$60,7,FALSE),Beräkningshjälp!$M$1:$N$60,2,FALSE)&amp;" &gt;0+",Artuppgifter!$C$27:$N$50,7,FALSE),1),ROUND(VLOOKUP(ROW()-ROW(F$10),Artuppgifter!$B$27:$N$50,8,FALSE),1))),"")</f>
        <v/>
      </c>
      <c r="G20" s="136" t="str">
        <f>IF(E20&lt;&gt;"",IF(E20="EJFANGST",-9,IF(COUNTIF(Artuppgifter!B$27:B$50,ROW()-ROW(F$10))&gt;1,ROUND(VLOOKUP(VLOOKUP(VLOOKUP(E20,Beräkningshjälp!$O$1:$U$60,7,FALSE),Beräkningshjälp!$M$1:$N$60,2,FALSE)&amp;" 0+",Artuppgifter!$C$27:$N$50,7,FALSE),1),-9)),"")</f>
        <v/>
      </c>
      <c r="H20" s="136" t="str">
        <f>IF(E20&lt;&gt;"",IF(E20="EJFANGST","",IF(COUNTIF(Artuppgifter!B$27:B$50,ROW()-ROW(F$10))&gt;1,VLOOKUP(VLOOKUP(VLOOKUP(E20,Beräkningshjälp!$O$1:$U$60,7,FALSE),Beräkningshjälp!$M$1:$N$60,2,FALSE)&amp;" &gt;0+",Artuppgifter!$C$27:$N$50,9,FALSE),VLOOKUP(ROW()-ROW(F$10),Artuppgifter!$B$27:$N$50,10,FALSE))),"")</f>
        <v/>
      </c>
      <c r="I20" s="136" t="str">
        <f>IF(E20&lt;&gt;"",IF(E20="EJFANGST","",IF(G20&gt;0,IF(COUNTIF(Artuppgifter!B$27:B$50,ROW()-ROW(I$10))&gt;1,VLOOKUP(VLOOKUP(VLOOKUP(E20,Beräkningshjälp!$O$1:$U$60,7,FALSE),Beräkningshjälp!$M$1:$N$60,2,FALSE)&amp;" 0+",Artuppgifter!$C$27:$N$50,9,FALSE),VLOOKUP(ROW()-ROW(I$10),Artuppgifter!$B$27:$N$50,10,FALSE)),"")),"")</f>
        <v/>
      </c>
      <c r="J20" s="136" t="str">
        <f>IF(E20&lt;&gt;"",IF(OR(H20="",E20="EJFANGST",H20="AREA"),-0.9,IF(COUNTIF(Artuppgifter!B$27:B$50,ROW()-ROW(F$10))&gt;1,ROUND(VLOOKUP(VLOOKUP(VLOOKUP(E20,Beräkningshjälp!$O$1:$U$60,7,FALSE),Beräkningshjälp!$M$1:$N$60,2,FALSE)&amp;" &gt;0+",Artuppgifter!$C$27:$N$50,IF(protokollAntalutfisk=1,10,11),FALSE),2),ROUND(VLOOKUP(ROW()-ROW(F$10),Artuppgifter!$B$27:$N$50,IF(protokollAntalutfisk=1,11,12),FALSE),2))),"")</f>
        <v/>
      </c>
      <c r="K20" s="136" t="str">
        <f>IF(E20&lt;&gt;"",IF(OR(E20="EJFANGST",I20="AREA",I20=""),-0.9,IF(COUNTIF(Artuppgifter!B$27:B$50,ROW()-ROW(K$10))&gt;1,ROUND(VLOOKUP(VLOOKUP(VLOOKUP(E20,Beräkningshjälp!$O$1:$U$60,7,FALSE),Beräkningshjälp!$M$1:$N$60,2,FALSE)&amp;" 0+",Artuppgifter!$C$27:$N$50,IF(protokollAntalutfisk=1,10,11),FALSE),2),-0.9)),"")</f>
        <v/>
      </c>
      <c r="L20" s="136" t="str">
        <f>IF(E20&lt;&gt;"",IF(ISNUMBER(VLOOKUP(VLOOKUP(VLOOKUP(E20,Beräkningshjälp!$O$1:$U$60,7,FALSE),Beräkningshjälp!$M$1:$N$60,2,FALSE),Artuppgifter!$J$11:$N$22,4,FALSE)),VLOOKUP(VLOOKUP(VLOOKUP(E20,Beräkningshjälp!$O$1:$U$60,7,FALSE),Beräkningshjälp!$M$1:$N$60,2,FALSE),Artuppgifter!$J$11:$N$22,4,FALSE),-9),"")</f>
        <v/>
      </c>
      <c r="M20" s="136" t="str">
        <f>IF(E20&lt;&gt;"",IF(ISNUMBER(VLOOKUP(VLOOKUP(VLOOKUP(E20,Beräkningshjälp!$O$1:$U$60,7,FALSE),Beräkningshjälp!$M$1:$N$60,2,FALSE),Artuppgifter!$J$11:$N$22,5,FALSE)),VLOOKUP(VLOOKUP(VLOOKUP(E20,Beräkningshjälp!$O$1:$U$60,7,FALSE),Beräkningshjälp!$M$1:$N$60,2,FALSE),Artuppgifter!$J$11:$N$22,5,FALSE),-9),"")</f>
        <v/>
      </c>
      <c r="N20" s="136" t="str">
        <f>IF(E20&lt;&gt;"",IF(ISNUMBER(VLOOKUP(VLOOKUP(VLOOKUP(E20,Beräkningshjälp!$O$1:$U$60,7,FALSE),Beräkningshjälp!$M$1:$N$60,2,FALSE),Artuppgifter!$J$11:$N$22,3,FALSE)),VLOOKUP(VLOOKUP(VLOOKUP(E20,Beräkningshjälp!$O$1:$U$60,7,FALSE),Beräkningshjälp!$M$1:$N$60,2,FALSE),Artuppgifter!$J$11:$N$22,3,FALSE),-9),"")</f>
        <v/>
      </c>
      <c r="O20" s="524" t="str">
        <f>IF(IF(ISNUMBER(VLOOKUP(VLOOKUP(VLOOKUP($E20,Beräkningshjälp!$O$2:$U$60,7,FALSE),Beräkningshjälp!$M$2:$N$60,2,FALSE),Artuppgifter!$C$26:$N$50,12,FALSE)),VLOOKUP(VLOOKUP(VLOOKUP($E20,Beräkningshjälp!$O$2:$U$60,7,FALSE),Beräkningshjälp!$M$2:$N$60,2,FALSE),Artuppgifter!$C$26:$N$50,12,FALSE)&gt;0,FALSE),"Eget P",IF(IF(ISNUMBER(VLOOKUP(VLOOKUP(VLOOKUP($E20,Beräkningshjälp!$O$2:$U$60,7,FALSE),Beräkningshjälp!$M$2:$N$60,2,FALSE)&amp;" &gt;0+",Artuppgifter!$C$26:$N$50,12,FALSE)),VLOOKUP(VLOOKUP(VLOOKUP($E20,Beräkningshjälp!$O$2:$U$60,7,FALSE),Beräkningshjälp!$M$2:$N$60,2,FALSE)&amp;" &gt;0+",Artuppgifter!$C$26:$N$50,12,FALSE)&gt;0,FALSE),"Eget P &gt;0+, ","")&amp;IF(IF(ISNUMBER(VLOOKUP(VLOOKUP(VLOOKUP($E20,Beräkningshjälp!$O$2:$U$60,7,FALSE),Beräkningshjälp!$M$2:$N$60,2,FALSE)&amp;" 0+",Artuppgifter!$C$26:$N$50,12,FALSE)),VLOOKUP(VLOOKUP(VLOOKUP($E20,Beräkningshjälp!$O$2:$U$60,7,FALSE),Beräkningshjälp!$M$2:$N$60,2,FALSE)&amp;" 0+",Artuppgifter!$C$26:$N$50,12,FALSE)&gt;0,FALSE),"Eget P 0+",""))</f>
        <v/>
      </c>
    </row>
    <row r="21" spans="1:18" s="2" customFormat="1" x14ac:dyDescent="0.25">
      <c r="A21" s="2" t="str">
        <f t="shared" si="3"/>
        <v/>
      </c>
      <c r="B21" s="2" t="str">
        <f t="shared" si="1"/>
        <v/>
      </c>
      <c r="C21" s="2" t="str">
        <f t="shared" si="2"/>
        <v/>
      </c>
      <c r="D21" s="145" t="str">
        <f>IF(E21&lt;&gt;"",IF(Protokoll!$X$9&lt;&gt;"",D$7,-9),"")</f>
        <v/>
      </c>
      <c r="E21" s="136" t="str">
        <f>IF(Protokoll!$X$9&lt;&gt;"",IF(ISNUMBER(VLOOKUP(ROW()-ROW(E$10),Beräkningshjälp!$M$1:$O$60,1,FALSE)),IF(VLOOKUP(ROW()-ROW(E$10),Beräkningshjälp!$M$1:$O$60,2,FALSE)="INGEN FÅNGST","EJFANGST",VLOOKUP(ROW()-ROW(E$10),Beräkningshjälp!$M$1:$O$60,3,FALSE)),""),"")</f>
        <v/>
      </c>
      <c r="F21" s="136" t="str">
        <f>IF(E21&lt;&gt;"",IF(E21="EJFANGST",-9,IF(COUNTIF(Artuppgifter!B$27:B$50,ROW()-ROW(F$10))&gt;1,ROUND(VLOOKUP(VLOOKUP(VLOOKUP(E21,Beräkningshjälp!$O$1:$U$60,7,FALSE),Beräkningshjälp!$M$1:$N$60,2,FALSE)&amp;" &gt;0+",Artuppgifter!$C$27:$N$50,7,FALSE),1),ROUND(VLOOKUP(ROW()-ROW(F$10),Artuppgifter!$B$27:$N$50,8,FALSE),1))),"")</f>
        <v/>
      </c>
      <c r="G21" s="136" t="str">
        <f>IF(E21&lt;&gt;"",IF(E21="EJFANGST",-9,IF(COUNTIF(Artuppgifter!B$27:B$50,ROW()-ROW(F$10))&gt;1,ROUND(VLOOKUP(VLOOKUP(VLOOKUP(E21,Beräkningshjälp!$O$1:$U$60,7,FALSE),Beräkningshjälp!$M$1:$N$60,2,FALSE)&amp;" 0+",Artuppgifter!$C$27:$N$50,7,FALSE),1),-9)),"")</f>
        <v/>
      </c>
      <c r="H21" s="136" t="str">
        <f>IF(E21&lt;&gt;"",IF(E21="EJFANGST","",IF(COUNTIF(Artuppgifter!B$27:B$50,ROW()-ROW(F$10))&gt;1,VLOOKUP(VLOOKUP(VLOOKUP(E21,Beräkningshjälp!$O$1:$U$60,7,FALSE),Beräkningshjälp!$M$1:$N$60,2,FALSE)&amp;" &gt;0+",Artuppgifter!$C$27:$N$50,9,FALSE),VLOOKUP(ROW()-ROW(F$10),Artuppgifter!$B$27:$N$50,10,FALSE))),"")</f>
        <v/>
      </c>
      <c r="I21" s="136" t="str">
        <f>IF(E21&lt;&gt;"",IF(E21="EJFANGST","",IF(G21&gt;0,IF(COUNTIF(Artuppgifter!B$27:B$50,ROW()-ROW(I$10))&gt;1,VLOOKUP(VLOOKUP(VLOOKUP(E21,Beräkningshjälp!$O$1:$U$60,7,FALSE),Beräkningshjälp!$M$1:$N$60,2,FALSE)&amp;" 0+",Artuppgifter!$C$27:$N$50,9,FALSE),VLOOKUP(ROW()-ROW(I$10),Artuppgifter!$B$27:$N$50,10,FALSE)),"")),"")</f>
        <v/>
      </c>
      <c r="J21" s="136" t="str">
        <f>IF(E21&lt;&gt;"",IF(OR(H21="",E21="EJFANGST",H21="AREA"),-0.9,IF(COUNTIF(Artuppgifter!B$27:B$50,ROW()-ROW(F$10))&gt;1,ROUND(VLOOKUP(VLOOKUP(VLOOKUP(E21,Beräkningshjälp!$O$1:$U$60,7,FALSE),Beräkningshjälp!$M$1:$N$60,2,FALSE)&amp;" &gt;0+",Artuppgifter!$C$27:$N$50,IF(protokollAntalutfisk=1,10,11),FALSE),2),ROUND(VLOOKUP(ROW()-ROW(F$10),Artuppgifter!$B$27:$N$50,IF(protokollAntalutfisk=1,11,12),FALSE),2))),"")</f>
        <v/>
      </c>
      <c r="K21" s="136" t="str">
        <f>IF(E21&lt;&gt;"",IF(OR(E21="EJFANGST",I21="AREA",I21=""),-0.9,IF(COUNTIF(Artuppgifter!B$27:B$50,ROW()-ROW(K$10))&gt;1,ROUND(VLOOKUP(VLOOKUP(VLOOKUP(E21,Beräkningshjälp!$O$1:$U$60,7,FALSE),Beräkningshjälp!$M$1:$N$60,2,FALSE)&amp;" 0+",Artuppgifter!$C$27:$N$50,IF(protokollAntalutfisk=1,10,11),FALSE),2),-0.9)),"")</f>
        <v/>
      </c>
      <c r="L21" s="136" t="str">
        <f>IF(E21&lt;&gt;"",IF(ISNUMBER(VLOOKUP(VLOOKUP(VLOOKUP(E21,Beräkningshjälp!$O$1:$U$60,7,FALSE),Beräkningshjälp!$M$1:$N$60,2,FALSE),Artuppgifter!$J$11:$N$22,4,FALSE)),VLOOKUP(VLOOKUP(VLOOKUP(E21,Beräkningshjälp!$O$1:$U$60,7,FALSE),Beräkningshjälp!$M$1:$N$60,2,FALSE),Artuppgifter!$J$11:$N$22,4,FALSE),-9),"")</f>
        <v/>
      </c>
      <c r="M21" s="136" t="str">
        <f>IF(E21&lt;&gt;"",IF(ISNUMBER(VLOOKUP(VLOOKUP(VLOOKUP(E21,Beräkningshjälp!$O$1:$U$60,7,FALSE),Beräkningshjälp!$M$1:$N$60,2,FALSE),Artuppgifter!$J$11:$N$22,5,FALSE)),VLOOKUP(VLOOKUP(VLOOKUP(E21,Beräkningshjälp!$O$1:$U$60,7,FALSE),Beräkningshjälp!$M$1:$N$60,2,FALSE),Artuppgifter!$J$11:$N$22,5,FALSE),-9),"")</f>
        <v/>
      </c>
      <c r="N21" s="136" t="str">
        <f>IF(E21&lt;&gt;"",IF(ISNUMBER(VLOOKUP(VLOOKUP(VLOOKUP(E21,Beräkningshjälp!$O$1:$U$60,7,FALSE),Beräkningshjälp!$M$1:$N$60,2,FALSE),Artuppgifter!$J$11:$N$22,3,FALSE)),VLOOKUP(VLOOKUP(VLOOKUP(E21,Beräkningshjälp!$O$1:$U$60,7,FALSE),Beräkningshjälp!$M$1:$N$60,2,FALSE),Artuppgifter!$J$11:$N$22,3,FALSE),-9),"")</f>
        <v/>
      </c>
      <c r="O21" s="524" t="str">
        <f>IF(IF(ISNUMBER(VLOOKUP(VLOOKUP(VLOOKUP($E21,Beräkningshjälp!$O$2:$U$60,7,FALSE),Beräkningshjälp!$M$2:$N$60,2,FALSE),Artuppgifter!$C$26:$N$50,12,FALSE)),VLOOKUP(VLOOKUP(VLOOKUP($E21,Beräkningshjälp!$O$2:$U$60,7,FALSE),Beräkningshjälp!$M$2:$N$60,2,FALSE),Artuppgifter!$C$26:$N$50,12,FALSE)&gt;0,FALSE),"Eget P",IF(IF(ISNUMBER(VLOOKUP(VLOOKUP(VLOOKUP($E21,Beräkningshjälp!$O$2:$U$60,7,FALSE),Beräkningshjälp!$M$2:$N$60,2,FALSE)&amp;" &gt;0+",Artuppgifter!$C$26:$N$50,12,FALSE)),VLOOKUP(VLOOKUP(VLOOKUP($E21,Beräkningshjälp!$O$2:$U$60,7,FALSE),Beräkningshjälp!$M$2:$N$60,2,FALSE)&amp;" &gt;0+",Artuppgifter!$C$26:$N$50,12,FALSE)&gt;0,FALSE),"Eget P &gt;0+, ","")&amp;IF(IF(ISNUMBER(VLOOKUP(VLOOKUP(VLOOKUP($E21,Beräkningshjälp!$O$2:$U$60,7,FALSE),Beräkningshjälp!$M$2:$N$60,2,FALSE)&amp;" 0+",Artuppgifter!$C$26:$N$50,12,FALSE)),VLOOKUP(VLOOKUP(VLOOKUP($E21,Beräkningshjälp!$O$2:$U$60,7,FALSE),Beräkningshjälp!$M$2:$N$60,2,FALSE)&amp;" 0+",Artuppgifter!$C$26:$N$50,12,FALSE)&gt;0,FALSE),"Eget P 0+",""))</f>
        <v/>
      </c>
    </row>
    <row r="22" spans="1:18" s="2" customFormat="1" x14ac:dyDescent="0.25">
      <c r="A22" s="2" t="str">
        <f t="shared" si="3"/>
        <v/>
      </c>
      <c r="B22" s="2" t="str">
        <f t="shared" si="1"/>
        <v/>
      </c>
      <c r="C22" s="2" t="str">
        <f t="shared" si="2"/>
        <v/>
      </c>
      <c r="D22" s="145" t="str">
        <f>IF(E22&lt;&gt;"",IF(Protokoll!$X$9&lt;&gt;"",D$7,-9),"")</f>
        <v/>
      </c>
      <c r="E22" s="136" t="str">
        <f>IF(Protokoll!$X$9&lt;&gt;"",IF(ISNUMBER(VLOOKUP(ROW()-ROW(E$10),Beräkningshjälp!$M$1:$O$60,1,FALSE)),IF(VLOOKUP(ROW()-ROW(E$10),Beräkningshjälp!$M$1:$O$60,2,FALSE)="INGEN FÅNGST","EJFANGST",VLOOKUP(ROW()-ROW(E$10),Beräkningshjälp!$M$1:$O$60,3,FALSE)),""),"")</f>
        <v/>
      </c>
      <c r="F22" s="136" t="str">
        <f>IF(E22&lt;&gt;"",IF(E22="EJFANGST",-9,IF(COUNTIF(Artuppgifter!B$27:B$50,ROW()-ROW(F$10))&gt;1,ROUND(VLOOKUP(VLOOKUP(VLOOKUP(E22,Beräkningshjälp!$O$1:$U$60,7,FALSE),Beräkningshjälp!$M$1:$N$60,2,FALSE)&amp;" &gt;0+",Artuppgifter!$C$27:$N$50,7,FALSE),1),ROUND(VLOOKUP(ROW()-ROW(F$10),Artuppgifter!$B$27:$N$50,8,FALSE),1))),"")</f>
        <v/>
      </c>
      <c r="G22" s="136" t="str">
        <f>IF(E22&lt;&gt;"",IF(E22="EJFANGST",-9,IF(COUNTIF(Artuppgifter!B$27:B$50,ROW()-ROW(F$10))&gt;1,ROUND(VLOOKUP(VLOOKUP(VLOOKUP(E22,Beräkningshjälp!$O$1:$U$60,7,FALSE),Beräkningshjälp!$M$1:$N$60,2,FALSE)&amp;" 0+",Artuppgifter!$C$27:$N$50,7,FALSE),1),-9)),"")</f>
        <v/>
      </c>
      <c r="H22" s="136" t="str">
        <f>IF(E22&lt;&gt;"",IF(E22="EJFANGST","",IF(COUNTIF(Artuppgifter!B$27:B$50,ROW()-ROW(F$10))&gt;1,VLOOKUP(VLOOKUP(VLOOKUP(E22,Beräkningshjälp!$O$1:$U$60,7,FALSE),Beräkningshjälp!$M$1:$N$60,2,FALSE)&amp;" &gt;0+",Artuppgifter!$C$27:$N$50,9,FALSE),VLOOKUP(ROW()-ROW(F$10),Artuppgifter!$B$27:$N$50,10,FALSE))),"")</f>
        <v/>
      </c>
      <c r="I22" s="136" t="str">
        <f>IF(E22&lt;&gt;"",IF(E22="EJFANGST","",IF(G22&gt;0,IF(COUNTIF(Artuppgifter!B$27:B$50,ROW()-ROW(I$10))&gt;1,VLOOKUP(VLOOKUP(VLOOKUP(E22,Beräkningshjälp!$O$1:$U$60,7,FALSE),Beräkningshjälp!$M$1:$N$60,2,FALSE)&amp;" 0+",Artuppgifter!$C$27:$N$50,9,FALSE),VLOOKUP(ROW()-ROW(I$10),Artuppgifter!$B$27:$N$50,10,FALSE)),"")),"")</f>
        <v/>
      </c>
      <c r="J22" s="136" t="str">
        <f>IF(E22&lt;&gt;"",IF(OR(H22="",E22="EJFANGST",H22="AREA"),-0.9,IF(COUNTIF(Artuppgifter!B$27:B$50,ROW()-ROW(F$10))&gt;1,ROUND(VLOOKUP(VLOOKUP(VLOOKUP(E22,Beräkningshjälp!$O$1:$U$60,7,FALSE),Beräkningshjälp!$M$1:$N$60,2,FALSE)&amp;" &gt;0+",Artuppgifter!$C$27:$N$50,IF(protokollAntalutfisk=1,10,11),FALSE),2),ROUND(VLOOKUP(ROW()-ROW(F$10),Artuppgifter!$B$27:$N$50,IF(protokollAntalutfisk=1,11,12),FALSE),2))),"")</f>
        <v/>
      </c>
      <c r="K22" s="136" t="str">
        <f>IF(E22&lt;&gt;"",IF(OR(E22="EJFANGST",I22="AREA",I22=""),-0.9,IF(COUNTIF(Artuppgifter!B$27:B$50,ROW()-ROW(K$10))&gt;1,ROUND(VLOOKUP(VLOOKUP(VLOOKUP(E22,Beräkningshjälp!$O$1:$U$60,7,FALSE),Beräkningshjälp!$M$1:$N$60,2,FALSE)&amp;" 0+",Artuppgifter!$C$27:$N$50,IF(protokollAntalutfisk=1,10,11),FALSE),2),-0.9)),"")</f>
        <v/>
      </c>
      <c r="L22" s="136" t="str">
        <f>IF(E22&lt;&gt;"",IF(ISNUMBER(VLOOKUP(VLOOKUP(VLOOKUP(E22,Beräkningshjälp!$O$1:$U$60,7,FALSE),Beräkningshjälp!$M$1:$N$60,2,FALSE),Artuppgifter!$J$11:$N$22,4,FALSE)),VLOOKUP(VLOOKUP(VLOOKUP(E22,Beräkningshjälp!$O$1:$U$60,7,FALSE),Beräkningshjälp!$M$1:$N$60,2,FALSE),Artuppgifter!$J$11:$N$22,4,FALSE),-9),"")</f>
        <v/>
      </c>
      <c r="M22" s="136" t="str">
        <f>IF(E22&lt;&gt;"",IF(ISNUMBER(VLOOKUP(VLOOKUP(VLOOKUP(E22,Beräkningshjälp!$O$1:$U$60,7,FALSE),Beräkningshjälp!$M$1:$N$60,2,FALSE),Artuppgifter!$J$11:$N$22,5,FALSE)),VLOOKUP(VLOOKUP(VLOOKUP(E22,Beräkningshjälp!$O$1:$U$60,7,FALSE),Beräkningshjälp!$M$1:$N$60,2,FALSE),Artuppgifter!$J$11:$N$22,5,FALSE),-9),"")</f>
        <v/>
      </c>
      <c r="N22" s="136" t="str">
        <f>IF(E22&lt;&gt;"",IF(ISNUMBER(VLOOKUP(VLOOKUP(VLOOKUP(E22,Beräkningshjälp!$O$1:$U$60,7,FALSE),Beräkningshjälp!$M$1:$N$60,2,FALSE),Artuppgifter!$J$11:$N$22,3,FALSE)),VLOOKUP(VLOOKUP(VLOOKUP(E22,Beräkningshjälp!$O$1:$U$60,7,FALSE),Beräkningshjälp!$M$1:$N$60,2,FALSE),Artuppgifter!$J$11:$N$22,3,FALSE),-9),"")</f>
        <v/>
      </c>
      <c r="O22" s="524" t="str">
        <f>IF(IF(ISNUMBER(VLOOKUP(VLOOKUP(VLOOKUP($E22,Beräkningshjälp!$O$2:$U$60,7,FALSE),Beräkningshjälp!$M$2:$N$60,2,FALSE),Artuppgifter!$C$26:$N$50,12,FALSE)),VLOOKUP(VLOOKUP(VLOOKUP($E22,Beräkningshjälp!$O$2:$U$60,7,FALSE),Beräkningshjälp!$M$2:$N$60,2,FALSE),Artuppgifter!$C$26:$N$50,12,FALSE)&gt;0,FALSE),"Eget P",IF(IF(ISNUMBER(VLOOKUP(VLOOKUP(VLOOKUP($E22,Beräkningshjälp!$O$2:$U$60,7,FALSE),Beräkningshjälp!$M$2:$N$60,2,FALSE)&amp;" &gt;0+",Artuppgifter!$C$26:$N$50,12,FALSE)),VLOOKUP(VLOOKUP(VLOOKUP($E22,Beräkningshjälp!$O$2:$U$60,7,FALSE),Beräkningshjälp!$M$2:$N$60,2,FALSE)&amp;" &gt;0+",Artuppgifter!$C$26:$N$50,12,FALSE)&gt;0,FALSE),"Eget P &gt;0+, ","")&amp;IF(IF(ISNUMBER(VLOOKUP(VLOOKUP(VLOOKUP($E22,Beräkningshjälp!$O$2:$U$60,7,FALSE),Beräkningshjälp!$M$2:$N$60,2,FALSE)&amp;" 0+",Artuppgifter!$C$26:$N$50,12,FALSE)),VLOOKUP(VLOOKUP(VLOOKUP($E22,Beräkningshjälp!$O$2:$U$60,7,FALSE),Beräkningshjälp!$M$2:$N$60,2,FALSE)&amp;" 0+",Artuppgifter!$C$26:$N$50,12,FALSE)&gt;0,FALSE),"Eget P 0+",""))</f>
        <v/>
      </c>
    </row>
    <row r="23" spans="1:18" x14ac:dyDescent="0.25">
      <c r="A23" s="117" t="str">
        <f>IF(E11="EJFANGST","Glöm inte att rapportera LÄNGDER till Fiskeriverkets databas, trots att ingen fisk fångades (blad: LÄNGDER 1)","")</f>
        <v>Glöm inte att rapportera LÄNGDER till Fiskeriverkets databas, trots att ingen fisk fångades (blad: LÄNGDER 1)</v>
      </c>
      <c r="B23" s="2"/>
      <c r="D23" s="2"/>
      <c r="E23" s="136"/>
      <c r="F23" s="525"/>
      <c r="G23" s="525"/>
      <c r="H23" s="136"/>
      <c r="I23" s="136"/>
      <c r="J23" s="525"/>
      <c r="K23" s="525"/>
      <c r="L23" s="136"/>
      <c r="M23" s="136"/>
      <c r="N23" s="353"/>
      <c r="O23" s="136"/>
      <c r="R23" s="353"/>
    </row>
    <row r="24" spans="1:18" x14ac:dyDescent="0.25">
      <c r="B24" s="115"/>
      <c r="C24" s="115"/>
      <c r="D24" s="115"/>
      <c r="E24" s="352"/>
      <c r="F24" s="352"/>
      <c r="H24" s="208">
        <f>IF($E26&lt;&gt;"",IF($K26&gt;=2,IF($E26="EJFANGST",0,Artuppgifter!E27),0),"")</f>
        <v>0</v>
      </c>
      <c r="I24" s="352"/>
      <c r="J24" s="352"/>
      <c r="K24" s="352"/>
      <c r="L24" s="352"/>
      <c r="M24" s="353"/>
      <c r="N24" s="353"/>
      <c r="O24" s="353"/>
      <c r="R24" s="353"/>
    </row>
    <row r="25" spans="1:18" x14ac:dyDescent="0.25">
      <c r="A25" s="6" t="s">
        <v>653</v>
      </c>
      <c r="B25" s="23" t="s">
        <v>644</v>
      </c>
      <c r="C25" s="23" t="s">
        <v>645</v>
      </c>
      <c r="D25" s="23" t="s">
        <v>646</v>
      </c>
      <c r="E25" s="518" t="s">
        <v>471</v>
      </c>
      <c r="F25" s="518" t="s">
        <v>647</v>
      </c>
      <c r="G25" s="518" t="s">
        <v>526</v>
      </c>
      <c r="H25" s="518" t="s">
        <v>527</v>
      </c>
      <c r="I25" s="518" t="s">
        <v>528</v>
      </c>
      <c r="J25" s="518" t="s">
        <v>529</v>
      </c>
      <c r="K25" s="518" t="s">
        <v>648</v>
      </c>
      <c r="L25" s="518" t="s">
        <v>649</v>
      </c>
      <c r="M25" s="353"/>
      <c r="N25" s="353"/>
      <c r="O25" s="353"/>
    </row>
    <row r="26" spans="1:18" x14ac:dyDescent="0.25">
      <c r="A26" s="2" t="str">
        <f>IF(D26&lt;&gt;"","UTFISKEN","")</f>
        <v>UTFISKEN</v>
      </c>
      <c r="B26" s="2">
        <f t="shared" ref="B26:B40" si="4">IF(E26&lt;&gt;"",IF($J$3&lt;&gt;"",$J$3,-9),"")</f>
        <v>632588</v>
      </c>
      <c r="C26" s="2">
        <f t="shared" ref="C26:C40" si="5">IF(E26&lt;&gt;"",IF($K$3&lt;&gt;"",$K$3,""),"")</f>
        <v>129478</v>
      </c>
      <c r="D26" s="2">
        <f>IF(E26&lt;&gt;"",IF(Protokoll!$X$9&lt;&gt;"",D$7,-9),"")</f>
        <v>20200819</v>
      </c>
      <c r="E26" s="136" t="str">
        <f>IF(Protokoll!$X$9&lt;&gt;"",IF(AND(Artuppgifter!B27&lt;&gt;"",Artuppgifter!G27&gt;=0),VLOOKUP(Artuppgifter!B27,Beräkningshjälp!$M$1:$O$60,3,FALSE),IF(Artuppgifter!C27="INGEN FÅNGST","EJFANGST","")),"")</f>
        <v>EJFANGST</v>
      </c>
      <c r="F26" s="136">
        <f t="shared" ref="F26:F39" si="6">IF(E26&lt;&gt;"",IF(E26=E27,0,IF(E26=E25,1,-9)),"")</f>
        <v>-9</v>
      </c>
      <c r="G26" s="136">
        <f>IF($E26&lt;&gt;"",IF($E26="EJFANGST",0,Artuppgifter!D27),"")</f>
        <v>0</v>
      </c>
      <c r="H26" s="136">
        <f>IF($E26&lt;&gt;"",IF($K26&gt;=2,IF(OR($K26&lt;2,$E26="EJFANGST"),0,Artuppgifter!E27),0),"")</f>
        <v>0</v>
      </c>
      <c r="I26" s="136">
        <f>IF($E26&lt;&gt;"",IF($K26&gt;=3,IF(OR($K26&lt;3,$E26="EJFANGST"),0,Artuppgifter!F27),0),"")</f>
        <v>0</v>
      </c>
      <c r="J26" s="136">
        <f t="shared" ref="J26:J40" si="7">IF(E26&lt;&gt;"",0,"")</f>
        <v>0</v>
      </c>
      <c r="K26" s="136">
        <f t="shared" ref="K26:K40" si="8">IF($E26&lt;&gt;"",protokollAntalutfisk,"")</f>
        <v>1</v>
      </c>
      <c r="L26" s="524"/>
      <c r="M26" s="353"/>
      <c r="N26" s="353"/>
      <c r="O26" s="353"/>
    </row>
    <row r="27" spans="1:18" x14ac:dyDescent="0.25">
      <c r="A27" s="2" t="str">
        <f t="shared" ref="A27:A34" si="9">IF(D27&lt;&gt;"","UTFISKEN","")</f>
        <v/>
      </c>
      <c r="B27" s="2" t="str">
        <f t="shared" si="4"/>
        <v/>
      </c>
      <c r="C27" s="2" t="str">
        <f t="shared" si="5"/>
        <v/>
      </c>
      <c r="D27" s="2" t="str">
        <f>IF(E27&lt;&gt;"",IF(Protokoll!$X$9&lt;&gt;"",D$7,-9),"")</f>
        <v/>
      </c>
      <c r="E27" s="136" t="str">
        <f>IF(Protokoll!$X$9&lt;&gt;"",IF(AND(Artuppgifter!B28&lt;&gt;"",Artuppgifter!G28&gt;=0),VLOOKUP(Artuppgifter!B28,Beräkningshjälp!$M$1:$O$60,3,FALSE),IF(Artuppgifter!C28="INGEN FÅNGST","EJFANGST","")),"")</f>
        <v/>
      </c>
      <c r="F27" s="136" t="str">
        <f t="shared" si="6"/>
        <v/>
      </c>
      <c r="G27" s="136" t="str">
        <f>IF($E27&lt;&gt;"",IF($E27="EJFANGST",0,Artuppgifter!D28),"")</f>
        <v/>
      </c>
      <c r="H27" s="136" t="str">
        <f>IF($E27&lt;&gt;"",IF($K27&gt;=2,IF(OR($K27&lt;2,$E27="EJFANGST"),0,Artuppgifter!E28),0),"")</f>
        <v/>
      </c>
      <c r="I27" s="136" t="str">
        <f>IF($E27&lt;&gt;"",IF($K27&gt;=3,IF(OR($K27&lt;3,$E27="EJFANGST"),0,Artuppgifter!F28),0),"")</f>
        <v/>
      </c>
      <c r="J27" s="136" t="str">
        <f t="shared" si="7"/>
        <v/>
      </c>
      <c r="K27" s="136" t="str">
        <f t="shared" si="8"/>
        <v/>
      </c>
      <c r="L27" s="524"/>
      <c r="M27" s="353"/>
      <c r="N27" s="353"/>
      <c r="O27" s="353"/>
    </row>
    <row r="28" spans="1:18" x14ac:dyDescent="0.25">
      <c r="A28" s="2" t="str">
        <f t="shared" si="9"/>
        <v/>
      </c>
      <c r="B28" s="2" t="str">
        <f t="shared" si="4"/>
        <v/>
      </c>
      <c r="C28" s="2" t="str">
        <f t="shared" si="5"/>
        <v/>
      </c>
      <c r="D28" s="2" t="str">
        <f>IF(E28&lt;&gt;"",IF(Protokoll!$X$9&lt;&gt;"",D$7,-9),"")</f>
        <v/>
      </c>
      <c r="E28" s="136" t="str">
        <f>IF(Protokoll!$X$9&lt;&gt;"",IF(AND(Artuppgifter!B29&lt;&gt;"",Artuppgifter!G29&gt;=0),VLOOKUP(Artuppgifter!B29,Beräkningshjälp!$M$1:$O$60,3,FALSE),IF(Artuppgifter!C29="INGEN FÅNGST","EJFANGST","")),"")</f>
        <v/>
      </c>
      <c r="F28" s="136" t="str">
        <f t="shared" si="6"/>
        <v/>
      </c>
      <c r="G28" s="136" t="str">
        <f>IF($E28&lt;&gt;"",IF($E28="EJFANGST",0,Artuppgifter!D29),"")</f>
        <v/>
      </c>
      <c r="H28" s="136" t="str">
        <f>IF($E28&lt;&gt;"",IF($K28&gt;=2,IF(OR($K28&lt;2,$E28="EJFANGST"),0,Artuppgifter!E29),0),"")</f>
        <v/>
      </c>
      <c r="I28" s="136" t="str">
        <f>IF($E28&lt;&gt;"",IF($K28&gt;=3,IF(OR($K28&lt;3,$E28="EJFANGST"),0,Artuppgifter!F29),0),"")</f>
        <v/>
      </c>
      <c r="J28" s="136" t="str">
        <f t="shared" si="7"/>
        <v/>
      </c>
      <c r="K28" s="136" t="str">
        <f t="shared" si="8"/>
        <v/>
      </c>
      <c r="L28" s="524"/>
      <c r="M28" s="353"/>
      <c r="N28" s="353"/>
      <c r="O28" s="353"/>
    </row>
    <row r="29" spans="1:18" x14ac:dyDescent="0.25">
      <c r="A29" s="2" t="str">
        <f t="shared" si="9"/>
        <v/>
      </c>
      <c r="B29" s="2" t="str">
        <f t="shared" si="4"/>
        <v/>
      </c>
      <c r="C29" s="2" t="str">
        <f t="shared" si="5"/>
        <v/>
      </c>
      <c r="D29" s="2" t="str">
        <f>IF(E29&lt;&gt;"",IF(Protokoll!$X$9&lt;&gt;"",D$7,-9),"")</f>
        <v/>
      </c>
      <c r="E29" s="136" t="str">
        <f>IF(Protokoll!$X$9&lt;&gt;"",IF(AND(Artuppgifter!B30&lt;&gt;"",Artuppgifter!G30&gt;=0),VLOOKUP(Artuppgifter!B30,Beräkningshjälp!$M$1:$O$60,3,FALSE),IF(Artuppgifter!C30="INGEN FÅNGST","EJFANGST","")),"")</f>
        <v/>
      </c>
      <c r="F29" s="136" t="str">
        <f t="shared" si="6"/>
        <v/>
      </c>
      <c r="G29" s="136" t="str">
        <f>IF($E29&lt;&gt;"",IF($E29="EJFANGST",0,Artuppgifter!D30),"")</f>
        <v/>
      </c>
      <c r="H29" s="136" t="str">
        <f>IF($E29&lt;&gt;"",IF($K29&gt;=2,IF(OR($K29&lt;2,$E29="EJFANGST"),0,Artuppgifter!E30),0),"")</f>
        <v/>
      </c>
      <c r="I29" s="136" t="str">
        <f>IF($E29&lt;&gt;"",IF($K29&gt;=3,IF(OR($K29&lt;3,$E29="EJFANGST"),0,Artuppgifter!F30),0),"")</f>
        <v/>
      </c>
      <c r="J29" s="136" t="str">
        <f t="shared" si="7"/>
        <v/>
      </c>
      <c r="K29" s="136" t="str">
        <f t="shared" si="8"/>
        <v/>
      </c>
      <c r="L29" s="524"/>
      <c r="M29" s="353"/>
      <c r="N29" s="353"/>
      <c r="O29" s="353"/>
    </row>
    <row r="30" spans="1:18" x14ac:dyDescent="0.25">
      <c r="A30" s="2" t="str">
        <f t="shared" si="9"/>
        <v/>
      </c>
      <c r="B30" s="2" t="str">
        <f t="shared" si="4"/>
        <v/>
      </c>
      <c r="C30" s="2" t="str">
        <f t="shared" si="5"/>
        <v/>
      </c>
      <c r="D30" s="2" t="str">
        <f>IF(E30&lt;&gt;"",IF(Protokoll!$X$9&lt;&gt;"",D$7,-9),"")</f>
        <v/>
      </c>
      <c r="E30" s="136" t="str">
        <f>IF(Protokoll!$X$9&lt;&gt;"",IF(AND(Artuppgifter!B31&lt;&gt;"",Artuppgifter!G31&gt;=0),VLOOKUP(Artuppgifter!B31,Beräkningshjälp!$M$1:$O$60,3,FALSE),IF(Artuppgifter!C31="INGEN FÅNGST","EJFANGST","")),"")</f>
        <v/>
      </c>
      <c r="F30" s="136" t="str">
        <f t="shared" si="6"/>
        <v/>
      </c>
      <c r="G30" s="136" t="str">
        <f>IF($E30&lt;&gt;"",IF($E30="EJFANGST",0,Artuppgifter!D31),"")</f>
        <v/>
      </c>
      <c r="H30" s="136" t="str">
        <f>IF($E30&lt;&gt;"",IF($K30&gt;=2,IF(OR($K30&lt;2,$E30="EJFANGST"),0,Artuppgifter!E31),0),"")</f>
        <v/>
      </c>
      <c r="I30" s="136" t="str">
        <f>IF($E30&lt;&gt;"",IF($K30&gt;=3,IF(OR($K30&lt;3,$E30="EJFANGST"),0,Artuppgifter!F31),0),"")</f>
        <v/>
      </c>
      <c r="J30" s="136" t="str">
        <f t="shared" si="7"/>
        <v/>
      </c>
      <c r="K30" s="136" t="str">
        <f t="shared" si="8"/>
        <v/>
      </c>
      <c r="L30" s="524"/>
      <c r="M30" s="353"/>
      <c r="N30" s="353"/>
      <c r="O30" s="353"/>
    </row>
    <row r="31" spans="1:18" x14ac:dyDescent="0.25">
      <c r="A31" s="2" t="str">
        <f t="shared" si="9"/>
        <v/>
      </c>
      <c r="B31" s="2" t="str">
        <f t="shared" si="4"/>
        <v/>
      </c>
      <c r="C31" s="2" t="str">
        <f t="shared" si="5"/>
        <v/>
      </c>
      <c r="D31" s="2" t="str">
        <f>IF(E31&lt;&gt;"",IF(Protokoll!$X$9&lt;&gt;"",D$7,-9),"")</f>
        <v/>
      </c>
      <c r="E31" s="136" t="str">
        <f>IF(Protokoll!$X$9&lt;&gt;"",IF(AND(Artuppgifter!B32&lt;&gt;"",Artuppgifter!G32&gt;=0),VLOOKUP(Artuppgifter!B32,Beräkningshjälp!$M$1:$O$60,3,FALSE),IF(Artuppgifter!C32="INGEN FÅNGST","EJFANGST","")),"")</f>
        <v/>
      </c>
      <c r="F31" s="136" t="str">
        <f t="shared" si="6"/>
        <v/>
      </c>
      <c r="G31" s="136" t="str">
        <f>IF($E31&lt;&gt;"",IF($E31="EJFANGST",0,Artuppgifter!D32),"")</f>
        <v/>
      </c>
      <c r="H31" s="136" t="str">
        <f>IF($E31&lt;&gt;"",IF($K31&gt;=2,IF(OR($K31&lt;2,$E31="EJFANGST"),0,Artuppgifter!E32),0),"")</f>
        <v/>
      </c>
      <c r="I31" s="136" t="str">
        <f>IF($E31&lt;&gt;"",IF($K31&gt;=3,IF(OR($K31&lt;3,$E31="EJFANGST"),0,Artuppgifter!F32),0),"")</f>
        <v/>
      </c>
      <c r="J31" s="136" t="str">
        <f t="shared" si="7"/>
        <v/>
      </c>
      <c r="K31" s="136" t="str">
        <f t="shared" si="8"/>
        <v/>
      </c>
      <c r="L31" s="524"/>
      <c r="M31" s="353"/>
      <c r="N31" s="353"/>
      <c r="O31" s="353"/>
    </row>
    <row r="32" spans="1:18" x14ac:dyDescent="0.25">
      <c r="A32" s="2" t="str">
        <f t="shared" si="9"/>
        <v/>
      </c>
      <c r="B32" s="2" t="str">
        <f t="shared" si="4"/>
        <v/>
      </c>
      <c r="C32" s="2" t="str">
        <f t="shared" si="5"/>
        <v/>
      </c>
      <c r="D32" s="2" t="str">
        <f>IF(E32&lt;&gt;"",IF(Protokoll!$X$9&lt;&gt;"",D$7,-9),"")</f>
        <v/>
      </c>
      <c r="E32" s="136" t="str">
        <f>IF(Protokoll!$X$9&lt;&gt;"",IF(AND(Artuppgifter!B33&lt;&gt;"",Artuppgifter!G33&gt;=0),VLOOKUP(Artuppgifter!B33,Beräkningshjälp!$M$1:$O$60,3,FALSE),IF(Artuppgifter!C33="INGEN FÅNGST","EJFANGST","")),"")</f>
        <v/>
      </c>
      <c r="F32" s="136" t="str">
        <f t="shared" si="6"/>
        <v/>
      </c>
      <c r="G32" s="136" t="str">
        <f>IF($E32&lt;&gt;"",IF($E32="EJFANGST",0,Artuppgifter!D33),"")</f>
        <v/>
      </c>
      <c r="H32" s="136" t="str">
        <f>IF($E32&lt;&gt;"",IF($K32&gt;=2,IF(OR($K32&lt;2,$E32="EJFANGST"),0,Artuppgifter!E33),0),"")</f>
        <v/>
      </c>
      <c r="I32" s="136" t="str">
        <f>IF($E32&lt;&gt;"",IF($K32&gt;=3,IF(OR($K32&lt;3,$E32="EJFANGST"),0,Artuppgifter!F33),0),"")</f>
        <v/>
      </c>
      <c r="J32" s="136" t="str">
        <f t="shared" si="7"/>
        <v/>
      </c>
      <c r="K32" s="136" t="str">
        <f t="shared" si="8"/>
        <v/>
      </c>
      <c r="L32" s="524"/>
      <c r="M32" s="353"/>
      <c r="N32" s="353"/>
      <c r="O32" s="353"/>
    </row>
    <row r="33" spans="1:25" x14ac:dyDescent="0.25">
      <c r="A33" s="2" t="str">
        <f t="shared" si="9"/>
        <v/>
      </c>
      <c r="B33" s="2" t="str">
        <f t="shared" si="4"/>
        <v/>
      </c>
      <c r="C33" s="2" t="str">
        <f t="shared" si="5"/>
        <v/>
      </c>
      <c r="D33" s="2" t="str">
        <f>IF(E33&lt;&gt;"",IF(Protokoll!$X$9&lt;&gt;"",D$7,-9),"")</f>
        <v/>
      </c>
      <c r="E33" s="136" t="str">
        <f>IF(Protokoll!$X$9&lt;&gt;"",IF(AND(Artuppgifter!B34&lt;&gt;"",Artuppgifter!G34&gt;=0),VLOOKUP(Artuppgifter!B34,Beräkningshjälp!$M$1:$O$60,3,FALSE),IF(Artuppgifter!C34="INGEN FÅNGST","EJFANGST","")),"")</f>
        <v/>
      </c>
      <c r="F33" s="136" t="str">
        <f t="shared" si="6"/>
        <v/>
      </c>
      <c r="G33" s="136" t="str">
        <f>IF($E33&lt;&gt;"",IF($E33="EJFANGST",0,Artuppgifter!D34),"")</f>
        <v/>
      </c>
      <c r="H33" s="136" t="str">
        <f>IF($E33&lt;&gt;"",IF($K33&gt;=2,IF(OR($K33&lt;2,$E33="EJFANGST"),0,Artuppgifter!E34),0),"")</f>
        <v/>
      </c>
      <c r="I33" s="136" t="str">
        <f>IF($E33&lt;&gt;"",IF($K33&gt;=3,IF(OR($K33&lt;3,$E33="EJFANGST"),0,Artuppgifter!F34),0),"")</f>
        <v/>
      </c>
      <c r="J33" s="136" t="str">
        <f t="shared" si="7"/>
        <v/>
      </c>
      <c r="K33" s="136" t="str">
        <f t="shared" si="8"/>
        <v/>
      </c>
      <c r="L33" s="524"/>
      <c r="M33" s="353"/>
      <c r="N33" s="353"/>
      <c r="O33" s="353"/>
    </row>
    <row r="34" spans="1:25" x14ac:dyDescent="0.25">
      <c r="A34" s="2" t="str">
        <f t="shared" si="9"/>
        <v/>
      </c>
      <c r="B34" s="2" t="str">
        <f t="shared" si="4"/>
        <v/>
      </c>
      <c r="C34" s="2" t="str">
        <f t="shared" si="5"/>
        <v/>
      </c>
      <c r="D34" s="2" t="str">
        <f>IF(E34&lt;&gt;"",IF(Protokoll!$X$9&lt;&gt;"",D$7,-9),"")</f>
        <v/>
      </c>
      <c r="E34" s="136" t="str">
        <f>IF(Protokoll!$X$9&lt;&gt;"",IF(AND(Artuppgifter!B35&lt;&gt;"",Artuppgifter!G35&gt;=0),VLOOKUP(Artuppgifter!B35,Beräkningshjälp!$M$1:$O$60,3,FALSE),IF(Artuppgifter!C35="INGEN FÅNGST","EJFANGST","")),"")</f>
        <v/>
      </c>
      <c r="F34" s="136" t="str">
        <f t="shared" si="6"/>
        <v/>
      </c>
      <c r="G34" s="136" t="str">
        <f>IF($E34&lt;&gt;"",IF($E34="EJFANGST",0,Artuppgifter!D35),"")</f>
        <v/>
      </c>
      <c r="H34" s="136" t="str">
        <f>IF($E34&lt;&gt;"",IF($K34&gt;=2,IF(OR($K34&lt;2,$E34="EJFANGST"),0,Artuppgifter!E35),0),"")</f>
        <v/>
      </c>
      <c r="I34" s="136" t="str">
        <f>IF($E34&lt;&gt;"",IF($K34&gt;=3,IF(OR($K34&lt;3,$E34="EJFANGST"),0,Artuppgifter!F35),0),"")</f>
        <v/>
      </c>
      <c r="J34" s="136" t="str">
        <f t="shared" si="7"/>
        <v/>
      </c>
      <c r="K34" s="136" t="str">
        <f t="shared" si="8"/>
        <v/>
      </c>
      <c r="L34" s="524"/>
      <c r="M34" s="353"/>
      <c r="N34" s="353"/>
      <c r="O34" s="353"/>
    </row>
    <row r="35" spans="1:25" x14ac:dyDescent="0.25">
      <c r="A35" s="2" t="str">
        <f t="shared" ref="A35:A40" si="10">IF(D35&lt;&gt;"","UTFISKEN","")</f>
        <v/>
      </c>
      <c r="B35" s="2" t="str">
        <f t="shared" si="4"/>
        <v/>
      </c>
      <c r="C35" s="2" t="str">
        <f t="shared" si="5"/>
        <v/>
      </c>
      <c r="D35" s="2" t="str">
        <f>IF(E35&lt;&gt;"",IF(Protokoll!$X$9&lt;&gt;"",D$7,-9),"")</f>
        <v/>
      </c>
      <c r="E35" s="136" t="str">
        <f>IF(Protokoll!$X$9&lt;&gt;"",IF(AND(Artuppgifter!B36&lt;&gt;"",Artuppgifter!G36&gt;=0),VLOOKUP(Artuppgifter!B36,Beräkningshjälp!$M$1:$O$60,3,FALSE),IF(Artuppgifter!C36="INGEN FÅNGST","EJFANGST","")),"")</f>
        <v/>
      </c>
      <c r="F35" s="136" t="str">
        <f t="shared" si="6"/>
        <v/>
      </c>
      <c r="G35" s="136" t="str">
        <f>IF($E35&lt;&gt;"",IF($E35="EJFANGST",0,Artuppgifter!D36),"")</f>
        <v/>
      </c>
      <c r="H35" s="136" t="str">
        <f>IF($E35&lt;&gt;"",IF($K35&gt;=2,IF(OR($K35&lt;2,$E35="EJFANGST"),0,Artuppgifter!E36),0),"")</f>
        <v/>
      </c>
      <c r="I35" s="136" t="str">
        <f>IF($E35&lt;&gt;"",IF($K35&gt;=3,IF(OR($K35&lt;3,$E35="EJFANGST"),0,Artuppgifter!F36),0),"")</f>
        <v/>
      </c>
      <c r="J35" s="136" t="str">
        <f t="shared" si="7"/>
        <v/>
      </c>
      <c r="K35" s="136" t="str">
        <f t="shared" si="8"/>
        <v/>
      </c>
      <c r="L35" s="524"/>
      <c r="M35" s="353"/>
      <c r="N35" s="353"/>
      <c r="O35" s="353"/>
    </row>
    <row r="36" spans="1:25" x14ac:dyDescent="0.25">
      <c r="A36" s="2" t="str">
        <f t="shared" si="10"/>
        <v/>
      </c>
      <c r="B36" s="2" t="str">
        <f t="shared" si="4"/>
        <v/>
      </c>
      <c r="C36" s="2" t="str">
        <f t="shared" si="5"/>
        <v/>
      </c>
      <c r="D36" s="2" t="str">
        <f>IF(E36&lt;&gt;"",IF(Protokoll!$X$9&lt;&gt;"",D$7,-9),"")</f>
        <v/>
      </c>
      <c r="E36" s="517" t="str">
        <f>IF(Protokoll!$X$9&lt;&gt;"",IF(AND(Artuppgifter!B37&lt;&gt;"",Artuppgifter!G37&gt;=0),VLOOKUP(Artuppgifter!B37,Beräkningshjälp!$M$1:$O$60,3,FALSE),IF(Artuppgifter!C37="INGEN FÅNGST","EJFANGST","")),"")</f>
        <v/>
      </c>
      <c r="F36" s="517" t="str">
        <f t="shared" si="6"/>
        <v/>
      </c>
      <c r="G36" s="517" t="str">
        <f>IF($E36&lt;&gt;"",IF($E36="EJFANGST",0,Artuppgifter!D37),"")</f>
        <v/>
      </c>
      <c r="H36" s="136" t="str">
        <f>IF($E36&lt;&gt;"",IF($K36&gt;=2,IF(OR($K36&lt;2,$E36="EJFANGST"),0,Artuppgifter!E37),0),"")</f>
        <v/>
      </c>
      <c r="I36" s="136" t="str">
        <f>IF($E36&lt;&gt;"",IF($K36&gt;=3,IF(OR($K36&lt;3,$E36="EJFANGST"),0,Artuppgifter!F37),0),"")</f>
        <v/>
      </c>
      <c r="J36" s="517" t="str">
        <f t="shared" si="7"/>
        <v/>
      </c>
      <c r="K36" s="517" t="str">
        <f t="shared" si="8"/>
        <v/>
      </c>
      <c r="L36" s="519"/>
    </row>
    <row r="37" spans="1:25" x14ac:dyDescent="0.25">
      <c r="A37" s="2" t="str">
        <f t="shared" si="10"/>
        <v/>
      </c>
      <c r="B37" s="2" t="str">
        <f t="shared" si="4"/>
        <v/>
      </c>
      <c r="C37" s="2" t="str">
        <f t="shared" si="5"/>
        <v/>
      </c>
      <c r="D37" s="2" t="str">
        <f>IF(E37&lt;&gt;"",IF(Protokoll!$X$9&lt;&gt;"",D$7,-9),"")</f>
        <v/>
      </c>
      <c r="E37" s="517" t="str">
        <f>IF(Protokoll!$X$9&lt;&gt;"",IF(AND(Artuppgifter!B38&lt;&gt;"",Artuppgifter!G38&gt;=0),VLOOKUP(Artuppgifter!B38,Beräkningshjälp!$M$1:$O$60,3,FALSE),IF(Artuppgifter!C38="INGEN FÅNGST","EJFANGST","")),"")</f>
        <v/>
      </c>
      <c r="F37" s="517" t="str">
        <f t="shared" si="6"/>
        <v/>
      </c>
      <c r="G37" s="517" t="str">
        <f>IF($E37&lt;&gt;"",IF($E37="EJFANGST",0,Artuppgifter!D38),"")</f>
        <v/>
      </c>
      <c r="H37" s="136" t="str">
        <f>IF($E37&lt;&gt;"",IF($K37&gt;=2,IF(OR($K37&lt;2,$E37="EJFANGST"),0,Artuppgifter!E38),0),"")</f>
        <v/>
      </c>
      <c r="I37" s="136" t="str">
        <f>IF($E37&lt;&gt;"",IF($K37&gt;=3,IF(OR($K37&lt;3,$E37="EJFANGST"),0,Artuppgifter!F38),0),"")</f>
        <v/>
      </c>
      <c r="J37" s="517" t="str">
        <f t="shared" si="7"/>
        <v/>
      </c>
      <c r="K37" s="517" t="str">
        <f t="shared" si="8"/>
        <v/>
      </c>
      <c r="L37" s="519"/>
    </row>
    <row r="38" spans="1:25" x14ac:dyDescent="0.25">
      <c r="A38" s="2" t="str">
        <f t="shared" si="10"/>
        <v/>
      </c>
      <c r="B38" s="2" t="str">
        <f t="shared" si="4"/>
        <v/>
      </c>
      <c r="C38" s="2" t="str">
        <f t="shared" si="5"/>
        <v/>
      </c>
      <c r="D38" s="2" t="str">
        <f>IF(E38&lt;&gt;"",IF(Protokoll!$X$9&lt;&gt;"",D$7,-9),"")</f>
        <v/>
      </c>
      <c r="E38" s="517" t="str">
        <f>IF(Protokoll!$X$9&lt;&gt;"",IF(AND(Artuppgifter!B39&lt;&gt;"",Artuppgifter!G39&gt;=0),VLOOKUP(Artuppgifter!B39,Beräkningshjälp!$M$1:$O$60,3,FALSE),IF(Artuppgifter!C39="INGEN FÅNGST","EJFANGST","")),"")</f>
        <v/>
      </c>
      <c r="F38" s="517" t="str">
        <f t="shared" si="6"/>
        <v/>
      </c>
      <c r="G38" s="517" t="str">
        <f>IF($E38&lt;&gt;"",IF($E38="EJFANGST",0,Artuppgifter!D39),"")</f>
        <v/>
      </c>
      <c r="H38" s="136" t="str">
        <f>IF($E38&lt;&gt;"",IF($K38&gt;=2,IF(OR($K38&lt;2,$E38="EJFANGST"),0,Artuppgifter!E39),0),"")</f>
        <v/>
      </c>
      <c r="I38" s="136" t="str">
        <f>IF($E38&lt;&gt;"",IF($K38&gt;=3,IF(OR($K38&lt;3,$E38="EJFANGST"),0,Artuppgifter!F39),0),"")</f>
        <v/>
      </c>
      <c r="J38" s="517" t="str">
        <f t="shared" si="7"/>
        <v/>
      </c>
      <c r="K38" s="517" t="str">
        <f t="shared" si="8"/>
        <v/>
      </c>
      <c r="L38" s="519"/>
    </row>
    <row r="39" spans="1:25" x14ac:dyDescent="0.25">
      <c r="A39" s="2" t="str">
        <f t="shared" si="10"/>
        <v/>
      </c>
      <c r="B39" s="2" t="str">
        <f t="shared" si="4"/>
        <v/>
      </c>
      <c r="C39" s="2" t="str">
        <f t="shared" si="5"/>
        <v/>
      </c>
      <c r="D39" s="2" t="str">
        <f>IF(E39&lt;&gt;"",IF(Protokoll!$X$9&lt;&gt;"",D$7,-9),"")</f>
        <v/>
      </c>
      <c r="E39" s="517" t="str">
        <f>IF(Protokoll!$X$9&lt;&gt;"",IF(AND(Artuppgifter!B40&lt;&gt;"",Artuppgifter!G40&gt;=0),VLOOKUP(Artuppgifter!B40,Beräkningshjälp!$M$1:$O$60,3,FALSE),IF(Artuppgifter!C40="INGEN FÅNGST","EJFANGST","")),"")</f>
        <v/>
      </c>
      <c r="F39" s="517" t="str">
        <f t="shared" si="6"/>
        <v/>
      </c>
      <c r="G39" s="517" t="str">
        <f>IF($E39&lt;&gt;"",IF($E39="EJFANGST",0,Artuppgifter!D40),"")</f>
        <v/>
      </c>
      <c r="H39" s="136" t="str">
        <f>IF($E39&lt;&gt;"",IF($K39&gt;=2,IF(OR($K39&lt;2,$E39="EJFANGST"),0,Artuppgifter!E40),0),"")</f>
        <v/>
      </c>
      <c r="I39" s="136" t="str">
        <f>IF($E39&lt;&gt;"",IF($K39&gt;=3,IF(OR($K39&lt;3,$E39="EJFANGST"),0,Artuppgifter!F40),0),"")</f>
        <v/>
      </c>
      <c r="J39" s="517" t="str">
        <f t="shared" si="7"/>
        <v/>
      </c>
      <c r="K39" s="517" t="str">
        <f t="shared" si="8"/>
        <v/>
      </c>
      <c r="L39" s="519"/>
    </row>
    <row r="40" spans="1:25" x14ac:dyDescent="0.25">
      <c r="A40" s="2" t="str">
        <f t="shared" si="10"/>
        <v/>
      </c>
      <c r="B40" s="2" t="str">
        <f t="shared" si="4"/>
        <v/>
      </c>
      <c r="C40" s="2" t="str">
        <f t="shared" si="5"/>
        <v/>
      </c>
      <c r="D40" s="2" t="str">
        <f>IF(E40&lt;&gt;"",IF(Protokoll!$X$9&lt;&gt;"",D$7,-9),"")</f>
        <v/>
      </c>
      <c r="E40" s="517" t="str">
        <f>IF(Protokoll!$X$9&lt;&gt;"",IF(AND(Artuppgifter!B41&lt;&gt;"",Artuppgifter!G41&gt;=0),VLOOKUP(Artuppgifter!B41,Beräkningshjälp!$M$1:$O$60,3,FALSE),IF(Artuppgifter!C41="INGEN FÅNGST","EJFANGST","")),"")</f>
        <v/>
      </c>
      <c r="F40" s="517" t="str">
        <f>IF(E40&lt;&gt;"",IF(E40=Q41,0,IF(E40=E39,1,-9)),"")</f>
        <v/>
      </c>
      <c r="G40" s="517" t="str">
        <f>IF($E40&lt;&gt;"",IF($E40="EJFANGST",0,Artuppgifter!D41),"")</f>
        <v/>
      </c>
      <c r="H40" s="136" t="str">
        <f>IF($E40&lt;&gt;"",IF($K40&gt;=2,IF(OR($K40&lt;2,$E40="EJFANGST"),0,Artuppgifter!E41),0),"")</f>
        <v/>
      </c>
      <c r="I40" s="136" t="str">
        <f>IF($E40&lt;&gt;"",IF($K40&gt;=3,IF(OR($K40&lt;3,$E40="EJFANGST"),0,Artuppgifter!F41),0),"")</f>
        <v/>
      </c>
      <c r="J40" s="517" t="str">
        <f t="shared" si="7"/>
        <v/>
      </c>
      <c r="K40" s="517" t="str">
        <f t="shared" si="8"/>
        <v/>
      </c>
      <c r="L40" s="519"/>
    </row>
    <row r="41" spans="1:25" s="2" customFormat="1" x14ac:dyDescent="0.25">
      <c r="I41" s="116"/>
      <c r="L41" s="10"/>
    </row>
    <row r="42" spans="1:25" s="2" customFormat="1" x14ac:dyDescent="0.25">
      <c r="B42" s="115"/>
      <c r="C42" s="115"/>
      <c r="D42" s="115"/>
      <c r="F42" s="116"/>
      <c r="G42" s="116"/>
      <c r="H42" s="116"/>
      <c r="I42" s="116"/>
      <c r="J42" s="116"/>
      <c r="K42" s="116"/>
      <c r="L42" s="116"/>
      <c r="M42" s="116"/>
      <c r="N42" s="116"/>
      <c r="O42" s="116"/>
      <c r="P42" s="116"/>
      <c r="Q42" s="116"/>
      <c r="R42" s="116"/>
      <c r="S42" s="116"/>
      <c r="T42" s="116"/>
      <c r="U42" s="116"/>
      <c r="V42" s="116"/>
      <c r="W42" s="116"/>
      <c r="X42" s="116"/>
      <c r="Y42" s="116"/>
    </row>
    <row r="43" spans="1:25" s="2" customFormat="1" x14ac:dyDescent="0.25">
      <c r="A43" s="117" t="s">
        <v>874</v>
      </c>
      <c r="B43" s="3" t="s">
        <v>644</v>
      </c>
      <c r="C43" s="3" t="s">
        <v>645</v>
      </c>
      <c r="D43" s="3" t="s">
        <v>646</v>
      </c>
      <c r="E43" s="118" t="s">
        <v>875</v>
      </c>
      <c r="F43" s="118" t="s">
        <v>876</v>
      </c>
      <c r="G43" s="118" t="s">
        <v>877</v>
      </c>
      <c r="H43" s="118" t="s">
        <v>878</v>
      </c>
      <c r="I43" s="118" t="s">
        <v>879</v>
      </c>
      <c r="J43" s="118" t="s">
        <v>880</v>
      </c>
      <c r="K43" s="118" t="s">
        <v>881</v>
      </c>
      <c r="L43" s="118" t="s">
        <v>882</v>
      </c>
      <c r="M43" s="139" t="s">
        <v>900</v>
      </c>
      <c r="N43" s="118" t="s">
        <v>901</v>
      </c>
      <c r="O43" s="118" t="s">
        <v>883</v>
      </c>
      <c r="P43" s="118" t="s">
        <v>884</v>
      </c>
      <c r="Q43" s="118" t="s">
        <v>885</v>
      </c>
      <c r="R43" s="118" t="s">
        <v>886</v>
      </c>
      <c r="S43" s="118" t="s">
        <v>902</v>
      </c>
      <c r="T43" s="118" t="s">
        <v>903</v>
      </c>
      <c r="U43" s="118" t="s">
        <v>887</v>
      </c>
      <c r="V43" s="118" t="s">
        <v>888</v>
      </c>
      <c r="W43" s="118" t="s">
        <v>889</v>
      </c>
      <c r="X43" s="118" t="s">
        <v>890</v>
      </c>
      <c r="Y43" s="118" t="s">
        <v>904</v>
      </c>
    </row>
    <row r="44" spans="1:25" s="2" customFormat="1" x14ac:dyDescent="0.25">
      <c r="A44" s="2" t="str">
        <f>IF(D44&lt;&gt;"","SUBVEG","")</f>
        <v>SUBVEG</v>
      </c>
      <c r="B44" s="138">
        <f>IF(D44&lt;&gt;"",IF($J$3&lt;&gt;"",$J$3,""),-9)</f>
        <v>632588</v>
      </c>
      <c r="C44" s="138">
        <f>IF(D44&lt;&gt;"",IF($K$3&lt;&gt;"",$K$3,""),-9)</f>
        <v>129478</v>
      </c>
      <c r="D44" s="138" t="str">
        <f>IF(Protokoll!X9&lt;&gt;"",IF(LEN(Protokoll!X9)=8,Protokoll!X9,CONCATENATE(LEFT(Protokoll!X9,4),RIGHT(LEFT(Protokoll!X9,7),2),RIGHT(Protokoll!X9,2))),-9)</f>
        <v>20200819</v>
      </c>
      <c r="E44" s="138">
        <f>IF(D44&lt;&gt;"",IF(Protokoll!G33&lt;&gt;"",IF(Protokoll!G33="X",-99,INT(Protokoll!G33)),-9),"")</f>
        <v>3</v>
      </c>
      <c r="F44" s="138">
        <f>IF(D44&lt;&gt;"",IF(Protokoll!J33&lt;&gt;"",IF(Protokoll!J33="X",-99,INT(Protokoll!J33)),-9),"")</f>
        <v>2</v>
      </c>
      <c r="G44" s="138">
        <f>IF(D44&lt;&gt;"",IF(Protokoll!M33&lt;&gt;"",IF(Protokoll!M33="X",-99,INT(Protokoll!M33)),-9),"")</f>
        <v>-9</v>
      </c>
      <c r="H44" s="138">
        <f>IF(D44&lt;&gt;"",IF(Protokoll!P33&lt;&gt;"",IF(Protokoll!P33="X",-99,INT(Protokoll!P33)),-9),"")</f>
        <v>-9</v>
      </c>
      <c r="I44" s="138">
        <f>IF(D44&lt;&gt;"",IF(Protokoll!S33&lt;&gt;"",IF(Protokoll!S33="X",-99,INT(Protokoll!S33)),-9),"")</f>
        <v>1</v>
      </c>
      <c r="J44" s="138">
        <f>IF(D44&lt;&gt;"",IF(Protokoll!V33&lt;&gt;"",IF(Protokoll!V33="X",-99,INT(Protokoll!V33)),-9),"")</f>
        <v>-9</v>
      </c>
      <c r="K44" s="138">
        <f>IF(D44&lt;&gt;"",IF(Protokoll!Y33&lt;&gt;"",IF(Protokoll!Y33="X",-99,INT(Protokoll!Y33)),-9),"")</f>
        <v>-9</v>
      </c>
      <c r="L44" s="138">
        <f>IF(D44&lt;&gt;"",IF(Protokoll!AB33&lt;&gt;"",IF(Protokoll!AB33="X",-99,INT(Protokoll!AB33)),-9),"")</f>
        <v>-9</v>
      </c>
      <c r="M44" s="25">
        <f>IF(D44&lt;&gt;"",IF(Protokoll!AE33&lt;&gt;"",IF(Protokoll!AE33="X",-99,INT(Protokoll!AE33)),-9),"")</f>
        <v>-9</v>
      </c>
      <c r="N44" s="138" t="str">
        <f>IF(D44&lt;&gt;"",IF(Protokoll!J34&lt;&gt;"",IF(Protokoll!J34="X",-99,UPPER(Protokoll!J34)),""),"")</f>
        <v/>
      </c>
      <c r="O44" s="138" t="str">
        <f>IF(D44&lt;&gt;"",IF(Protokoll!M34&lt;&gt;"",IF(Protokoll!M34="X",-99,UPPER(Protokoll!M34)),""),"")</f>
        <v/>
      </c>
      <c r="P44" s="138" t="str">
        <f>IF(D44&lt;&gt;"",IF(Protokoll!P34&lt;&gt;"",IF(Protokoll!P34="X",-99,UPPER(Protokoll!P34)),""),"")</f>
        <v>D2</v>
      </c>
      <c r="Q44" s="138" t="str">
        <f>IF(D44&lt;&gt;"",IF(Protokoll!S34&lt;&gt;"",IF(Protokoll!S34="X",-99,UPPER(Protokoll!S34)),""),"")</f>
        <v/>
      </c>
      <c r="R44" s="138" t="str">
        <f>IF(D44&lt;&gt;"",IF(Protokoll!V34&lt;&gt;"",IF(Protokoll!V34="X",-99,UPPER(Protokoll!V34)),""),"")</f>
        <v/>
      </c>
      <c r="S44" s="138" t="str">
        <f>IF(D44&lt;&gt;"",IF(Protokoll!Y34&lt;&gt;"",IF(Protokoll!Y34="X",-99,UPPER(Protokoll!Y34)),""),"")</f>
        <v>D1</v>
      </c>
      <c r="T44" s="138">
        <f>IF(D44&lt;&gt;"",IF(Protokoll!J35&lt;&gt;"",IF(Protokoll!J35="X",-99,Protokoll!J35),-9),"")</f>
        <v>-9</v>
      </c>
      <c r="U44" s="138">
        <f>IF(D44&lt;&gt;"",IF(Protokoll!M35&lt;&gt;"",IF(Protokoll!M35="X",-99,Protokoll!M35),-9),"")</f>
        <v>-9</v>
      </c>
      <c r="V44" s="138">
        <f>IF(D44&lt;&gt;"",IF(Protokoll!P35&lt;&gt;"",IF(Protokoll!P35="X",-99,Protokoll!P35),-9),"")</f>
        <v>2</v>
      </c>
      <c r="W44" s="138">
        <f>IF(D44&lt;&gt;"",IF(Protokoll!S35&lt;&gt;"",IF(Protokoll!S35="X",-99,Protokoll!S35),-9),"")</f>
        <v>-9</v>
      </c>
      <c r="X44" s="138">
        <f>IF(D44&lt;&gt;"",IF(Protokoll!V35&lt;&gt;"",IF(Protokoll!V35="X",-99,Protokoll!V35),-9),"")</f>
        <v>-9</v>
      </c>
      <c r="Y44" s="2">
        <f>IF(D44&lt;&gt;"",IF(Protokoll!Y35&lt;&gt;"",IF(Protokoll!Y35="X",-99,Protokoll!Y35),-9),"")</f>
        <v>3</v>
      </c>
    </row>
    <row r="45" spans="1:25" s="2" customFormat="1" x14ac:dyDescent="0.25">
      <c r="H45" s="116"/>
      <c r="I45" s="116"/>
      <c r="L45" s="10"/>
      <c r="T45"/>
    </row>
    <row r="46" spans="1:25" x14ac:dyDescent="0.25">
      <c r="B46" s="115"/>
      <c r="C46" s="115"/>
      <c r="D46" s="115"/>
      <c r="E46" s="115"/>
      <c r="F46" s="115"/>
      <c r="G46" s="115"/>
      <c r="H46" s="115"/>
      <c r="I46" s="115"/>
      <c r="J46" s="115"/>
      <c r="K46" s="115"/>
    </row>
    <row r="47" spans="1:25" x14ac:dyDescent="0.25">
      <c r="A47" s="6" t="s">
        <v>737</v>
      </c>
      <c r="B47" s="3" t="s">
        <v>644</v>
      </c>
      <c r="C47" s="3" t="s">
        <v>645</v>
      </c>
      <c r="D47" s="3" t="s">
        <v>735</v>
      </c>
      <c r="E47" s="3" t="s">
        <v>518</v>
      </c>
      <c r="F47" s="3" t="s">
        <v>519</v>
      </c>
      <c r="G47" s="3" t="s">
        <v>736</v>
      </c>
      <c r="H47" s="3" t="s">
        <v>520</v>
      </c>
      <c r="I47" s="3" t="s">
        <v>521</v>
      </c>
      <c r="J47" s="3" t="s">
        <v>522</v>
      </c>
      <c r="K47" s="3" t="s">
        <v>523</v>
      </c>
    </row>
    <row r="48" spans="1:25" x14ac:dyDescent="0.25">
      <c r="A48" s="2" t="str">
        <f>IF(D48&lt;&gt;"","KEMI","")</f>
        <v/>
      </c>
      <c r="B48" s="2" t="str">
        <f>IF(D48&lt;&gt;"",IF($J$3&lt;&gt;"",$J$3,-9),"")</f>
        <v/>
      </c>
      <c r="C48" s="2" t="str">
        <f>IF(D48&lt;&gt;"",IF($K$3&lt;&gt;"",$K$3,-9),"")</f>
        <v/>
      </c>
      <c r="D48" s="2" t="str">
        <f>IF(Protokoll!Z69&lt;&gt;"",IF(LEN(Protokoll!Z69)=8,Protokoll!Z69,IF(LEN(Protokoll!Z69)=4, CONCATENATE(Protokoll!Z69,"0000"),CONCATENATE(LEFT(Protokoll!Z69,4),RIGHT(LEFT(Protokoll!Z69,7),2),RIGHT(Protokoll!Z69,2)))),"")</f>
        <v/>
      </c>
      <c r="E48" s="142" t="str">
        <f>IF(D48&lt;&gt;"",IF(Protokoll!H70&lt;&gt;"",ROUND(Protokoll!H70,2),-0.9),"")</f>
        <v/>
      </c>
      <c r="F48" s="147" t="str">
        <f>IF(D48&lt;&gt;"",IF(Protokoll!S70&lt;&gt;"",ROUND(Protokoll!S70,2),-9),"")</f>
        <v/>
      </c>
      <c r="G48" s="142" t="str">
        <f>IF(D48&lt;&gt;"",IF(Protokoll!AC70&lt;&gt;"",ROUND(Protokoll!AC70,2),-9),"")</f>
        <v/>
      </c>
      <c r="H48" s="2" t="str">
        <f>IF(D48&lt;&gt;"",IF(Protokoll!H71&lt;&gt;"",ROUND(Protokoll!H71,0),-9),"")</f>
        <v/>
      </c>
      <c r="I48" s="132" t="str">
        <f>IF(D48&lt;&gt;"",-9,"")</f>
        <v/>
      </c>
      <c r="J48" s="132" t="str">
        <f>IF(D48&lt;&gt;"",-9,"")</f>
        <v/>
      </c>
      <c r="K48" s="132" t="str">
        <f>IF(D48&lt;&gt;"",-9,"")</f>
        <v/>
      </c>
    </row>
    <row r="49" spans="1:9" x14ac:dyDescent="0.25">
      <c r="I49" s="117" t="str">
        <f>IF(OR(I48="-9,000",J48="-9,000",K48="-9,000"),"Det går bra att skriva in egna värden","")</f>
        <v/>
      </c>
    </row>
    <row r="50" spans="1:9" x14ac:dyDescent="0.25">
      <c r="B50" s="115"/>
      <c r="C50" s="115"/>
      <c r="D50" s="115"/>
      <c r="E50" s="115"/>
      <c r="F50" s="115"/>
      <c r="I50" s="117" t="str">
        <f>IF(OR(I48="-9,000",J48="-9,000",K48="-9,000"),"i cellerna ovan","")</f>
        <v/>
      </c>
    </row>
    <row r="51" spans="1:9" x14ac:dyDescent="0.25">
      <c r="A51" s="6" t="s">
        <v>738</v>
      </c>
      <c r="B51" s="3" t="s">
        <v>644</v>
      </c>
      <c r="C51" s="3" t="s">
        <v>645</v>
      </c>
      <c r="D51" s="3" t="s">
        <v>735</v>
      </c>
      <c r="E51" s="3" t="s">
        <v>524</v>
      </c>
      <c r="F51" s="3" t="s">
        <v>525</v>
      </c>
    </row>
    <row r="52" spans="1:9" x14ac:dyDescent="0.25">
      <c r="A52" s="2" t="str">
        <f>IF(D52&lt;&gt;"","OVRIG KEMI","")</f>
        <v/>
      </c>
      <c r="B52" s="2" t="str">
        <f t="shared" ref="B52:B64" si="11">IF(D52&lt;&gt;"",IF($J$3&lt;&gt;"",$J$3,-9),"")</f>
        <v/>
      </c>
      <c r="C52" s="2" t="str">
        <f t="shared" ref="C52:C64" si="12">IF(D52&lt;&gt;"",IF($K$3&lt;&gt;"",$K$3,-9),"")</f>
        <v/>
      </c>
      <c r="D52" s="2" t="str">
        <f>IF(AND(Protokoll!$Z$69&lt;&gt;"",E52&lt;&gt;""),IF(LEN(Protokoll!Z69)=8,Protokoll!Z69,IF(LEN(Protokoll!Z69)=4, CONCATENATE(Protokoll!Z69,"0000"),CONCATENATE(LEFT(Protokoll!Z69,4),RIGHT(LEFT(Protokoll!Z69,7),2),RIGHT(Protokoll!Z69,2)))),"")</f>
        <v/>
      </c>
      <c r="E52" s="2" t="str">
        <f>IF(Protokoll!S71&lt;&gt;"","TOTAL","")</f>
        <v/>
      </c>
      <c r="F52" s="147" t="str">
        <f>IF(E52&lt;&gt;"",ROUND(Protokoll!S71,3),"")</f>
        <v/>
      </c>
    </row>
    <row r="53" spans="1:9" x14ac:dyDescent="0.25">
      <c r="A53" s="2" t="str">
        <f t="shared" ref="A53:A64" si="13">IF(D53&lt;&gt;"","OVRIG KEMI","")</f>
        <v/>
      </c>
      <c r="B53" s="2" t="str">
        <f t="shared" si="11"/>
        <v/>
      </c>
      <c r="C53" s="2" t="str">
        <f t="shared" si="12"/>
        <v/>
      </c>
      <c r="D53" s="2" t="str">
        <f>IF(AND(Protokoll!$Z$69&lt;&gt;"",E53&lt;&gt;""),IF(LEN(Protokoll!Z69)=8,Protokoll!Z69,IF(LEN(Protokoll!Z69)=4, CONCATENATE(Protokoll!Z69,"0000"),CONCATENATE(LEFT(Protokoll!Z69,4),RIGHT(LEFT(Protokoll!Z69,7),2),RIGHT(Protokoll!Z69,2)))),"")</f>
        <v/>
      </c>
      <c r="E53" s="2" t="str">
        <f>IF(Protokoll!AC71&lt;&gt;"","GRUML","")</f>
        <v/>
      </c>
      <c r="F53" s="147" t="str">
        <f>IF(E53&lt;&gt;"",ROUND(Protokoll!AC71,3),"")</f>
        <v/>
      </c>
    </row>
    <row r="54" spans="1:9" x14ac:dyDescent="0.25">
      <c r="A54" s="2" t="str">
        <f t="shared" si="13"/>
        <v/>
      </c>
      <c r="B54" s="2" t="str">
        <f t="shared" si="11"/>
        <v/>
      </c>
      <c r="C54" s="2" t="str">
        <f t="shared" si="12"/>
        <v/>
      </c>
      <c r="D54" s="114"/>
      <c r="E54" s="114"/>
      <c r="F54" s="132"/>
    </row>
    <row r="55" spans="1:9" x14ac:dyDescent="0.25">
      <c r="A55" s="2" t="str">
        <f t="shared" si="13"/>
        <v/>
      </c>
      <c r="B55" s="2" t="str">
        <f t="shared" si="11"/>
        <v/>
      </c>
      <c r="C55" s="2" t="str">
        <f t="shared" si="12"/>
        <v/>
      </c>
      <c r="D55" s="114"/>
      <c r="E55" s="114"/>
      <c r="F55" s="132"/>
    </row>
    <row r="56" spans="1:9" x14ac:dyDescent="0.25">
      <c r="A56" s="2" t="str">
        <f t="shared" si="13"/>
        <v/>
      </c>
      <c r="B56" s="2" t="str">
        <f t="shared" si="11"/>
        <v/>
      </c>
      <c r="C56" s="2" t="str">
        <f t="shared" si="12"/>
        <v/>
      </c>
      <c r="D56" s="110"/>
      <c r="E56" s="110"/>
      <c r="F56" s="133"/>
    </row>
    <row r="57" spans="1:9" x14ac:dyDescent="0.25">
      <c r="A57" s="2" t="str">
        <f t="shared" si="13"/>
        <v/>
      </c>
      <c r="B57" s="2" t="str">
        <f t="shared" si="11"/>
        <v/>
      </c>
      <c r="C57" s="2" t="str">
        <f t="shared" si="12"/>
        <v/>
      </c>
      <c r="D57" s="110"/>
      <c r="E57" s="110"/>
      <c r="F57" s="133"/>
    </row>
    <row r="58" spans="1:9" x14ac:dyDescent="0.25">
      <c r="A58" s="2" t="str">
        <f t="shared" si="13"/>
        <v/>
      </c>
      <c r="B58" s="2" t="str">
        <f t="shared" si="11"/>
        <v/>
      </c>
      <c r="C58" s="2" t="str">
        <f t="shared" si="12"/>
        <v/>
      </c>
      <c r="D58" s="110"/>
      <c r="E58" s="110"/>
      <c r="F58" s="133"/>
    </row>
    <row r="59" spans="1:9" x14ac:dyDescent="0.25">
      <c r="A59" s="2" t="str">
        <f t="shared" si="13"/>
        <v/>
      </c>
      <c r="B59" s="2" t="str">
        <f t="shared" si="11"/>
        <v/>
      </c>
      <c r="C59" s="2" t="str">
        <f t="shared" si="12"/>
        <v/>
      </c>
      <c r="D59" s="110"/>
      <c r="E59" s="110"/>
      <c r="F59" s="133"/>
    </row>
    <row r="60" spans="1:9" x14ac:dyDescent="0.25">
      <c r="A60" s="2" t="str">
        <f t="shared" si="13"/>
        <v/>
      </c>
      <c r="B60" s="2" t="str">
        <f t="shared" si="11"/>
        <v/>
      </c>
      <c r="C60" s="2" t="str">
        <f t="shared" si="12"/>
        <v/>
      </c>
      <c r="D60" s="110"/>
      <c r="E60" s="110"/>
      <c r="F60" s="133"/>
    </row>
    <row r="61" spans="1:9" x14ac:dyDescent="0.25">
      <c r="A61" s="2" t="str">
        <f t="shared" si="13"/>
        <v/>
      </c>
      <c r="B61" s="2" t="str">
        <f t="shared" si="11"/>
        <v/>
      </c>
      <c r="C61" s="2" t="str">
        <f t="shared" si="12"/>
        <v/>
      </c>
      <c r="D61" s="110"/>
      <c r="E61" s="110"/>
      <c r="F61" s="133"/>
    </row>
    <row r="62" spans="1:9" x14ac:dyDescent="0.25">
      <c r="A62" s="2" t="str">
        <f t="shared" si="13"/>
        <v/>
      </c>
      <c r="B62" s="2" t="str">
        <f t="shared" si="11"/>
        <v/>
      </c>
      <c r="C62" s="2" t="str">
        <f t="shared" si="12"/>
        <v/>
      </c>
      <c r="D62" s="110"/>
      <c r="E62" s="110"/>
      <c r="F62" s="133"/>
    </row>
    <row r="63" spans="1:9" x14ac:dyDescent="0.25">
      <c r="A63" s="2" t="str">
        <f t="shared" si="13"/>
        <v/>
      </c>
      <c r="B63" s="2" t="str">
        <f t="shared" si="11"/>
        <v/>
      </c>
      <c r="C63" s="2" t="str">
        <f t="shared" si="12"/>
        <v/>
      </c>
      <c r="D63" s="110"/>
      <c r="E63" s="110"/>
      <c r="F63" s="133"/>
    </row>
    <row r="64" spans="1:9" x14ac:dyDescent="0.25">
      <c r="A64" s="2" t="str">
        <f t="shared" si="13"/>
        <v/>
      </c>
      <c r="B64" s="2" t="str">
        <f t="shared" si="11"/>
        <v/>
      </c>
      <c r="C64" s="2" t="str">
        <f t="shared" si="12"/>
        <v/>
      </c>
      <c r="D64" s="110"/>
      <c r="E64" s="110"/>
      <c r="F64" s="133"/>
    </row>
    <row r="66" spans="1:13" x14ac:dyDescent="0.25">
      <c r="A66" s="6" t="s">
        <v>2024</v>
      </c>
      <c r="B66" s="3" t="s">
        <v>644</v>
      </c>
      <c r="C66" s="3" t="s">
        <v>645</v>
      </c>
      <c r="D66" s="3" t="s">
        <v>646</v>
      </c>
      <c r="E66" s="3" t="s">
        <v>2031</v>
      </c>
      <c r="F66" s="3" t="s">
        <v>2032</v>
      </c>
      <c r="G66" s="3" t="s">
        <v>2033</v>
      </c>
      <c r="H66" s="3" t="s">
        <v>2034</v>
      </c>
      <c r="I66" s="3" t="s">
        <v>2035</v>
      </c>
      <c r="J66" s="3" t="s">
        <v>2036</v>
      </c>
      <c r="K66" s="3" t="s">
        <v>2037</v>
      </c>
      <c r="L66" s="3" t="s">
        <v>2038</v>
      </c>
      <c r="M66" s="3" t="s">
        <v>2039</v>
      </c>
    </row>
    <row r="67" spans="1:13" x14ac:dyDescent="0.25">
      <c r="A67" s="2" t="str">
        <f>IF(D67&lt;&gt;"","LOKALBESKRIVN","")</f>
        <v/>
      </c>
      <c r="B67" s="2" t="str">
        <f t="shared" ref="B67:B87" si="14">IF(G67&lt;&gt;"",IF($J$3&lt;&gt;"",$J$3,""),"")</f>
        <v/>
      </c>
      <c r="C67" s="2" t="str">
        <f t="shared" ref="C67:C87" si="15">IF(G67&lt;&gt;"",IF($K$3&lt;&gt;"",$K$3,""),"")</f>
        <v/>
      </c>
      <c r="D67" s="2" t="str">
        <f>IF(G67&lt;&gt;"",IF(Protokoll!$X$9&lt;&gt;"",D$7,""),"")</f>
        <v/>
      </c>
      <c r="E67" s="2" t="str">
        <f>IF(AND($D67&lt;&gt;"",Lokalbeskrivn!A13&lt;&gt;""),ROUND(Lokalbeskrivn!A13,1),"")</f>
        <v/>
      </c>
      <c r="F67" s="2" t="str">
        <f>IF(AND($D67&lt;&gt;"",Lokalbeskrivn!B13&lt;&gt;""),ROUND(Lokalbeskrivn!B13,1),"")</f>
        <v/>
      </c>
      <c r="G67" s="2" t="str">
        <f>IF(Lokalbeskrivn!C13&lt;&gt;"",ROUND(Lokalbeskrivn!C13,1),"")</f>
        <v/>
      </c>
      <c r="H67" s="2" t="str">
        <f>IF($G67&lt;&gt;"",IF(Lokalbeskrivn!D13&lt;&gt;"",ROUND(Lokalbeskrivn!D13,0),""),"")</f>
        <v/>
      </c>
      <c r="I67" s="2" t="str">
        <f>IF($G67&lt;&gt;"",IF(Lokalbeskrivn!E13&lt;&gt;"",ROUND(Lokalbeskrivn!E13,0),""),"")</f>
        <v/>
      </c>
      <c r="J67" s="2" t="str">
        <f>IF($G67&lt;&gt;"",IF(Lokalbeskrivn!F13&lt;&gt;"",ROUND(Lokalbeskrivn!F13,0),""),"")</f>
        <v/>
      </c>
      <c r="K67" s="2" t="str">
        <f>IF($G67&lt;&gt;"",IF(Lokalbeskrivn!G13&lt;&gt;"",ROUND(Lokalbeskrivn!G13,0),""),"")</f>
        <v/>
      </c>
      <c r="L67" s="2" t="str">
        <f>IF($G67&lt;&gt;"",IF(Lokalbeskrivn!I13&lt;&gt;"",ROUND(Lokalbeskrivn!I13,0),""),"")</f>
        <v/>
      </c>
      <c r="M67" s="2" t="str">
        <f>IF($G67&lt;&gt;"",IF(Lokalbeskrivn!J13&lt;&gt;"",ROUND(Lokalbeskrivn!J13,0),""),"")</f>
        <v/>
      </c>
    </row>
    <row r="68" spans="1:13" x14ac:dyDescent="0.25">
      <c r="A68" s="2" t="str">
        <f t="shared" ref="A68:A87" si="16">IF(D68&lt;&gt;"","LOKALBESKRIVN","")</f>
        <v/>
      </c>
      <c r="B68" s="2" t="str">
        <f t="shared" si="14"/>
        <v/>
      </c>
      <c r="C68" s="2" t="str">
        <f t="shared" si="15"/>
        <v/>
      </c>
      <c r="D68" s="2" t="str">
        <f>IF(G68&lt;&gt;"",IF(Protokoll!$X$9&lt;&gt;"",D$7,""),"")</f>
        <v/>
      </c>
      <c r="E68" s="2" t="str">
        <f>IF(AND($D68&lt;&gt;"",Lokalbeskrivn!A14&lt;&gt;""),ROUND(Lokalbeskrivn!A14,1),"")</f>
        <v/>
      </c>
      <c r="F68" s="2" t="str">
        <f>IF(AND($D68&lt;&gt;"",Lokalbeskrivn!B14&lt;&gt;""),ROUND(Lokalbeskrivn!B14,1),"")</f>
        <v/>
      </c>
      <c r="G68" s="2" t="str">
        <f>IF(Lokalbeskrivn!C14&lt;&gt;"",ROUND(Lokalbeskrivn!C14,1),"")</f>
        <v/>
      </c>
      <c r="H68" s="2" t="str">
        <f>IF($G68&lt;&gt;"",IF(Lokalbeskrivn!D14&lt;&gt;"",ROUND(Lokalbeskrivn!D14,0),""),"")</f>
        <v/>
      </c>
      <c r="I68" s="2" t="str">
        <f>IF($G68&lt;&gt;"",IF(Lokalbeskrivn!E14&lt;&gt;"",ROUND(Lokalbeskrivn!E14,0),""),"")</f>
        <v/>
      </c>
      <c r="J68" s="2" t="str">
        <f>IF($G68&lt;&gt;"",IF(Lokalbeskrivn!F14&lt;&gt;"",ROUND(Lokalbeskrivn!F14,0),""),"")</f>
        <v/>
      </c>
      <c r="K68" s="2" t="str">
        <f>IF($G68&lt;&gt;"",IF(Lokalbeskrivn!G14&lt;&gt;"",ROUND(Lokalbeskrivn!G14,0),""),"")</f>
        <v/>
      </c>
      <c r="L68" s="2" t="str">
        <f>IF($G68&lt;&gt;"",IF(Lokalbeskrivn!I14&lt;&gt;"",ROUND(Lokalbeskrivn!I14,0),""),"")</f>
        <v/>
      </c>
      <c r="M68" s="2" t="str">
        <f>IF($G68&lt;&gt;"",IF(Lokalbeskrivn!J14&lt;&gt;"",ROUND(Lokalbeskrivn!J14,0),""),"")</f>
        <v/>
      </c>
    </row>
    <row r="69" spans="1:13" x14ac:dyDescent="0.25">
      <c r="A69" s="2" t="str">
        <f t="shared" si="16"/>
        <v/>
      </c>
      <c r="B69" s="2" t="str">
        <f t="shared" si="14"/>
        <v/>
      </c>
      <c r="C69" s="2" t="str">
        <f t="shared" si="15"/>
        <v/>
      </c>
      <c r="D69" s="2" t="str">
        <f>IF(G69&lt;&gt;"",IF(Protokoll!$X$9&lt;&gt;"",D$7,""),"")</f>
        <v/>
      </c>
      <c r="E69" s="2" t="str">
        <f>IF(AND($D69&lt;&gt;"",Lokalbeskrivn!A15&lt;&gt;""),ROUND(Lokalbeskrivn!A15,1),"")</f>
        <v/>
      </c>
      <c r="F69" s="2" t="str">
        <f>IF(AND($D69&lt;&gt;"",Lokalbeskrivn!B15&lt;&gt;""),ROUND(Lokalbeskrivn!B15,1),"")</f>
        <v/>
      </c>
      <c r="G69" s="2" t="str">
        <f>IF(Lokalbeskrivn!C15&lt;&gt;"",ROUND(Lokalbeskrivn!C15,1),"")</f>
        <v/>
      </c>
      <c r="H69" s="2" t="str">
        <f>IF($G69&lt;&gt;"",IF(Lokalbeskrivn!D15&lt;&gt;"",ROUND(Lokalbeskrivn!D15,0),""),"")</f>
        <v/>
      </c>
      <c r="I69" s="2" t="str">
        <f>IF($G69&lt;&gt;"",IF(Lokalbeskrivn!E15&lt;&gt;"",ROUND(Lokalbeskrivn!E15,0),""),"")</f>
        <v/>
      </c>
      <c r="J69" s="2" t="str">
        <f>IF($G69&lt;&gt;"",IF(Lokalbeskrivn!F15&lt;&gt;"",ROUND(Lokalbeskrivn!F15,0),""),"")</f>
        <v/>
      </c>
      <c r="K69" s="2" t="str">
        <f>IF($G69&lt;&gt;"",IF(Lokalbeskrivn!G15&lt;&gt;"",ROUND(Lokalbeskrivn!G15,0),""),"")</f>
        <v/>
      </c>
      <c r="L69" s="2" t="str">
        <f>IF($G69&lt;&gt;"",IF(Lokalbeskrivn!I15&lt;&gt;"",ROUND(Lokalbeskrivn!I15,0),""),"")</f>
        <v/>
      </c>
      <c r="M69" s="2" t="str">
        <f>IF($G69&lt;&gt;"",IF(Lokalbeskrivn!J15&lt;&gt;"",ROUND(Lokalbeskrivn!J15,0),""),"")</f>
        <v/>
      </c>
    </row>
    <row r="70" spans="1:13" x14ac:dyDescent="0.25">
      <c r="A70" s="2" t="str">
        <f t="shared" si="16"/>
        <v/>
      </c>
      <c r="B70" s="2" t="str">
        <f t="shared" si="14"/>
        <v/>
      </c>
      <c r="C70" s="2" t="str">
        <f t="shared" si="15"/>
        <v/>
      </c>
      <c r="D70" s="2" t="str">
        <f>IF(G70&lt;&gt;"",IF(Protokoll!$X$9&lt;&gt;"",D$7,""),"")</f>
        <v/>
      </c>
      <c r="E70" s="2" t="str">
        <f>IF(AND($D70&lt;&gt;"",Lokalbeskrivn!A16&lt;&gt;""),ROUND(Lokalbeskrivn!A16,1),"")</f>
        <v/>
      </c>
      <c r="F70" s="2" t="str">
        <f>IF(AND($D70&lt;&gt;"",Lokalbeskrivn!B16&lt;&gt;""),ROUND(Lokalbeskrivn!B16,1),"")</f>
        <v/>
      </c>
      <c r="G70" s="2" t="str">
        <f>IF(Lokalbeskrivn!C16&lt;&gt;"",ROUND(Lokalbeskrivn!C16,1),"")</f>
        <v/>
      </c>
      <c r="H70" s="2" t="str">
        <f>IF($G70&lt;&gt;"",IF(Lokalbeskrivn!D16&lt;&gt;"",ROUND(Lokalbeskrivn!D16,0),""),"")</f>
        <v/>
      </c>
      <c r="I70" s="2" t="str">
        <f>IF($G70&lt;&gt;"",IF(Lokalbeskrivn!E16&lt;&gt;"",ROUND(Lokalbeskrivn!E16,0),""),"")</f>
        <v/>
      </c>
      <c r="J70" s="2" t="str">
        <f>IF($G70&lt;&gt;"",IF(Lokalbeskrivn!F16&lt;&gt;"",ROUND(Lokalbeskrivn!F16,0),""),"")</f>
        <v/>
      </c>
      <c r="K70" s="2" t="str">
        <f>IF($G70&lt;&gt;"",IF(Lokalbeskrivn!G16&lt;&gt;"",ROUND(Lokalbeskrivn!G16,0),""),"")</f>
        <v/>
      </c>
      <c r="L70" s="2" t="str">
        <f>IF($G70&lt;&gt;"",IF(Lokalbeskrivn!I16&lt;&gt;"",ROUND(Lokalbeskrivn!I16,0),""),"")</f>
        <v/>
      </c>
      <c r="M70" s="2" t="str">
        <f>IF($G70&lt;&gt;"",IF(Lokalbeskrivn!J16&lt;&gt;"",ROUND(Lokalbeskrivn!J16,0),""),"")</f>
        <v/>
      </c>
    </row>
    <row r="71" spans="1:13" x14ac:dyDescent="0.25">
      <c r="A71" s="2" t="str">
        <f t="shared" si="16"/>
        <v/>
      </c>
      <c r="B71" s="2" t="str">
        <f t="shared" si="14"/>
        <v/>
      </c>
      <c r="C71" s="2" t="str">
        <f t="shared" si="15"/>
        <v/>
      </c>
      <c r="D71" s="2" t="str">
        <f>IF(G71&lt;&gt;"",IF(Protokoll!$X$9&lt;&gt;"",D$7,""),"")</f>
        <v/>
      </c>
      <c r="E71" s="2" t="str">
        <f>IF(AND($D71&lt;&gt;"",Lokalbeskrivn!A17&lt;&gt;""),ROUND(Lokalbeskrivn!A17,1),"")</f>
        <v/>
      </c>
      <c r="F71" s="2" t="str">
        <f>IF(AND($D71&lt;&gt;"",Lokalbeskrivn!B17&lt;&gt;""),ROUND(Lokalbeskrivn!B17,1),"")</f>
        <v/>
      </c>
      <c r="G71" s="2" t="str">
        <f>IF(Lokalbeskrivn!C17&lt;&gt;"",ROUND(Lokalbeskrivn!C17,1),"")</f>
        <v/>
      </c>
      <c r="H71" s="2" t="str">
        <f>IF($G71&lt;&gt;"",IF(Lokalbeskrivn!D17&lt;&gt;"",ROUND(Lokalbeskrivn!D17,0),""),"")</f>
        <v/>
      </c>
      <c r="I71" s="2" t="str">
        <f>IF($G71&lt;&gt;"",IF(Lokalbeskrivn!E17&lt;&gt;"",ROUND(Lokalbeskrivn!E17,0),""),"")</f>
        <v/>
      </c>
      <c r="J71" s="2" t="str">
        <f>IF($G71&lt;&gt;"",IF(Lokalbeskrivn!F17&lt;&gt;"",ROUND(Lokalbeskrivn!F17,0),""),"")</f>
        <v/>
      </c>
      <c r="K71" s="2" t="str">
        <f>IF($G71&lt;&gt;"",IF(Lokalbeskrivn!G17&lt;&gt;"",ROUND(Lokalbeskrivn!G17,0),""),"")</f>
        <v/>
      </c>
      <c r="L71" s="2" t="str">
        <f>IF($G71&lt;&gt;"",IF(Lokalbeskrivn!I17&lt;&gt;"",ROUND(Lokalbeskrivn!I17,0),""),"")</f>
        <v/>
      </c>
      <c r="M71" s="2" t="str">
        <f>IF($G71&lt;&gt;"",IF(Lokalbeskrivn!J17&lt;&gt;"",ROUND(Lokalbeskrivn!J17,0),""),"")</f>
        <v/>
      </c>
    </row>
    <row r="72" spans="1:13" x14ac:dyDescent="0.25">
      <c r="A72" s="2" t="str">
        <f t="shared" si="16"/>
        <v/>
      </c>
      <c r="B72" s="2" t="str">
        <f t="shared" si="14"/>
        <v/>
      </c>
      <c r="C72" s="2" t="str">
        <f t="shared" si="15"/>
        <v/>
      </c>
      <c r="D72" s="2" t="str">
        <f>IF(G72&lt;&gt;"",IF(Protokoll!$X$9&lt;&gt;"",D$7,""),"")</f>
        <v/>
      </c>
      <c r="E72" s="2" t="str">
        <f>IF(AND($D72&lt;&gt;"",Lokalbeskrivn!A18&lt;&gt;""),ROUND(Lokalbeskrivn!A18,1),"")</f>
        <v/>
      </c>
      <c r="F72" s="2" t="str">
        <f>IF(AND($D72&lt;&gt;"",Lokalbeskrivn!B18&lt;&gt;""),ROUND(Lokalbeskrivn!B18,1),"")</f>
        <v/>
      </c>
      <c r="G72" s="2" t="str">
        <f>IF(Lokalbeskrivn!C18&lt;&gt;"",ROUND(Lokalbeskrivn!C18,1),"")</f>
        <v/>
      </c>
      <c r="H72" s="2" t="str">
        <f>IF($G72&lt;&gt;"",IF(Lokalbeskrivn!D18&lt;&gt;"",ROUND(Lokalbeskrivn!D18,0),""),"")</f>
        <v/>
      </c>
      <c r="I72" s="2" t="str">
        <f>IF($G72&lt;&gt;"",IF(Lokalbeskrivn!E18&lt;&gt;"",ROUND(Lokalbeskrivn!E18,0),""),"")</f>
        <v/>
      </c>
      <c r="J72" s="2" t="str">
        <f>IF($G72&lt;&gt;"",IF(Lokalbeskrivn!F18&lt;&gt;"",ROUND(Lokalbeskrivn!F18,0),""),"")</f>
        <v/>
      </c>
      <c r="K72" s="2" t="str">
        <f>IF($G72&lt;&gt;"",IF(Lokalbeskrivn!G18&lt;&gt;"",ROUND(Lokalbeskrivn!G18,0),""),"")</f>
        <v/>
      </c>
      <c r="L72" s="2" t="str">
        <f>IF($G72&lt;&gt;"",IF(Lokalbeskrivn!I18&lt;&gt;"",ROUND(Lokalbeskrivn!I18,0),""),"")</f>
        <v/>
      </c>
      <c r="M72" s="2" t="str">
        <f>IF($G72&lt;&gt;"",IF(Lokalbeskrivn!J18&lt;&gt;"",ROUND(Lokalbeskrivn!J18,0),""),"")</f>
        <v/>
      </c>
    </row>
    <row r="73" spans="1:13" x14ac:dyDescent="0.25">
      <c r="A73" s="2" t="str">
        <f t="shared" si="16"/>
        <v/>
      </c>
      <c r="B73" s="2" t="str">
        <f t="shared" si="14"/>
        <v/>
      </c>
      <c r="C73" s="2" t="str">
        <f t="shared" si="15"/>
        <v/>
      </c>
      <c r="D73" s="2" t="str">
        <f>IF(G73&lt;&gt;"",IF(Protokoll!$X$9&lt;&gt;"",D$7,""),"")</f>
        <v/>
      </c>
      <c r="E73" s="2" t="str">
        <f>IF(AND($D73&lt;&gt;"",Lokalbeskrivn!A19&lt;&gt;""),ROUND(Lokalbeskrivn!A19,1),"")</f>
        <v/>
      </c>
      <c r="F73" s="2" t="str">
        <f>IF(AND($D73&lt;&gt;"",Lokalbeskrivn!B19&lt;&gt;""),ROUND(Lokalbeskrivn!B19,1),"")</f>
        <v/>
      </c>
      <c r="G73" s="2" t="str">
        <f>IF(Lokalbeskrivn!C19&lt;&gt;"",ROUND(Lokalbeskrivn!C19,1),"")</f>
        <v/>
      </c>
      <c r="H73" s="2" t="str">
        <f>IF($G73&lt;&gt;"",IF(Lokalbeskrivn!D19&lt;&gt;"",ROUND(Lokalbeskrivn!D19,0),""),"")</f>
        <v/>
      </c>
      <c r="I73" s="2" t="str">
        <f>IF($G73&lt;&gt;"",IF(Lokalbeskrivn!E19&lt;&gt;"",ROUND(Lokalbeskrivn!E19,0),""),"")</f>
        <v/>
      </c>
      <c r="J73" s="2" t="str">
        <f>IF($G73&lt;&gt;"",IF(Lokalbeskrivn!F19&lt;&gt;"",ROUND(Lokalbeskrivn!F19,0),""),"")</f>
        <v/>
      </c>
      <c r="K73" s="2" t="str">
        <f>IF($G73&lt;&gt;"",IF(Lokalbeskrivn!G19&lt;&gt;"",ROUND(Lokalbeskrivn!G19,0),""),"")</f>
        <v/>
      </c>
      <c r="L73" s="2" t="str">
        <f>IF($G73&lt;&gt;"",IF(Lokalbeskrivn!I19&lt;&gt;"",ROUND(Lokalbeskrivn!I19,0),""),"")</f>
        <v/>
      </c>
      <c r="M73" s="2" t="str">
        <f>IF($G73&lt;&gt;"",IF(Lokalbeskrivn!J19&lt;&gt;"",ROUND(Lokalbeskrivn!J19,0),""),"")</f>
        <v/>
      </c>
    </row>
    <row r="74" spans="1:13" x14ac:dyDescent="0.25">
      <c r="A74" s="2" t="str">
        <f t="shared" si="16"/>
        <v/>
      </c>
      <c r="B74" s="2" t="str">
        <f t="shared" si="14"/>
        <v/>
      </c>
      <c r="C74" s="2" t="str">
        <f t="shared" si="15"/>
        <v/>
      </c>
      <c r="D74" s="2" t="str">
        <f>IF(G74&lt;&gt;"",IF(Protokoll!$X$9&lt;&gt;"",D$7,""),"")</f>
        <v/>
      </c>
      <c r="E74" s="2" t="str">
        <f>IF(AND($D74&lt;&gt;"",Lokalbeskrivn!A20&lt;&gt;""),ROUND(Lokalbeskrivn!A20,1),"")</f>
        <v/>
      </c>
      <c r="F74" s="2" t="str">
        <f>IF(AND($D74&lt;&gt;"",Lokalbeskrivn!B20&lt;&gt;""),ROUND(Lokalbeskrivn!B20,1),"")</f>
        <v/>
      </c>
      <c r="G74" s="2" t="str">
        <f>IF(Lokalbeskrivn!C20&lt;&gt;"",ROUND(Lokalbeskrivn!C20,1),"")</f>
        <v/>
      </c>
      <c r="H74" s="2" t="str">
        <f>IF($G74&lt;&gt;"",IF(Lokalbeskrivn!D20&lt;&gt;"",ROUND(Lokalbeskrivn!D20,0),""),"")</f>
        <v/>
      </c>
      <c r="I74" s="2" t="str">
        <f>IF($G74&lt;&gt;"",IF(Lokalbeskrivn!E20&lt;&gt;"",ROUND(Lokalbeskrivn!E20,0),""),"")</f>
        <v/>
      </c>
      <c r="J74" s="2" t="str">
        <f>IF($G74&lt;&gt;"",IF(Lokalbeskrivn!F20&lt;&gt;"",ROUND(Lokalbeskrivn!F20,0),""),"")</f>
        <v/>
      </c>
      <c r="K74" s="2" t="str">
        <f>IF($G74&lt;&gt;"",IF(Lokalbeskrivn!G20&lt;&gt;"",ROUND(Lokalbeskrivn!G20,0),""),"")</f>
        <v/>
      </c>
      <c r="L74" s="2" t="str">
        <f>IF($G74&lt;&gt;"",IF(Lokalbeskrivn!I20&lt;&gt;"",ROUND(Lokalbeskrivn!I20,0),""),"")</f>
        <v/>
      </c>
      <c r="M74" s="2" t="str">
        <f>IF($G74&lt;&gt;"",IF(Lokalbeskrivn!J20&lt;&gt;"",ROUND(Lokalbeskrivn!J20,0),""),"")</f>
        <v/>
      </c>
    </row>
    <row r="75" spans="1:13" x14ac:dyDescent="0.25">
      <c r="A75" s="2" t="str">
        <f t="shared" si="16"/>
        <v/>
      </c>
      <c r="B75" s="2" t="str">
        <f t="shared" si="14"/>
        <v/>
      </c>
      <c r="C75" s="2" t="str">
        <f t="shared" si="15"/>
        <v/>
      </c>
      <c r="D75" s="2" t="str">
        <f>IF(G75&lt;&gt;"",IF(Protokoll!$X$9&lt;&gt;"",D$7,""),"")</f>
        <v/>
      </c>
      <c r="E75" s="2" t="str">
        <f>IF(AND($D75&lt;&gt;"",Lokalbeskrivn!A21&lt;&gt;""),ROUND(Lokalbeskrivn!A21,1),"")</f>
        <v/>
      </c>
      <c r="F75" s="2" t="str">
        <f>IF(AND($D75&lt;&gt;"",Lokalbeskrivn!B21&lt;&gt;""),ROUND(Lokalbeskrivn!B21,1),"")</f>
        <v/>
      </c>
      <c r="G75" s="2" t="str">
        <f>IF(Lokalbeskrivn!C21&lt;&gt;"",ROUND(Lokalbeskrivn!C21,1),"")</f>
        <v/>
      </c>
      <c r="H75" s="2" t="str">
        <f>IF($G75&lt;&gt;"",IF(Lokalbeskrivn!D21&lt;&gt;"",ROUND(Lokalbeskrivn!D21,0),""),"")</f>
        <v/>
      </c>
      <c r="I75" s="2" t="str">
        <f>IF($G75&lt;&gt;"",IF(Lokalbeskrivn!E21&lt;&gt;"",ROUND(Lokalbeskrivn!E21,0),""),"")</f>
        <v/>
      </c>
      <c r="J75" s="2" t="str">
        <f>IF($G75&lt;&gt;"",IF(Lokalbeskrivn!F21&lt;&gt;"",ROUND(Lokalbeskrivn!F21,0),""),"")</f>
        <v/>
      </c>
      <c r="K75" s="2" t="str">
        <f>IF($G75&lt;&gt;"",IF(Lokalbeskrivn!G21&lt;&gt;"",ROUND(Lokalbeskrivn!G21,0),""),"")</f>
        <v/>
      </c>
      <c r="L75" s="2" t="str">
        <f>IF($G75&lt;&gt;"",IF(Lokalbeskrivn!I21&lt;&gt;"",ROUND(Lokalbeskrivn!I21,0),""),"")</f>
        <v/>
      </c>
      <c r="M75" s="2" t="str">
        <f>IF($G75&lt;&gt;"",IF(Lokalbeskrivn!J21&lt;&gt;"",ROUND(Lokalbeskrivn!J21,0),""),"")</f>
        <v/>
      </c>
    </row>
    <row r="76" spans="1:13" x14ac:dyDescent="0.25">
      <c r="A76" s="2" t="str">
        <f t="shared" si="16"/>
        <v/>
      </c>
      <c r="B76" s="2" t="str">
        <f t="shared" si="14"/>
        <v/>
      </c>
      <c r="C76" s="2" t="str">
        <f t="shared" si="15"/>
        <v/>
      </c>
      <c r="D76" s="2" t="str">
        <f>IF(G76&lt;&gt;"",IF(Protokoll!$X$9&lt;&gt;"",D$7,""),"")</f>
        <v/>
      </c>
      <c r="E76" s="2" t="str">
        <f>IF(AND($D76&lt;&gt;"",Lokalbeskrivn!A22&lt;&gt;""),ROUND(Lokalbeskrivn!A22,1),"")</f>
        <v/>
      </c>
      <c r="F76" s="2" t="str">
        <f>IF(AND($D76&lt;&gt;"",Lokalbeskrivn!B22&lt;&gt;""),ROUND(Lokalbeskrivn!B22,1),"")</f>
        <v/>
      </c>
      <c r="G76" s="2" t="str">
        <f>IF(Lokalbeskrivn!C22&lt;&gt;"",ROUND(Lokalbeskrivn!C22,1),"")</f>
        <v/>
      </c>
      <c r="H76" s="2" t="str">
        <f>IF($G76&lt;&gt;"",IF(Lokalbeskrivn!D22&lt;&gt;"",ROUND(Lokalbeskrivn!D22,0),""),"")</f>
        <v/>
      </c>
      <c r="I76" s="2" t="str">
        <f>IF($G76&lt;&gt;"",IF(Lokalbeskrivn!E22&lt;&gt;"",ROUND(Lokalbeskrivn!E22,0),""),"")</f>
        <v/>
      </c>
      <c r="J76" s="2" t="str">
        <f>IF($G76&lt;&gt;"",IF(Lokalbeskrivn!F22&lt;&gt;"",ROUND(Lokalbeskrivn!F22,0),""),"")</f>
        <v/>
      </c>
      <c r="K76" s="2" t="str">
        <f>IF($G76&lt;&gt;"",IF(Lokalbeskrivn!G22&lt;&gt;"",ROUND(Lokalbeskrivn!G22,0),""),"")</f>
        <v/>
      </c>
      <c r="L76" s="2" t="str">
        <f>IF($G76&lt;&gt;"",IF(Lokalbeskrivn!I22&lt;&gt;"",ROUND(Lokalbeskrivn!I22,0),""),"")</f>
        <v/>
      </c>
      <c r="M76" s="2" t="str">
        <f>IF($G76&lt;&gt;"",IF(Lokalbeskrivn!J22&lt;&gt;"",ROUND(Lokalbeskrivn!J22,0),""),"")</f>
        <v/>
      </c>
    </row>
    <row r="77" spans="1:13" x14ac:dyDescent="0.25">
      <c r="A77" s="2" t="str">
        <f t="shared" si="16"/>
        <v/>
      </c>
      <c r="B77" s="2" t="str">
        <f t="shared" si="14"/>
        <v/>
      </c>
      <c r="C77" s="2" t="str">
        <f t="shared" si="15"/>
        <v/>
      </c>
      <c r="D77" s="2" t="str">
        <f>IF(G77&lt;&gt;"",IF(Protokoll!$X$9&lt;&gt;"",D$7,""),"")</f>
        <v/>
      </c>
      <c r="E77" s="2" t="str">
        <f>IF(AND($D77&lt;&gt;"",Lokalbeskrivn!A23&lt;&gt;""),ROUND(Lokalbeskrivn!A23,1),"")</f>
        <v/>
      </c>
      <c r="F77" s="2" t="str">
        <f>IF(AND($D77&lt;&gt;"",Lokalbeskrivn!B23&lt;&gt;""),ROUND(Lokalbeskrivn!B23,1),"")</f>
        <v/>
      </c>
      <c r="G77" s="2" t="str">
        <f>IF(Lokalbeskrivn!C23&lt;&gt;"",ROUND(Lokalbeskrivn!C23,1),"")</f>
        <v/>
      </c>
      <c r="H77" s="2" t="str">
        <f>IF($G77&lt;&gt;"",IF(Lokalbeskrivn!D23&lt;&gt;"",ROUND(Lokalbeskrivn!D23,0),""),"")</f>
        <v/>
      </c>
      <c r="I77" s="2" t="str">
        <f>IF($G77&lt;&gt;"",IF(Lokalbeskrivn!E23&lt;&gt;"",ROUND(Lokalbeskrivn!E23,0),""),"")</f>
        <v/>
      </c>
      <c r="J77" s="2" t="str">
        <f>IF($G77&lt;&gt;"",IF(Lokalbeskrivn!F23&lt;&gt;"",ROUND(Lokalbeskrivn!F23,0),""),"")</f>
        <v/>
      </c>
      <c r="K77" s="2" t="str">
        <f>IF($G77&lt;&gt;"",IF(Lokalbeskrivn!G23&lt;&gt;"",ROUND(Lokalbeskrivn!G23,0),""),"")</f>
        <v/>
      </c>
      <c r="L77" s="2" t="str">
        <f>IF($G77&lt;&gt;"",IF(Lokalbeskrivn!I23&lt;&gt;"",ROUND(Lokalbeskrivn!I23,0),""),"")</f>
        <v/>
      </c>
      <c r="M77" s="2" t="str">
        <f>IF($G77&lt;&gt;"",IF(Lokalbeskrivn!J23&lt;&gt;"",ROUND(Lokalbeskrivn!J23,0),""),"")</f>
        <v/>
      </c>
    </row>
    <row r="78" spans="1:13" x14ac:dyDescent="0.25">
      <c r="A78" s="2" t="str">
        <f t="shared" si="16"/>
        <v/>
      </c>
      <c r="B78" s="2" t="str">
        <f t="shared" si="14"/>
        <v/>
      </c>
      <c r="C78" s="2" t="str">
        <f t="shared" si="15"/>
        <v/>
      </c>
      <c r="D78" s="2" t="str">
        <f>IF(G78&lt;&gt;"",IF(Protokoll!$X$9&lt;&gt;"",D$7,""),"")</f>
        <v/>
      </c>
      <c r="E78" s="2" t="str">
        <f>IF(AND($D78&lt;&gt;"",Lokalbeskrivn!A24&lt;&gt;""),ROUND(Lokalbeskrivn!A24,1),"")</f>
        <v/>
      </c>
      <c r="F78" s="2" t="str">
        <f>IF(AND($D78&lt;&gt;"",Lokalbeskrivn!B24&lt;&gt;""),ROUND(Lokalbeskrivn!B24,1),"")</f>
        <v/>
      </c>
      <c r="G78" s="2" t="str">
        <f>IF(Lokalbeskrivn!C24&lt;&gt;"",ROUND(Lokalbeskrivn!C24,1),"")</f>
        <v/>
      </c>
      <c r="H78" s="2" t="str">
        <f>IF($G78&lt;&gt;"",IF(Lokalbeskrivn!D24&lt;&gt;"",ROUND(Lokalbeskrivn!D24,0),""),"")</f>
        <v/>
      </c>
      <c r="I78" s="2" t="str">
        <f>IF($G78&lt;&gt;"",IF(Lokalbeskrivn!E24&lt;&gt;"",ROUND(Lokalbeskrivn!E24,0),""),"")</f>
        <v/>
      </c>
      <c r="J78" s="2" t="str">
        <f>IF($G78&lt;&gt;"",IF(Lokalbeskrivn!F24&lt;&gt;"",ROUND(Lokalbeskrivn!F24,0),""),"")</f>
        <v/>
      </c>
      <c r="K78" s="2" t="str">
        <f>IF($G78&lt;&gt;"",IF(Lokalbeskrivn!G24&lt;&gt;"",ROUND(Lokalbeskrivn!G24,0),""),"")</f>
        <v/>
      </c>
      <c r="L78" s="2" t="str">
        <f>IF($G78&lt;&gt;"",IF(Lokalbeskrivn!I24&lt;&gt;"",ROUND(Lokalbeskrivn!I24,0),""),"")</f>
        <v/>
      </c>
      <c r="M78" s="2" t="str">
        <f>IF($G78&lt;&gt;"",IF(Lokalbeskrivn!J24&lt;&gt;"",ROUND(Lokalbeskrivn!J24,0),""),"")</f>
        <v/>
      </c>
    </row>
    <row r="79" spans="1:13" x14ac:dyDescent="0.25">
      <c r="A79" s="2" t="str">
        <f t="shared" si="16"/>
        <v/>
      </c>
      <c r="B79" s="2" t="str">
        <f t="shared" si="14"/>
        <v/>
      </c>
      <c r="C79" s="2" t="str">
        <f t="shared" si="15"/>
        <v/>
      </c>
      <c r="D79" s="2" t="str">
        <f>IF(G79&lt;&gt;"",IF(Protokoll!$X$9&lt;&gt;"",D$7,""),"")</f>
        <v/>
      </c>
      <c r="E79" s="2" t="str">
        <f>IF(AND($D79&lt;&gt;"",Lokalbeskrivn!A25&lt;&gt;""),ROUND(Lokalbeskrivn!A25,1),"")</f>
        <v/>
      </c>
      <c r="F79" s="2" t="str">
        <f>IF(AND($D79&lt;&gt;"",Lokalbeskrivn!B25&lt;&gt;""),ROUND(Lokalbeskrivn!B25,1),"")</f>
        <v/>
      </c>
      <c r="G79" s="2" t="str">
        <f>IF(Lokalbeskrivn!C25&lt;&gt;"",ROUND(Lokalbeskrivn!C25,1),"")</f>
        <v/>
      </c>
      <c r="H79" s="2" t="str">
        <f>IF($G79&lt;&gt;"",IF(Lokalbeskrivn!D25&lt;&gt;"",ROUND(Lokalbeskrivn!D25,0),""),"")</f>
        <v/>
      </c>
      <c r="I79" s="2" t="str">
        <f>IF($G79&lt;&gt;"",IF(Lokalbeskrivn!E25&lt;&gt;"",ROUND(Lokalbeskrivn!E25,0),""),"")</f>
        <v/>
      </c>
      <c r="J79" s="2" t="str">
        <f>IF($G79&lt;&gt;"",IF(Lokalbeskrivn!F25&lt;&gt;"",ROUND(Lokalbeskrivn!F25,0),""),"")</f>
        <v/>
      </c>
      <c r="K79" s="2" t="str">
        <f>IF($G79&lt;&gt;"",IF(Lokalbeskrivn!G25&lt;&gt;"",ROUND(Lokalbeskrivn!G25,0),""),"")</f>
        <v/>
      </c>
      <c r="L79" s="2" t="str">
        <f>IF($G79&lt;&gt;"",IF(Lokalbeskrivn!I25&lt;&gt;"",ROUND(Lokalbeskrivn!I25,0),""),"")</f>
        <v/>
      </c>
      <c r="M79" s="2" t="str">
        <f>IF($G79&lt;&gt;"",IF(Lokalbeskrivn!J25&lt;&gt;"",ROUND(Lokalbeskrivn!J25,0),""),"")</f>
        <v/>
      </c>
    </row>
    <row r="80" spans="1:13" x14ac:dyDescent="0.25">
      <c r="A80" s="2" t="str">
        <f t="shared" si="16"/>
        <v/>
      </c>
      <c r="B80" s="2" t="str">
        <f t="shared" si="14"/>
        <v/>
      </c>
      <c r="C80" s="2" t="str">
        <f t="shared" si="15"/>
        <v/>
      </c>
      <c r="D80" s="2" t="str">
        <f>IF(G80&lt;&gt;"",IF(Protokoll!$X$9&lt;&gt;"",D$7,""),"")</f>
        <v/>
      </c>
      <c r="E80" s="2" t="str">
        <f>IF(AND($D80&lt;&gt;"",Lokalbeskrivn!A26&lt;&gt;""),ROUND(Lokalbeskrivn!A26,1),"")</f>
        <v/>
      </c>
      <c r="F80" s="2" t="str">
        <f>IF(AND($D80&lt;&gt;"",Lokalbeskrivn!B26&lt;&gt;""),ROUND(Lokalbeskrivn!B26,1),"")</f>
        <v/>
      </c>
      <c r="G80" s="2" t="str">
        <f>IF(Lokalbeskrivn!C26&lt;&gt;"",ROUND(Lokalbeskrivn!C26,1),"")</f>
        <v/>
      </c>
      <c r="H80" s="2" t="str">
        <f>IF($G80&lt;&gt;"",IF(Lokalbeskrivn!D26&lt;&gt;"",ROUND(Lokalbeskrivn!D26,0),""),"")</f>
        <v/>
      </c>
      <c r="I80" s="2" t="str">
        <f>IF($G80&lt;&gt;"",IF(Lokalbeskrivn!E26&lt;&gt;"",ROUND(Lokalbeskrivn!E26,0),""),"")</f>
        <v/>
      </c>
      <c r="J80" s="2" t="str">
        <f>IF($G80&lt;&gt;"",IF(Lokalbeskrivn!F26&lt;&gt;"",ROUND(Lokalbeskrivn!F26,0),""),"")</f>
        <v/>
      </c>
      <c r="K80" s="2" t="str">
        <f>IF($G80&lt;&gt;"",IF(Lokalbeskrivn!G26&lt;&gt;"",ROUND(Lokalbeskrivn!G26,0),""),"")</f>
        <v/>
      </c>
      <c r="L80" s="2" t="str">
        <f>IF($G80&lt;&gt;"",IF(Lokalbeskrivn!I26&lt;&gt;"",ROUND(Lokalbeskrivn!I26,0),""),"")</f>
        <v/>
      </c>
      <c r="M80" s="2" t="str">
        <f>IF($G80&lt;&gt;"",IF(Lokalbeskrivn!J26&lt;&gt;"",ROUND(Lokalbeskrivn!J26,0),""),"")</f>
        <v/>
      </c>
    </row>
    <row r="81" spans="1:13" x14ac:dyDescent="0.25">
      <c r="A81" s="2" t="str">
        <f t="shared" si="16"/>
        <v/>
      </c>
      <c r="B81" s="2" t="str">
        <f t="shared" si="14"/>
        <v/>
      </c>
      <c r="C81" s="2" t="str">
        <f t="shared" si="15"/>
        <v/>
      </c>
      <c r="D81" s="2" t="str">
        <f>IF(G81&lt;&gt;"",IF(Protokoll!$X$9&lt;&gt;"",D$7,""),"")</f>
        <v/>
      </c>
      <c r="E81" s="2" t="str">
        <f>IF(AND($D81&lt;&gt;"",Lokalbeskrivn!A27&lt;&gt;""),ROUND(Lokalbeskrivn!A27,1),"")</f>
        <v/>
      </c>
      <c r="F81" s="2" t="str">
        <f>IF(AND($D81&lt;&gt;"",Lokalbeskrivn!B27&lt;&gt;""),ROUND(Lokalbeskrivn!B27,1),"")</f>
        <v/>
      </c>
      <c r="G81" s="2" t="str">
        <f>IF(Lokalbeskrivn!C27&lt;&gt;"",ROUND(Lokalbeskrivn!C27,1),"")</f>
        <v/>
      </c>
      <c r="H81" s="2" t="str">
        <f>IF($G81&lt;&gt;"",IF(Lokalbeskrivn!D27&lt;&gt;"",ROUND(Lokalbeskrivn!D27,0),""),"")</f>
        <v/>
      </c>
      <c r="I81" s="2" t="str">
        <f>IF($G81&lt;&gt;"",IF(Lokalbeskrivn!E27&lt;&gt;"",ROUND(Lokalbeskrivn!E27,0),""),"")</f>
        <v/>
      </c>
      <c r="J81" s="2" t="str">
        <f>IF($G81&lt;&gt;"",IF(Lokalbeskrivn!F27&lt;&gt;"",ROUND(Lokalbeskrivn!F27,0),""),"")</f>
        <v/>
      </c>
      <c r="K81" s="2" t="str">
        <f>IF($G81&lt;&gt;"",IF(Lokalbeskrivn!G27&lt;&gt;"",ROUND(Lokalbeskrivn!G27,0),""),"")</f>
        <v/>
      </c>
      <c r="L81" s="2" t="str">
        <f>IF($G81&lt;&gt;"",IF(Lokalbeskrivn!I27&lt;&gt;"",ROUND(Lokalbeskrivn!I27,0),""),"")</f>
        <v/>
      </c>
      <c r="M81" s="2" t="str">
        <f>IF($G81&lt;&gt;"",IF(Lokalbeskrivn!J27&lt;&gt;"",ROUND(Lokalbeskrivn!J27,0),""),"")</f>
        <v/>
      </c>
    </row>
    <row r="82" spans="1:13" x14ac:dyDescent="0.25">
      <c r="A82" s="2" t="str">
        <f t="shared" si="16"/>
        <v/>
      </c>
      <c r="B82" s="2" t="str">
        <f t="shared" si="14"/>
        <v/>
      </c>
      <c r="C82" s="2" t="str">
        <f t="shared" si="15"/>
        <v/>
      </c>
      <c r="D82" s="2" t="str">
        <f>IF(G82&lt;&gt;"",IF(Protokoll!$X$9&lt;&gt;"",D$7,""),"")</f>
        <v/>
      </c>
      <c r="E82" s="2" t="str">
        <f>IF(AND($D82&lt;&gt;"",Lokalbeskrivn!A28&lt;&gt;""),ROUND(Lokalbeskrivn!A28,1),"")</f>
        <v/>
      </c>
      <c r="F82" s="2" t="str">
        <f>IF(AND($D82&lt;&gt;"",Lokalbeskrivn!B28&lt;&gt;""),ROUND(Lokalbeskrivn!B28,1),"")</f>
        <v/>
      </c>
      <c r="G82" s="2" t="str">
        <f>IF(Lokalbeskrivn!C28&lt;&gt;"",ROUND(Lokalbeskrivn!C28,1),"")</f>
        <v/>
      </c>
      <c r="H82" s="2" t="str">
        <f>IF($G82&lt;&gt;"",IF(Lokalbeskrivn!D28&lt;&gt;"",ROUND(Lokalbeskrivn!D28,0),""),"")</f>
        <v/>
      </c>
      <c r="I82" s="2" t="str">
        <f>IF($G82&lt;&gt;"",IF(Lokalbeskrivn!E28&lt;&gt;"",ROUND(Lokalbeskrivn!E28,0),""),"")</f>
        <v/>
      </c>
      <c r="J82" s="2" t="str">
        <f>IF($G82&lt;&gt;"",IF(Lokalbeskrivn!F28&lt;&gt;"",ROUND(Lokalbeskrivn!F28,0),""),"")</f>
        <v/>
      </c>
      <c r="K82" s="2" t="str">
        <f>IF($G82&lt;&gt;"",IF(Lokalbeskrivn!G28&lt;&gt;"",ROUND(Lokalbeskrivn!G28,0),""),"")</f>
        <v/>
      </c>
      <c r="L82" s="2" t="str">
        <f>IF($G82&lt;&gt;"",IF(Lokalbeskrivn!I28&lt;&gt;"",ROUND(Lokalbeskrivn!I28,0),""),"")</f>
        <v/>
      </c>
      <c r="M82" s="2" t="str">
        <f>IF($G82&lt;&gt;"",IF(Lokalbeskrivn!J28&lt;&gt;"",ROUND(Lokalbeskrivn!J28,0),""),"")</f>
        <v/>
      </c>
    </row>
    <row r="83" spans="1:13" x14ac:dyDescent="0.25">
      <c r="A83" s="2" t="str">
        <f t="shared" si="16"/>
        <v/>
      </c>
      <c r="B83" s="2" t="str">
        <f t="shared" si="14"/>
        <v/>
      </c>
      <c r="C83" s="2" t="str">
        <f t="shared" si="15"/>
        <v/>
      </c>
      <c r="D83" s="2" t="str">
        <f>IF(G83&lt;&gt;"",IF(Protokoll!$X$9&lt;&gt;"",D$7,""),"")</f>
        <v/>
      </c>
      <c r="E83" s="2" t="str">
        <f>IF(AND($D83&lt;&gt;"",Lokalbeskrivn!A29&lt;&gt;""),ROUND(Lokalbeskrivn!A29,1),"")</f>
        <v/>
      </c>
      <c r="F83" s="2" t="str">
        <f>IF(AND($D83&lt;&gt;"",Lokalbeskrivn!B29&lt;&gt;""),ROUND(Lokalbeskrivn!B29,1),"")</f>
        <v/>
      </c>
      <c r="G83" s="2" t="str">
        <f>IF(Lokalbeskrivn!C29&lt;&gt;"",ROUND(Lokalbeskrivn!C29,1),"")</f>
        <v/>
      </c>
      <c r="H83" s="2" t="str">
        <f>IF($G83&lt;&gt;"",IF(Lokalbeskrivn!D29&lt;&gt;"",ROUND(Lokalbeskrivn!D29,0),""),"")</f>
        <v/>
      </c>
      <c r="I83" s="2" t="str">
        <f>IF($G83&lt;&gt;"",IF(Lokalbeskrivn!E29&lt;&gt;"",ROUND(Lokalbeskrivn!E29,0),""),"")</f>
        <v/>
      </c>
      <c r="J83" s="2" t="str">
        <f>IF($G83&lt;&gt;"",IF(Lokalbeskrivn!F29&lt;&gt;"",ROUND(Lokalbeskrivn!F29,0),""),"")</f>
        <v/>
      </c>
      <c r="K83" s="2" t="str">
        <f>IF($G83&lt;&gt;"",IF(Lokalbeskrivn!G29&lt;&gt;"",ROUND(Lokalbeskrivn!G29,0),""),"")</f>
        <v/>
      </c>
      <c r="L83" s="2" t="str">
        <f>IF($G83&lt;&gt;"",IF(Lokalbeskrivn!I29&lt;&gt;"",ROUND(Lokalbeskrivn!I29,0),""),"")</f>
        <v/>
      </c>
      <c r="M83" s="2" t="str">
        <f>IF($G83&lt;&gt;"",IF(Lokalbeskrivn!J29&lt;&gt;"",ROUND(Lokalbeskrivn!J29,0),""),"")</f>
        <v/>
      </c>
    </row>
    <row r="84" spans="1:13" x14ac:dyDescent="0.25">
      <c r="A84" s="2" t="str">
        <f t="shared" si="16"/>
        <v/>
      </c>
      <c r="B84" s="2" t="str">
        <f t="shared" si="14"/>
        <v/>
      </c>
      <c r="C84" s="2" t="str">
        <f t="shared" si="15"/>
        <v/>
      </c>
      <c r="D84" s="2" t="str">
        <f>IF(G84&lt;&gt;"",IF(Protokoll!$X$9&lt;&gt;"",D$7,""),"")</f>
        <v/>
      </c>
      <c r="E84" s="2" t="str">
        <f>IF(AND($D84&lt;&gt;"",Lokalbeskrivn!A30&lt;&gt;""),ROUND(Lokalbeskrivn!A30,1),"")</f>
        <v/>
      </c>
      <c r="F84" s="2" t="str">
        <f>IF(AND($D84&lt;&gt;"",Lokalbeskrivn!B30&lt;&gt;""),ROUND(Lokalbeskrivn!B30,1),"")</f>
        <v/>
      </c>
      <c r="G84" s="2" t="str">
        <f>IF(Lokalbeskrivn!C30&lt;&gt;"",ROUND(Lokalbeskrivn!C30,1),"")</f>
        <v/>
      </c>
      <c r="H84" s="2" t="str">
        <f>IF($G84&lt;&gt;"",IF(Lokalbeskrivn!D30&lt;&gt;"",ROUND(Lokalbeskrivn!D30,0),""),"")</f>
        <v/>
      </c>
      <c r="I84" s="2" t="str">
        <f>IF($G84&lt;&gt;"",IF(Lokalbeskrivn!E30&lt;&gt;"",ROUND(Lokalbeskrivn!E30,0),""),"")</f>
        <v/>
      </c>
      <c r="J84" s="2" t="str">
        <f>IF($G84&lt;&gt;"",IF(Lokalbeskrivn!F30&lt;&gt;"",ROUND(Lokalbeskrivn!F30,0),""),"")</f>
        <v/>
      </c>
      <c r="K84" s="2" t="str">
        <f>IF($G84&lt;&gt;"",IF(Lokalbeskrivn!G30&lt;&gt;"",ROUND(Lokalbeskrivn!G30,0),""),"")</f>
        <v/>
      </c>
      <c r="L84" s="2" t="str">
        <f>IF($G84&lt;&gt;"",IF(Lokalbeskrivn!I30&lt;&gt;"",ROUND(Lokalbeskrivn!I30,0),""),"")</f>
        <v/>
      </c>
      <c r="M84" s="2" t="str">
        <f>IF($G84&lt;&gt;"",IF(Lokalbeskrivn!J30&lt;&gt;"",ROUND(Lokalbeskrivn!J30,0),""),"")</f>
        <v/>
      </c>
    </row>
    <row r="85" spans="1:13" x14ac:dyDescent="0.25">
      <c r="A85" s="2" t="str">
        <f t="shared" si="16"/>
        <v/>
      </c>
      <c r="B85" s="2" t="str">
        <f t="shared" si="14"/>
        <v/>
      </c>
      <c r="C85" s="2" t="str">
        <f t="shared" si="15"/>
        <v/>
      </c>
      <c r="D85" s="2" t="str">
        <f>IF(G85&lt;&gt;"",IF(Protokoll!$X$9&lt;&gt;"",D$7,""),"")</f>
        <v/>
      </c>
      <c r="E85" s="2" t="str">
        <f>IF(AND($D85&lt;&gt;"",Lokalbeskrivn!A31&lt;&gt;""),ROUND(Lokalbeskrivn!A31,1),"")</f>
        <v/>
      </c>
      <c r="F85" s="2" t="str">
        <f>IF(AND($D85&lt;&gt;"",Lokalbeskrivn!B31&lt;&gt;""),ROUND(Lokalbeskrivn!B31,1),"")</f>
        <v/>
      </c>
      <c r="G85" s="2" t="str">
        <f>IF(Lokalbeskrivn!C31&lt;&gt;"",ROUND(Lokalbeskrivn!C31,1),"")</f>
        <v/>
      </c>
      <c r="H85" s="2" t="str">
        <f>IF($G85&lt;&gt;"",IF(Lokalbeskrivn!D31&lt;&gt;"",ROUND(Lokalbeskrivn!D31,0),""),"")</f>
        <v/>
      </c>
      <c r="I85" s="2" t="str">
        <f>IF($G85&lt;&gt;"",IF(Lokalbeskrivn!E31&lt;&gt;"",ROUND(Lokalbeskrivn!E31,0),""),"")</f>
        <v/>
      </c>
      <c r="J85" s="2" t="str">
        <f>IF($G85&lt;&gt;"",IF(Lokalbeskrivn!F31&lt;&gt;"",ROUND(Lokalbeskrivn!F31,0),""),"")</f>
        <v/>
      </c>
      <c r="K85" s="2" t="str">
        <f>IF($G85&lt;&gt;"",IF(Lokalbeskrivn!G31&lt;&gt;"",ROUND(Lokalbeskrivn!G31,0),""),"")</f>
        <v/>
      </c>
      <c r="L85" s="2" t="str">
        <f>IF($G85&lt;&gt;"",IF(Lokalbeskrivn!I31&lt;&gt;"",ROUND(Lokalbeskrivn!I31,0),""),"")</f>
        <v/>
      </c>
      <c r="M85" s="2" t="str">
        <f>IF($G85&lt;&gt;"",IF(Lokalbeskrivn!J31&lt;&gt;"",ROUND(Lokalbeskrivn!J31,0),""),"")</f>
        <v/>
      </c>
    </row>
    <row r="86" spans="1:13" x14ac:dyDescent="0.25">
      <c r="A86" s="2" t="str">
        <f t="shared" si="16"/>
        <v/>
      </c>
      <c r="B86" s="2" t="str">
        <f t="shared" si="14"/>
        <v/>
      </c>
      <c r="C86" s="2" t="str">
        <f t="shared" si="15"/>
        <v/>
      </c>
      <c r="D86" s="2" t="str">
        <f>IF(G86&lt;&gt;"",IF(Protokoll!$X$9&lt;&gt;"",D$7,""),"")</f>
        <v/>
      </c>
      <c r="E86" s="2" t="str">
        <f>IF(AND($D86&lt;&gt;"",Lokalbeskrivn!A32&lt;&gt;""),ROUND(Lokalbeskrivn!A32,1),"")</f>
        <v/>
      </c>
      <c r="F86" s="2" t="str">
        <f>IF(AND($D86&lt;&gt;"",Lokalbeskrivn!B32&lt;&gt;""),ROUND(Lokalbeskrivn!B32,1),"")</f>
        <v/>
      </c>
      <c r="G86" s="2" t="str">
        <f>IF(Lokalbeskrivn!C32&lt;&gt;"",ROUND(Lokalbeskrivn!C32,1),"")</f>
        <v/>
      </c>
      <c r="H86" s="2" t="str">
        <f>IF($G86&lt;&gt;"",IF(Lokalbeskrivn!D32&lt;&gt;"",ROUND(Lokalbeskrivn!D32,0),""),"")</f>
        <v/>
      </c>
      <c r="I86" s="2" t="str">
        <f>IF($G86&lt;&gt;"",IF(Lokalbeskrivn!E32&lt;&gt;"",ROUND(Lokalbeskrivn!E32,0),""),"")</f>
        <v/>
      </c>
      <c r="J86" s="2" t="str">
        <f>IF($G86&lt;&gt;"",IF(Lokalbeskrivn!F32&lt;&gt;"",ROUND(Lokalbeskrivn!F32,0),""),"")</f>
        <v/>
      </c>
      <c r="K86" s="2" t="str">
        <f>IF($G86&lt;&gt;"",IF(Lokalbeskrivn!G32&lt;&gt;"",ROUND(Lokalbeskrivn!G32,0),""),"")</f>
        <v/>
      </c>
      <c r="L86" s="2" t="str">
        <f>IF($G86&lt;&gt;"",IF(Lokalbeskrivn!I32&lt;&gt;"",ROUND(Lokalbeskrivn!I32,0),""),"")</f>
        <v/>
      </c>
      <c r="M86" s="2" t="str">
        <f>IF($G86&lt;&gt;"",IF(Lokalbeskrivn!J32&lt;&gt;"",ROUND(Lokalbeskrivn!J32,0),""),"")</f>
        <v/>
      </c>
    </row>
    <row r="87" spans="1:13" x14ac:dyDescent="0.25">
      <c r="A87" s="2" t="str">
        <f t="shared" si="16"/>
        <v/>
      </c>
      <c r="B87" s="2" t="str">
        <f t="shared" si="14"/>
        <v/>
      </c>
      <c r="C87" s="2" t="str">
        <f t="shared" si="15"/>
        <v/>
      </c>
      <c r="D87" s="2" t="str">
        <f>IF(G87&lt;&gt;"",IF(Protokoll!$X$9&lt;&gt;"",D$7,""),"")</f>
        <v/>
      </c>
      <c r="E87" s="2" t="str">
        <f>IF(AND($D87&lt;&gt;"",Lokalbeskrivn!A33&lt;&gt;""),ROUND(Lokalbeskrivn!A33,1),"")</f>
        <v/>
      </c>
      <c r="F87" s="2" t="str">
        <f>IF(AND($D87&lt;&gt;"",Lokalbeskrivn!B33&lt;&gt;""),ROUND(Lokalbeskrivn!B33,1),"")</f>
        <v/>
      </c>
      <c r="G87" s="2" t="str">
        <f>IF(Lokalbeskrivn!C33&lt;&gt;"",ROUND(Lokalbeskrivn!C33,1),"")</f>
        <v/>
      </c>
      <c r="H87" s="2" t="str">
        <f>IF($G87&lt;&gt;"",IF(Lokalbeskrivn!D33&lt;&gt;"",ROUND(Lokalbeskrivn!D33,0),""),"")</f>
        <v/>
      </c>
      <c r="I87" s="2" t="str">
        <f>IF($G87&lt;&gt;"",IF(Lokalbeskrivn!E33&lt;&gt;"",ROUND(Lokalbeskrivn!E33,0),""),"")</f>
        <v/>
      </c>
      <c r="J87" s="2" t="str">
        <f>IF($G87&lt;&gt;"",IF(Lokalbeskrivn!F33&lt;&gt;"",ROUND(Lokalbeskrivn!F33,0),""),"")</f>
        <v/>
      </c>
      <c r="K87" s="2" t="str">
        <f>IF($G87&lt;&gt;"",IF(Lokalbeskrivn!G33&lt;&gt;"",ROUND(Lokalbeskrivn!G33,0),""),"")</f>
        <v/>
      </c>
      <c r="L87" s="2" t="str">
        <f>IF($G87&lt;&gt;"",IF(Lokalbeskrivn!I33&lt;&gt;"",ROUND(Lokalbeskrivn!I33,0),""),"")</f>
        <v/>
      </c>
      <c r="M87" s="2" t="str">
        <f>IF($G87&lt;&gt;"",IF(Lokalbeskrivn!J33&lt;&gt;"",ROUND(Lokalbeskrivn!J33,0),""),"")</f>
        <v/>
      </c>
    </row>
    <row r="336" spans="5:5" x14ac:dyDescent="0.25">
      <c r="E336" s="2"/>
    </row>
  </sheetData>
  <sheetProtection sheet="1"/>
  <phoneticPr fontId="0" type="noConversion"/>
  <conditionalFormatting sqref="E7">
    <cfRule type="expression" dxfId="16" priority="42" stopIfTrue="1">
      <formula>$E$7="Manuell!"</formula>
    </cfRule>
  </conditionalFormatting>
  <conditionalFormatting sqref="O11:O22">
    <cfRule type="expression" dxfId="15" priority="9760" stopIfTrue="1">
      <formula>$F11&lt;&gt;""</formula>
    </cfRule>
  </conditionalFormatting>
  <conditionalFormatting sqref="L26">
    <cfRule type="expression" dxfId="14" priority="29" stopIfTrue="1">
      <formula>$E26&lt;&gt;""</formula>
    </cfRule>
  </conditionalFormatting>
  <conditionalFormatting sqref="L27">
    <cfRule type="expression" dxfId="13" priority="14" stopIfTrue="1">
      <formula>$E27&lt;&gt;""</formula>
    </cfRule>
  </conditionalFormatting>
  <conditionalFormatting sqref="L28">
    <cfRule type="expression" dxfId="12" priority="13" stopIfTrue="1">
      <formula>$E28&lt;&gt;""</formula>
    </cfRule>
  </conditionalFormatting>
  <conditionalFormatting sqref="L29">
    <cfRule type="expression" dxfId="11" priority="12" stopIfTrue="1">
      <formula>$E29&lt;&gt;""</formula>
    </cfRule>
  </conditionalFormatting>
  <conditionalFormatting sqref="L30">
    <cfRule type="expression" dxfId="10" priority="11" stopIfTrue="1">
      <formula>$E30&lt;&gt;""</formula>
    </cfRule>
  </conditionalFormatting>
  <conditionalFormatting sqref="L31">
    <cfRule type="expression" dxfId="9" priority="10" stopIfTrue="1">
      <formula>$E31&lt;&gt;""</formula>
    </cfRule>
  </conditionalFormatting>
  <conditionalFormatting sqref="L32">
    <cfRule type="expression" dxfId="8" priority="9" stopIfTrue="1">
      <formula>$E32&lt;&gt;""</formula>
    </cfRule>
  </conditionalFormatting>
  <conditionalFormatting sqref="L33">
    <cfRule type="expression" dxfId="7" priority="8" stopIfTrue="1">
      <formula>$E33&lt;&gt;""</formula>
    </cfRule>
  </conditionalFormatting>
  <conditionalFormatting sqref="L34">
    <cfRule type="expression" dxfId="6" priority="7" stopIfTrue="1">
      <formula>$E34&lt;&gt;""</formula>
    </cfRule>
  </conditionalFormatting>
  <conditionalFormatting sqref="L35">
    <cfRule type="expression" dxfId="5" priority="6" stopIfTrue="1">
      <formula>$E35&lt;&gt;""</formula>
    </cfRule>
  </conditionalFormatting>
  <conditionalFormatting sqref="L36">
    <cfRule type="expression" dxfId="4" priority="5" stopIfTrue="1">
      <formula>$E36&lt;&gt;""</formula>
    </cfRule>
  </conditionalFormatting>
  <conditionalFormatting sqref="L37">
    <cfRule type="expression" dxfId="3" priority="4" stopIfTrue="1">
      <formula>$E37&lt;&gt;""</formula>
    </cfRule>
  </conditionalFormatting>
  <conditionalFormatting sqref="L38">
    <cfRule type="expression" dxfId="2" priority="3" stopIfTrue="1">
      <formula>$E38&lt;&gt;""</formula>
    </cfRule>
  </conditionalFormatting>
  <conditionalFormatting sqref="L39">
    <cfRule type="expression" dxfId="1" priority="2" stopIfTrue="1">
      <formula>$E39&lt;&gt;""</formula>
    </cfRule>
  </conditionalFormatting>
  <conditionalFormatting sqref="L40">
    <cfRule type="expression" dxfId="0" priority="1" stopIfTrue="1">
      <formula>$E40&lt;&gt;""</formula>
    </cfRule>
  </conditionalFormatting>
  <dataValidations count="2">
    <dataValidation type="custom" showInputMessage="1" showErrorMessage="1" errorTitle="Otillåten inmatning!" sqref="O11:O22" xr:uid="{00000000-0002-0000-0500-000000000000}">
      <formula1>F11&lt;&gt;""</formula1>
    </dataValidation>
    <dataValidation type="custom" allowBlank="1" showInputMessage="1" showErrorMessage="1" sqref="L26:L40" xr:uid="{00000000-0002-0000-0500-000001000000}">
      <formula1>E26&lt;&gt;""</formula1>
    </dataValidation>
  </dataValidations>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21"/>
  <sheetViews>
    <sheetView workbookViewId="0"/>
  </sheetViews>
  <sheetFormatPr defaultColWidth="9.109375" defaultRowHeight="13.2" x14ac:dyDescent="0.25"/>
  <cols>
    <col min="1" max="1" width="9.33203125" style="2" bestFit="1" customWidth="1"/>
    <col min="2" max="2" width="11.5546875" style="2" bestFit="1" customWidth="1"/>
    <col min="3" max="3" width="11.44140625" style="2" bestFit="1" customWidth="1"/>
    <col min="4" max="5" width="10.109375" style="2" bestFit="1" customWidth="1"/>
    <col min="6" max="6" width="11" style="2" bestFit="1" customWidth="1"/>
    <col min="7" max="7" width="10.88671875" style="2" bestFit="1" customWidth="1"/>
    <col min="8" max="9" width="10.109375" style="2" bestFit="1" customWidth="1"/>
    <col min="10" max="10" width="12.33203125" style="2" customWidth="1"/>
    <col min="11" max="16" width="8.44140625" style="2" bestFit="1" customWidth="1"/>
    <col min="17" max="17" width="9.44140625" style="2" bestFit="1" customWidth="1"/>
    <col min="18" max="19" width="9.109375" style="2"/>
    <col min="20" max="20" width="10.109375" style="2" bestFit="1" customWidth="1"/>
    <col min="21" max="16384" width="9.109375" style="2"/>
  </cols>
  <sheetData>
    <row r="1" spans="1:18" x14ac:dyDescent="0.25">
      <c r="A1" s="118" t="s">
        <v>477</v>
      </c>
      <c r="B1" s="118" t="s">
        <v>644</v>
      </c>
      <c r="C1" s="207" t="s">
        <v>645</v>
      </c>
      <c r="D1" s="118" t="s">
        <v>646</v>
      </c>
      <c r="E1" s="118" t="s">
        <v>471</v>
      </c>
      <c r="F1" s="118" t="s">
        <v>516</v>
      </c>
      <c r="G1" s="118" t="s">
        <v>517</v>
      </c>
      <c r="H1" s="118" t="s">
        <v>548</v>
      </c>
      <c r="I1" s="118" t="s">
        <v>549</v>
      </c>
      <c r="J1" s="118" t="s">
        <v>550</v>
      </c>
      <c r="K1" s="118" t="s">
        <v>551</v>
      </c>
      <c r="L1" s="118" t="s">
        <v>552</v>
      </c>
      <c r="M1" s="118" t="s">
        <v>553</v>
      </c>
      <c r="N1" s="118" t="s">
        <v>554</v>
      </c>
      <c r="O1" s="118" t="s">
        <v>555</v>
      </c>
      <c r="P1" s="118" t="s">
        <v>556</v>
      </c>
      <c r="Q1" s="118" t="s">
        <v>557</v>
      </c>
      <c r="R1" s="118" t="s">
        <v>2059</v>
      </c>
    </row>
    <row r="2" spans="1:18" x14ac:dyDescent="0.25">
      <c r="A2" s="2" t="str">
        <f>IF(D2&lt;&gt;"","LANGDER","")</f>
        <v>LANGDER</v>
      </c>
      <c r="B2" s="2">
        <f>IF(D2&lt;&gt;"",'DATA TILL SLU'!$J$3,"")</f>
        <v>632588</v>
      </c>
      <c r="C2" s="2">
        <f>IF(D2&lt;&gt;"",'DATA TILL SLU'!$K$3,"")</f>
        <v>129478</v>
      </c>
      <c r="D2" s="2">
        <f>IF(AND(ProtokollLkoordX&lt;&gt;"",ProtokollLkoordY&lt;&gt;"",Protokoll!$X$9&lt;&gt;""),'DATA TILL SLU'!$D$7*1,"")</f>
        <v>20200819</v>
      </c>
      <c r="E2" s="136" t="str">
        <f>IF(D2&lt;&gt;"",IF(SUM(Artuppgifter!G27:G50)=0,"EJFANGST",IF(COUNTIF(Beräkningshjälp!F$38:F$49,"&gt;=0")&gt;=ROW(E1)-ROW(E$1)+1,VLOOKUP((VLOOKUP(ROW(E1)-ROW(E$1)+1,Beräkningshjälp!$F$37:$H$54,IF(ISNUMBER(VLOOKUP(ROW(E1)-ROW(E$1)+1,Beräkningshjälp!$F$38:$H$54,2,FALSE)),2,3),FALSE)),Beräkningshjälp!M1:O60,3,FALSE),VLOOKUP((ROW(E1)-ROW(E$1)+1)*10+1,Beräkningshjälp!$AB$2:$AF$1082,5,FALSE))),"")</f>
        <v>EJFANGST</v>
      </c>
      <c r="F2" s="2" t="str">
        <f>IF(D2&lt;&gt;"",IF(E2="EJFANGST","",Beräkningshjälp!$AH$1),"")</f>
        <v/>
      </c>
      <c r="G2" s="136" t="str">
        <f>IF(D2&lt;&gt;"",IF(E2="EJFANGST","",IF(COUNTIF(Beräkningshjälp!F$38:F$49,"&gt;0")&gt;=ROW(E1)-ROW(E$1)+1,"INGA",IF(COUNTIF(Beräkningshjälp!$G$38:$H$49,VLOOKUP(E2,Beräkningshjälp!$AF$2:$AG$1082,2,FALSE))&gt;0,"ENSTAK",IF(VLOOKUP(VLOOKUP(E2,Beräkningshjälp!O$2:U$60,7,FALSE),Artuppgifter!$I$11:$P$22,7,FALSE)=TRUE,"MINMAX","ALLA")))),"")</f>
        <v/>
      </c>
      <c r="H2" s="2">
        <f>IF($E2&lt;&gt;"",IF(AND($E2&lt;&gt;"EJFANGST",$G2&lt;&gt;"INGA"),IF(ISNUMBER(VLOOKUP((ROW($H1)-ROW($H$1)+1)*10+COLUMN(H$1)-COLUMN($H$1)+1,Beräkningshjälp!$AB$2:$AI$1082,7,FALSE)),VLOOKUP((ROW($H1)-ROW($H$1)+1)*10+COLUMN(H$1)-COLUMN($H$1)+1,Beräkningshjälp!$AB$2:$AI$1082,7,FALSE),IF(E2&gt;0,-VLOOKUP((ROW($H1)-ROW($H$1)+1)*10+COLUMN(H$1)-COLUMN($H$1)+1,Beräkningshjälp!$AB$2:$AI$1082,3,FALSE),0)),0),"")</f>
        <v>0</v>
      </c>
      <c r="I2" s="2">
        <f>IF($E2&lt;&gt;"",IF(AND($E2&lt;&gt;"EJFANGST",$G2&lt;&gt;"INGA"),IF(ISNUMBER(VLOOKUP((ROW($H1)-ROW($H$1)+1)*10+COLUMN(I$1)-COLUMN($H$1)+1,Beräkningshjälp!$AB$2:$AI$1082,7,FALSE)),VLOOKUP((ROW($H1)-ROW($H$1)+1)*10+COLUMN(I$1)-COLUMN($H$1)+1,Beräkningshjälp!$AB$2:$AI$1082,7,FALSE),IF(H2&gt;0,-VLOOKUP((ROW($H1)-ROW($H$1)+1)*10+COLUMN(I$1)-COLUMN($H$1)+1,Beräkningshjälp!$AB$2:$AI$1082,3,FALSE),0)),0),"")</f>
        <v>0</v>
      </c>
      <c r="J2" s="2">
        <f>IF($E2&lt;&gt;"",IF(AND($E2&lt;&gt;"EJFANGST",$G2&lt;&gt;"INGA"),IF(ISNUMBER(VLOOKUP((ROW($H1)-ROW($H$1)+1)*10+COLUMN(J$1)-COLUMN($H$1)+1,Beräkningshjälp!$AB$2:$AI$1082,7,FALSE)),VLOOKUP((ROW($H1)-ROW($H$1)+1)*10+COLUMN(J$1)-COLUMN($H$1)+1,Beräkningshjälp!$AB$2:$AI$1082,7,FALSE),IF(I2&gt;0,-VLOOKUP((ROW($H1)-ROW($H$1)+1)*10+COLUMN(J$1)-COLUMN($H$1)+1,Beräkningshjälp!$AB$2:$AI$1082,3,FALSE),0)),0),"")</f>
        <v>0</v>
      </c>
      <c r="K2" s="2">
        <f>IF($E2&lt;&gt;"",IF(AND($E2&lt;&gt;"EJFANGST",$G2&lt;&gt;"INGA"),IF(ISNUMBER(VLOOKUP((ROW($H1)-ROW($H$1)+1)*10+COLUMN(K$1)-COLUMN($H$1)+1,Beräkningshjälp!$AB$2:$AI$1082,7,FALSE)),VLOOKUP((ROW($H1)-ROW($H$1)+1)*10+COLUMN(K$1)-COLUMN($H$1)+1,Beräkningshjälp!$AB$2:$AI$1082,7,FALSE),IF(J2&gt;0,-VLOOKUP((ROW($H1)-ROW($H$1)+1)*10+COLUMN(K$1)-COLUMN($H$1)+1,Beräkningshjälp!$AB$2:$AI$1082,3,FALSE),0)),0),"")</f>
        <v>0</v>
      </c>
      <c r="L2" s="2">
        <f>IF($E2&lt;&gt;"",IF(AND($E2&lt;&gt;"EJFANGST",$G2&lt;&gt;"INGA"),IF(ISNUMBER(VLOOKUP((ROW($H1)-ROW($H$1)+1)*10+COLUMN(L$1)-COLUMN($H$1)+1,Beräkningshjälp!$AB$2:$AI$1082,7,FALSE)),VLOOKUP((ROW($H1)-ROW($H$1)+1)*10+COLUMN(L$1)-COLUMN($H$1)+1,Beräkningshjälp!$AB$2:$AI$1082,7,FALSE),IF(K2&gt;0,-VLOOKUP((ROW($H1)-ROW($H$1)+1)*10+COLUMN(L$1)-COLUMN($H$1)+1,Beräkningshjälp!$AB$2:$AI$1082,3,FALSE),0)),0),"")</f>
        <v>0</v>
      </c>
      <c r="M2" s="2">
        <f>IF($E2&lt;&gt;"",IF(AND($E2&lt;&gt;"EJFANGST",$G2&lt;&gt;"INGA"),IF(ISNUMBER(VLOOKUP((ROW($H1)-ROW($H$1)+1)*10+COLUMN(M$1)-COLUMN($H$1)+1,Beräkningshjälp!$AB$2:$AI$1082,7,FALSE)),VLOOKUP((ROW($H1)-ROW($H$1)+1)*10+COLUMN(M$1)-COLUMN($H$1)+1,Beräkningshjälp!$AB$2:$AI$1082,7,FALSE),IF(L2&gt;0,-VLOOKUP((ROW($H1)-ROW($H$1)+1)*10+COLUMN(M$1)-COLUMN($H$1)+1,Beräkningshjälp!$AB$2:$AI$1082,3,FALSE),0)),0),"")</f>
        <v>0</v>
      </c>
      <c r="N2" s="2">
        <f>IF($E2&lt;&gt;"",IF(AND($E2&lt;&gt;"EJFANGST",$G2&lt;&gt;"INGA"),IF(ISNUMBER(VLOOKUP((ROW($H1)-ROW($H$1)+1)*10+COLUMN(N$1)-COLUMN($H$1)+1,Beräkningshjälp!$AB$2:$AI$1082,7,FALSE)),VLOOKUP((ROW($H1)-ROW($H$1)+1)*10+COLUMN(N$1)-COLUMN($H$1)+1,Beräkningshjälp!$AB$2:$AI$1082,7,FALSE),IF(M2&gt;0,-VLOOKUP((ROW($H1)-ROW($H$1)+1)*10+COLUMN(N$1)-COLUMN($H$1)+1,Beräkningshjälp!$AB$2:$AI$1082,3,FALSE),0)),0),"")</f>
        <v>0</v>
      </c>
      <c r="O2" s="2">
        <f>IF($E2&lt;&gt;"",IF(AND($E2&lt;&gt;"EJFANGST",$G2&lt;&gt;"INGA"),IF(ISNUMBER(VLOOKUP((ROW($H1)-ROW($H$1)+1)*10+COLUMN(O$1)-COLUMN($H$1)+1,Beräkningshjälp!$AB$2:$AI$1082,7,FALSE)),VLOOKUP((ROW($H1)-ROW($H$1)+1)*10+COLUMN(O$1)-COLUMN($H$1)+1,Beräkningshjälp!$AB$2:$AI$1082,7,FALSE),IF(N2&gt;0,-VLOOKUP((ROW($H1)-ROW($H$1)+1)*10+COLUMN(O$1)-COLUMN($H$1)+1,Beräkningshjälp!$AB$2:$AI$1082,3,FALSE),0)),0),"")</f>
        <v>0</v>
      </c>
      <c r="P2" s="2">
        <f>IF($E2&lt;&gt;"",IF(AND($E2&lt;&gt;"EJFANGST",$G2&lt;&gt;"INGA"),IF(ISNUMBER(VLOOKUP((ROW($H1)-ROW($H$1)+1)*10+COLUMN(P$1)-COLUMN($H$1)+1,Beräkningshjälp!$AB$2:$AI$1082,7,FALSE)),VLOOKUP((ROW($H1)-ROW($H$1)+1)*10+COLUMN(P$1)-COLUMN($H$1)+1,Beräkningshjälp!$AB$2:$AI$1082,7,FALSE),IF(O2&gt;0,-VLOOKUP((ROW($H1)-ROW($H$1)+1)*10+COLUMN(P$1)-COLUMN($H$1)+1,Beräkningshjälp!$AB$2:$AI$1082,3,FALSE),0)),0),"")</f>
        <v>0</v>
      </c>
      <c r="Q2" s="2">
        <f>IF($E2&lt;&gt;"",IF(AND($E2&lt;&gt;"EJFANGST",$G2&lt;&gt;"INGA"),IF(ISNUMBER(VLOOKUP((ROW($H1)-ROW($H$1)+1)*10+COLUMN(Q$1)-COLUMN($H$1)+1,Beräkningshjälp!$AB$2:$AI$1082,7,FALSE)),VLOOKUP((ROW($H1)-ROW($H$1)+1)*10+COLUMN(Q$1)-COLUMN($H$1)+1,Beräkningshjälp!$AB$2:$AI$1082,7,FALSE),IF(P2&gt;0,-VLOOKUP((ROW($H1)-ROW($H$1)+1)*10+COLUMN(Q$1)-COLUMN($H$1)+1,Beräkningshjälp!$AB$2:$AI$1082,3,FALSE),0)),0),"")</f>
        <v>0</v>
      </c>
      <c r="R2" s="116" t="str">
        <f>IF(COUNTIF(H2:Q2,"&gt;0")&gt;0,IF($E2&lt;&gt;"",IF(AND($E2&lt;&gt;"EJFANGST",$G2&lt;&gt;"INGA"),IF(ISNUMBER(VLOOKUP((ROW($H1)-ROW($H$1)+1)*10+COLUMN(H$1)-COLUMN($H$1)+1,Beräkningshjälp!$AB$2:$AI$1082,7,FALSE)),VLOOKUP((ROW($H1)-ROW($H$1)+1)*10+COLUMN(H$1)-COLUMN($H$1)+1,Beräkningshjälp!$AB$2:$AI$1082,3,FALSE),""),""),""),"")</f>
        <v/>
      </c>
    </row>
    <row r="3" spans="1:18" x14ac:dyDescent="0.25">
      <c r="A3" s="2" t="str">
        <f t="shared" ref="A3:A66" si="0">IF(D3&lt;&gt;"","LANGDER","")</f>
        <v/>
      </c>
      <c r="B3" s="2" t="str">
        <f>IF(D3&lt;&gt;"",'DATA TILL SLU'!$J$3,"")</f>
        <v/>
      </c>
      <c r="C3" s="2" t="str">
        <f>IF(D3&lt;&gt;"",'DATA TILL SLU'!$K$3,"")</f>
        <v/>
      </c>
      <c r="D3" s="2" t="str">
        <f>IF(OR(ROW(D2)-ROW(D$1)+1&lt;=MAX(Beräkningshjälp!$F$37:$F$54),ROW(D2)-ROW(D$1)+1&lt;=ROUND((MAX(Beräkningshjälp!AB$3:AB$1082)+4)/10,0)-1),D$2,"")</f>
        <v/>
      </c>
      <c r="E3" s="136" t="str">
        <f>IF(D3&lt;&gt;"",IF(COUNTIF(Beräkningshjälp!F$38:F$49,"&gt;0")&gt;=ROW(E2)-ROW(E$1)+1,VLOOKUP((VLOOKUP(ROW(E2)-ROW(E$1)+1,Beräkningshjälp!$F$37:$H$54,IF(ISNUMBER(VLOOKUP(ROW(E2)-ROW(E$1)+1,Beräkningshjälp!$F$37:$H$54,2,FALSE)),2,3),FALSE)),Beräkningshjälp!$M$2:$O$60,3,FALSE),VLOOKUP((ROW(E2)-ROW(E$1)+1)*10+1,Beräkningshjälp!$AB$2:$AF$1082,5,FALSE)),"")</f>
        <v/>
      </c>
      <c r="F3" s="2" t="str">
        <f>IF(D3&lt;&gt;"",Beräkningshjälp!$AH$1,"")</f>
        <v/>
      </c>
      <c r="G3" s="136" t="str">
        <f>IF(D3&lt;&gt;"",IF(COUNTIF(Beräkningshjälp!F$38:F$49,"&gt;0")&gt;=ROW(E2)-ROW(E$1)+1,"INGA",IF(COUNTIF(Beräkningshjälp!$G$38:$H$49,VLOOKUP(E3,Beräkningshjälp!$AF$2:$AG$1082,2,FALSE))&gt;0,"ENSTAK",IF(VLOOKUP(VLOOKUP(E3,Beräkningshjälp!O$2:U$60,7,FALSE),Artuppgifter!$I$11:$P$22,7,FALSE)=TRUE,"MINMAX","ALLA"))),"")</f>
        <v/>
      </c>
      <c r="H3" s="2" t="str">
        <f>IF($E3&lt;&gt;"",IF(AND($E3&lt;&gt;"EJFANGST",$G3&lt;&gt;"INGA"),IF(ISNUMBER(VLOOKUP((ROW($H2)-ROW($H$1)+1)*10+COLUMN(H$1)-COLUMN($H$1)+1,Beräkningshjälp!$AB$2:$AI$1082,7,FALSE)),VLOOKUP((ROW($H2)-ROW($H$1)+1)*10+COLUMN(H$1)-COLUMN($H$1)+1,Beräkningshjälp!$AB$2:$AI$1082,7,FALSE),IF(E3&gt;0,-VLOOKUP((ROW($H2)-ROW($H$1)+1)*10+COLUMN(H$1)-COLUMN($H$1)+1,Beräkningshjälp!$AB$2:$AI$1082,3,FALSE),0)),0),"")</f>
        <v/>
      </c>
      <c r="I3" s="2" t="str">
        <f>IF($E3&lt;&gt;"",IF(AND($E3&lt;&gt;"EJFANGST",$G3&lt;&gt;"INGA"),IF(ISNUMBER(VLOOKUP((ROW($H2)-ROW($H$1)+1)*10+COLUMN(I$1)-COLUMN($H$1)+1,Beräkningshjälp!$AB$2:$AI$1082,7,FALSE)),VLOOKUP((ROW($H2)-ROW($H$1)+1)*10+COLUMN(I$1)-COLUMN($H$1)+1,Beräkningshjälp!$AB$2:$AI$1082,7,FALSE),IF(H3&gt;0,-VLOOKUP((ROW($H2)-ROW($H$1)+1)*10+COLUMN(I$1)-COLUMN($H$1)+1,Beräkningshjälp!$AB$2:$AI$1082,3,FALSE),0)),0),"")</f>
        <v/>
      </c>
      <c r="J3" s="2" t="str">
        <f>IF($E3&lt;&gt;"",IF(AND($E3&lt;&gt;"EJFANGST",$G3&lt;&gt;"INGA"),IF(ISNUMBER(VLOOKUP((ROW($H2)-ROW($H$1)+1)*10+COLUMN(J$1)-COLUMN($H$1)+1,Beräkningshjälp!$AB$2:$AI$1082,7,FALSE)),VLOOKUP((ROW($H2)-ROW($H$1)+1)*10+COLUMN(J$1)-COLUMN($H$1)+1,Beräkningshjälp!$AB$2:$AI$1082,7,FALSE),IF(I3&gt;0,-VLOOKUP((ROW($H2)-ROW($H$1)+1)*10+COLUMN(J$1)-COLUMN($H$1)+1,Beräkningshjälp!$AB$2:$AI$1082,3,FALSE),0)),0),"")</f>
        <v/>
      </c>
      <c r="K3" s="2" t="str">
        <f>IF($E3&lt;&gt;"",IF(AND($E3&lt;&gt;"EJFANGST",$G3&lt;&gt;"INGA"),IF(ISNUMBER(VLOOKUP((ROW($H2)-ROW($H$1)+1)*10+COLUMN(K$1)-COLUMN($H$1)+1,Beräkningshjälp!$AB$2:$AI$1082,7,FALSE)),VLOOKUP((ROW($H2)-ROW($H$1)+1)*10+COLUMN(K$1)-COLUMN($H$1)+1,Beräkningshjälp!$AB$2:$AI$1082,7,FALSE),IF(J3&gt;0,-VLOOKUP((ROW($H2)-ROW($H$1)+1)*10+COLUMN(K$1)-COLUMN($H$1)+1,Beräkningshjälp!$AB$2:$AI$1082,3,FALSE),0)),0),"")</f>
        <v/>
      </c>
      <c r="L3" s="2" t="str">
        <f>IF($E3&lt;&gt;"",IF(AND($E3&lt;&gt;"EJFANGST",$G3&lt;&gt;"INGA"),IF(ISNUMBER(VLOOKUP((ROW($H2)-ROW($H$1)+1)*10+COLUMN(L$1)-COLUMN($H$1)+1,Beräkningshjälp!$AB$2:$AI$1082,7,FALSE)),VLOOKUP((ROW($H2)-ROW($H$1)+1)*10+COLUMN(L$1)-COLUMN($H$1)+1,Beräkningshjälp!$AB$2:$AI$1082,7,FALSE),IF(K3&gt;0,-VLOOKUP((ROW($H2)-ROW($H$1)+1)*10+COLUMN(L$1)-COLUMN($H$1)+1,Beräkningshjälp!$AB$2:$AI$1082,3,FALSE),0)),0),"")</f>
        <v/>
      </c>
      <c r="M3" s="2" t="str">
        <f>IF($E3&lt;&gt;"",IF(AND($E3&lt;&gt;"EJFANGST",$G3&lt;&gt;"INGA"),IF(ISNUMBER(VLOOKUP((ROW($H2)-ROW($H$1)+1)*10+COLUMN(M$1)-COLUMN($H$1)+1,Beräkningshjälp!$AB$2:$AI$1082,7,FALSE)),VLOOKUP((ROW($H2)-ROW($H$1)+1)*10+COLUMN(M$1)-COLUMN($H$1)+1,Beräkningshjälp!$AB$2:$AI$1082,7,FALSE),IF(L3&gt;0,-VLOOKUP((ROW($H2)-ROW($H$1)+1)*10+COLUMN(M$1)-COLUMN($H$1)+1,Beräkningshjälp!$AB$2:$AI$1082,3,FALSE),0)),0),"")</f>
        <v/>
      </c>
      <c r="N3" s="2" t="str">
        <f>IF($E3&lt;&gt;"",IF(AND($E3&lt;&gt;"EJFANGST",$G3&lt;&gt;"INGA"),IF(ISNUMBER(VLOOKUP((ROW($H2)-ROW($H$1)+1)*10+COLUMN(N$1)-COLUMN($H$1)+1,Beräkningshjälp!$AB$2:$AI$1082,7,FALSE)),VLOOKUP((ROW($H2)-ROW($H$1)+1)*10+COLUMN(N$1)-COLUMN($H$1)+1,Beräkningshjälp!$AB$2:$AI$1082,7,FALSE),IF(M3&gt;0,-VLOOKUP((ROW($H2)-ROW($H$1)+1)*10+COLUMN(N$1)-COLUMN($H$1)+1,Beräkningshjälp!$AB$2:$AI$1082,3,FALSE),0)),0),"")</f>
        <v/>
      </c>
      <c r="O3" s="2" t="str">
        <f>IF($E3&lt;&gt;"",IF(AND($E3&lt;&gt;"EJFANGST",$G3&lt;&gt;"INGA"),IF(ISNUMBER(VLOOKUP((ROW($H2)-ROW($H$1)+1)*10+COLUMN(O$1)-COLUMN($H$1)+1,Beräkningshjälp!$AB$2:$AI$1082,7,FALSE)),VLOOKUP((ROW($H2)-ROW($H$1)+1)*10+COLUMN(O$1)-COLUMN($H$1)+1,Beräkningshjälp!$AB$2:$AI$1082,7,FALSE),IF(N3&gt;0,-VLOOKUP((ROW($H2)-ROW($H$1)+1)*10+COLUMN(O$1)-COLUMN($H$1)+1,Beräkningshjälp!$AB$2:$AI$1082,3,FALSE),0)),0),"")</f>
        <v/>
      </c>
      <c r="P3" s="2" t="str">
        <f>IF($E3&lt;&gt;"",IF(AND($E3&lt;&gt;"EJFANGST",$G3&lt;&gt;"INGA"),IF(ISNUMBER(VLOOKUP((ROW($H2)-ROW($H$1)+1)*10+COLUMN(P$1)-COLUMN($H$1)+1,Beräkningshjälp!$AB$2:$AI$1082,7,FALSE)),VLOOKUP((ROW($H2)-ROW($H$1)+1)*10+COLUMN(P$1)-COLUMN($H$1)+1,Beräkningshjälp!$AB$2:$AI$1082,7,FALSE),IF(O3&gt;0,-VLOOKUP((ROW($H2)-ROW($H$1)+1)*10+COLUMN(P$1)-COLUMN($H$1)+1,Beräkningshjälp!$AB$2:$AI$1082,3,FALSE),0)),0),"")</f>
        <v/>
      </c>
      <c r="Q3" s="2" t="str">
        <f>IF($E3&lt;&gt;"",IF(AND($E3&lt;&gt;"EJFANGST",$G3&lt;&gt;"INGA"),IF(ISNUMBER(VLOOKUP((ROW($H2)-ROW($H$1)+1)*10+COLUMN(Q$1)-COLUMN($H$1)+1,Beräkningshjälp!$AB$2:$AI$1082,7,FALSE)),VLOOKUP((ROW($H2)-ROW($H$1)+1)*10+COLUMN(Q$1)-COLUMN($H$1)+1,Beräkningshjälp!$AB$2:$AI$1082,7,FALSE),IF(P3&gt;0,-VLOOKUP((ROW($H2)-ROW($H$1)+1)*10+COLUMN(Q$1)-COLUMN($H$1)+1,Beräkningshjälp!$AB$2:$AI$1082,3,FALSE),0)),0),"")</f>
        <v/>
      </c>
      <c r="R3" s="116" t="str">
        <f>IF(COUNTIF(H3:Q3,"&gt;0")&gt;0,IF($E3&lt;&gt;"",IF(AND($E3&lt;&gt;"EJFANGST",$G3&lt;&gt;"INGA"),IF(ISNUMBER(VLOOKUP((ROW($H2)-ROW($H$1)+1)*10+COLUMN(H$1)-COLUMN($H$1)+1,Beräkningshjälp!$AB$2:$AI$1082,7,FALSE)),VLOOKUP((ROW($H2)-ROW($H$1)+1)*10+COLUMN(H$1)-COLUMN($H$1)+1,Beräkningshjälp!$AB$2:$AI$1082,3,FALSE),""),""),""),"")</f>
        <v/>
      </c>
    </row>
    <row r="4" spans="1:18" x14ac:dyDescent="0.25">
      <c r="A4" s="2" t="str">
        <f t="shared" si="0"/>
        <v/>
      </c>
      <c r="B4" s="2" t="str">
        <f>IF(D4&lt;&gt;"",'DATA TILL SLU'!$J$3,"")</f>
        <v/>
      </c>
      <c r="C4" s="2" t="str">
        <f>IF(D4&lt;&gt;"",'DATA TILL SLU'!$K$3,"")</f>
        <v/>
      </c>
      <c r="D4" s="2" t="str">
        <f>IF(OR(ROW(D3)-ROW(D$1)+1&lt;=MAX(Beräkningshjälp!$F$37:$F$54),ROW(D3)-ROW(D$1)+1&lt;=ROUND((MAX(Beräkningshjälp!AB$3:AB$1082)+4)/10,0)-1),D$2,"")</f>
        <v/>
      </c>
      <c r="E4" s="136" t="str">
        <f>IF(D4&lt;&gt;"",IF(COUNTIF(Beräkningshjälp!F$38:F$49,"&gt;0")&gt;=ROW(E3)-ROW(E$1)+1,VLOOKUP((VLOOKUP(ROW(E3)-ROW(E$1)+1,Beräkningshjälp!$F$37:$H$54,IF(ISNUMBER(VLOOKUP(ROW(E3)-ROW(E$1)+1,Beräkningshjälp!$F$37:$H$54,2,FALSE)),2,3),FALSE)),Beräkningshjälp!$M$2:$O$60,3,FALSE),VLOOKUP((ROW(E3)-ROW(E$1)+1)*10+1,Beräkningshjälp!$AB$2:$AF$1082,5,FALSE)),"")</f>
        <v/>
      </c>
      <c r="F4" s="2" t="str">
        <f>IF(D4&lt;&gt;"",Beräkningshjälp!$AH$1,"")</f>
        <v/>
      </c>
      <c r="G4" s="136" t="str">
        <f>IF(D4&lt;&gt;"",IF(COUNTIF(Beräkningshjälp!F$38:F$49,"&gt;0")&gt;=ROW(E3)-ROW(E$1)+1,"INGA",IF(COUNTIF(Beräkningshjälp!$G$38:$H$49,VLOOKUP(E4,Beräkningshjälp!$AF$2:$AG$1082,2,FALSE))&gt;0,"ENSTAK",IF(VLOOKUP(VLOOKUP(E4,Beräkningshjälp!O$2:U$60,7,FALSE),Artuppgifter!$I$11:$P$22,7,FALSE)=TRUE,"MINMAX","ALLA"))),"")</f>
        <v/>
      </c>
      <c r="H4" s="2" t="str">
        <f>IF($E4&lt;&gt;"",IF(AND($E4&lt;&gt;"EJFANGST",$G4&lt;&gt;"INGA"),IF(ISNUMBER(VLOOKUP((ROW($H3)-ROW($H$1)+1)*10+COLUMN(H$1)-COLUMN($H$1)+1,Beräkningshjälp!$AB$2:$AI$1082,7,FALSE)),VLOOKUP((ROW($H3)-ROW($H$1)+1)*10+COLUMN(H$1)-COLUMN($H$1)+1,Beräkningshjälp!$AB$2:$AI$1082,7,FALSE),IF(E4&gt;0,-VLOOKUP((ROW($H3)-ROW($H$1)+1)*10+COLUMN(H$1)-COLUMN($H$1)+1,Beräkningshjälp!$AB$2:$AI$1082,3,FALSE),0)),0),"")</f>
        <v/>
      </c>
      <c r="I4" s="2" t="str">
        <f>IF($E4&lt;&gt;"",IF(AND($E4&lt;&gt;"EJFANGST",$G4&lt;&gt;"INGA"),IF(ISNUMBER(VLOOKUP((ROW($H3)-ROW($H$1)+1)*10+COLUMN(I$1)-COLUMN($H$1)+1,Beräkningshjälp!$AB$2:$AI$1082,7,FALSE)),VLOOKUP((ROW($H3)-ROW($H$1)+1)*10+COLUMN(I$1)-COLUMN($H$1)+1,Beräkningshjälp!$AB$2:$AI$1082,7,FALSE),IF(H4&gt;0,-VLOOKUP((ROW($H3)-ROW($H$1)+1)*10+COLUMN(I$1)-COLUMN($H$1)+1,Beräkningshjälp!$AB$2:$AI$1082,3,FALSE),0)),0),"")</f>
        <v/>
      </c>
      <c r="J4" s="2" t="str">
        <f>IF($E4&lt;&gt;"",IF(AND($E4&lt;&gt;"EJFANGST",$G4&lt;&gt;"INGA"),IF(ISNUMBER(VLOOKUP((ROW($H3)-ROW($H$1)+1)*10+COLUMN(J$1)-COLUMN($H$1)+1,Beräkningshjälp!$AB$2:$AI$1082,7,FALSE)),VLOOKUP((ROW($H3)-ROW($H$1)+1)*10+COLUMN(J$1)-COLUMN($H$1)+1,Beräkningshjälp!$AB$2:$AI$1082,7,FALSE),IF(I4&gt;0,-VLOOKUP((ROW($H3)-ROW($H$1)+1)*10+COLUMN(J$1)-COLUMN($H$1)+1,Beräkningshjälp!$AB$2:$AI$1082,3,FALSE),0)),0),"")</f>
        <v/>
      </c>
      <c r="K4" s="2" t="str">
        <f>IF($E4&lt;&gt;"",IF(AND($E4&lt;&gt;"EJFANGST",$G4&lt;&gt;"INGA"),IF(ISNUMBER(VLOOKUP((ROW($H3)-ROW($H$1)+1)*10+COLUMN(K$1)-COLUMN($H$1)+1,Beräkningshjälp!$AB$2:$AI$1082,7,FALSE)),VLOOKUP((ROW($H3)-ROW($H$1)+1)*10+COLUMN(K$1)-COLUMN($H$1)+1,Beräkningshjälp!$AB$2:$AI$1082,7,FALSE),IF(J4&gt;0,-VLOOKUP((ROW($H3)-ROW($H$1)+1)*10+COLUMN(K$1)-COLUMN($H$1)+1,Beräkningshjälp!$AB$2:$AI$1082,3,FALSE),0)),0),"")</f>
        <v/>
      </c>
      <c r="L4" s="2" t="str">
        <f>IF($E4&lt;&gt;"",IF(AND($E4&lt;&gt;"EJFANGST",$G4&lt;&gt;"INGA"),IF(ISNUMBER(VLOOKUP((ROW($H3)-ROW($H$1)+1)*10+COLUMN(L$1)-COLUMN($H$1)+1,Beräkningshjälp!$AB$2:$AI$1082,7,FALSE)),VLOOKUP((ROW($H3)-ROW($H$1)+1)*10+COLUMN(L$1)-COLUMN($H$1)+1,Beräkningshjälp!$AB$2:$AI$1082,7,FALSE),IF(K4&gt;0,-VLOOKUP((ROW($H3)-ROW($H$1)+1)*10+COLUMN(L$1)-COLUMN($H$1)+1,Beräkningshjälp!$AB$2:$AI$1082,3,FALSE),0)),0),"")</f>
        <v/>
      </c>
      <c r="M4" s="2" t="str">
        <f>IF($E4&lt;&gt;"",IF(AND($E4&lt;&gt;"EJFANGST",$G4&lt;&gt;"INGA"),IF(ISNUMBER(VLOOKUP((ROW($H3)-ROW($H$1)+1)*10+COLUMN(M$1)-COLUMN($H$1)+1,Beräkningshjälp!$AB$2:$AI$1082,7,FALSE)),VLOOKUP((ROW($H3)-ROW($H$1)+1)*10+COLUMN(M$1)-COLUMN($H$1)+1,Beräkningshjälp!$AB$2:$AI$1082,7,FALSE),IF(L4&gt;0,-VLOOKUP((ROW($H3)-ROW($H$1)+1)*10+COLUMN(M$1)-COLUMN($H$1)+1,Beräkningshjälp!$AB$2:$AI$1082,3,FALSE),0)),0),"")</f>
        <v/>
      </c>
      <c r="N4" s="2" t="str">
        <f>IF($E4&lt;&gt;"",IF(AND($E4&lt;&gt;"EJFANGST",$G4&lt;&gt;"INGA"),IF(ISNUMBER(VLOOKUP((ROW($H3)-ROW($H$1)+1)*10+COLUMN(N$1)-COLUMN($H$1)+1,Beräkningshjälp!$AB$2:$AI$1082,7,FALSE)),VLOOKUP((ROW($H3)-ROW($H$1)+1)*10+COLUMN(N$1)-COLUMN($H$1)+1,Beräkningshjälp!$AB$2:$AI$1082,7,FALSE),IF(M4&gt;0,-VLOOKUP((ROW($H3)-ROW($H$1)+1)*10+COLUMN(N$1)-COLUMN($H$1)+1,Beräkningshjälp!$AB$2:$AI$1082,3,FALSE),0)),0),"")</f>
        <v/>
      </c>
      <c r="O4" s="2" t="str">
        <f>IF($E4&lt;&gt;"",IF(AND($E4&lt;&gt;"EJFANGST",$G4&lt;&gt;"INGA"),IF(ISNUMBER(VLOOKUP((ROW($H3)-ROW($H$1)+1)*10+COLUMN(O$1)-COLUMN($H$1)+1,Beräkningshjälp!$AB$2:$AI$1082,7,FALSE)),VLOOKUP((ROW($H3)-ROW($H$1)+1)*10+COLUMN(O$1)-COLUMN($H$1)+1,Beräkningshjälp!$AB$2:$AI$1082,7,FALSE),IF(N4&gt;0,-VLOOKUP((ROW($H3)-ROW($H$1)+1)*10+COLUMN(O$1)-COLUMN($H$1)+1,Beräkningshjälp!$AB$2:$AI$1082,3,FALSE),0)),0),"")</f>
        <v/>
      </c>
      <c r="P4" s="2" t="str">
        <f>IF($E4&lt;&gt;"",IF(AND($E4&lt;&gt;"EJFANGST",$G4&lt;&gt;"INGA"),IF(ISNUMBER(VLOOKUP((ROW($H3)-ROW($H$1)+1)*10+COLUMN(P$1)-COLUMN($H$1)+1,Beräkningshjälp!$AB$2:$AI$1082,7,FALSE)),VLOOKUP((ROW($H3)-ROW($H$1)+1)*10+COLUMN(P$1)-COLUMN($H$1)+1,Beräkningshjälp!$AB$2:$AI$1082,7,FALSE),IF(O4&gt;0,-VLOOKUP((ROW($H3)-ROW($H$1)+1)*10+COLUMN(P$1)-COLUMN($H$1)+1,Beräkningshjälp!$AB$2:$AI$1082,3,FALSE),0)),0),"")</f>
        <v/>
      </c>
      <c r="Q4" s="2" t="str">
        <f>IF($E4&lt;&gt;"",IF(AND($E4&lt;&gt;"EJFANGST",$G4&lt;&gt;"INGA"),IF(ISNUMBER(VLOOKUP((ROW($H3)-ROW($H$1)+1)*10+COLUMN(Q$1)-COLUMN($H$1)+1,Beräkningshjälp!$AB$2:$AI$1082,7,FALSE)),VLOOKUP((ROW($H3)-ROW($H$1)+1)*10+COLUMN(Q$1)-COLUMN($H$1)+1,Beräkningshjälp!$AB$2:$AI$1082,7,FALSE),IF(P4&gt;0,-VLOOKUP((ROW($H3)-ROW($H$1)+1)*10+COLUMN(Q$1)-COLUMN($H$1)+1,Beräkningshjälp!$AB$2:$AI$1082,3,FALSE),0)),0),"")</f>
        <v/>
      </c>
      <c r="R4" s="116" t="str">
        <f>IF(COUNTIF(H4:Q4,"&gt;0")&gt;0,IF($E4&lt;&gt;"",IF(AND($E4&lt;&gt;"EJFANGST",$G4&lt;&gt;"INGA"),IF(ISNUMBER(VLOOKUP((ROW($H3)-ROW($H$1)+1)*10+COLUMN(H$1)-COLUMN($H$1)+1,Beräkningshjälp!$AB$2:$AI$1082,7,FALSE)),VLOOKUP((ROW($H3)-ROW($H$1)+1)*10+COLUMN(H$1)-COLUMN($H$1)+1,Beräkningshjälp!$AB$2:$AI$1082,3,FALSE),""),""),""),"")</f>
        <v/>
      </c>
    </row>
    <row r="5" spans="1:18" x14ac:dyDescent="0.25">
      <c r="A5" s="2" t="str">
        <f t="shared" si="0"/>
        <v/>
      </c>
      <c r="B5" s="2" t="str">
        <f>IF(D5&lt;&gt;"",'DATA TILL SLU'!$J$3,"")</f>
        <v/>
      </c>
      <c r="C5" s="2" t="str">
        <f>IF(D5&lt;&gt;"",'DATA TILL SLU'!$K$3,"")</f>
        <v/>
      </c>
      <c r="D5" s="2" t="str">
        <f>IF(OR(ROW(D4)-ROW(D$1)+1&lt;=MAX(Beräkningshjälp!$F$37:$F$54),ROW(D4)-ROW(D$1)+1&lt;=ROUND((MAX(Beräkningshjälp!AB$3:AB$1082)+4)/10,0)-1),D$2,"")</f>
        <v/>
      </c>
      <c r="E5" s="136" t="str">
        <f>IF(D5&lt;&gt;"",IF(COUNTIF(Beräkningshjälp!F$38:F$49,"&gt;0")&gt;=ROW(E4)-ROW(E$1)+1,VLOOKUP((VLOOKUP(ROW(E4)-ROW(E$1)+1,Beräkningshjälp!$F$37:$H$54,IF(ISNUMBER(VLOOKUP(ROW(E4)-ROW(E$1)+1,Beräkningshjälp!$F$37:$H$54,2,FALSE)),2,3),FALSE)),Beräkningshjälp!$M$2:$O$60,3,FALSE),VLOOKUP((ROW(E4)-ROW(E$1)+1)*10+1,Beräkningshjälp!$AB$2:$AF$1082,5,FALSE)),"")</f>
        <v/>
      </c>
      <c r="F5" s="2" t="str">
        <f>IF(D5&lt;&gt;"",Beräkningshjälp!$AH$1,"")</f>
        <v/>
      </c>
      <c r="G5" s="136" t="str">
        <f>IF(D5&lt;&gt;"",IF(COUNTIF(Beräkningshjälp!F$38:F$49,"&gt;0")&gt;=ROW(E4)-ROW(E$1)+1,"INGA",IF(COUNTIF(Beräkningshjälp!$G$38:$H$49,VLOOKUP(E5,Beräkningshjälp!$AF$2:$AG$1082,2,FALSE))&gt;0,"ENSTAK",IF(VLOOKUP(VLOOKUP(E5,Beräkningshjälp!O$2:U$60,7,FALSE),Artuppgifter!$I$11:$P$22,7,FALSE)=TRUE,"MINMAX","ALLA"))),"")</f>
        <v/>
      </c>
      <c r="H5" s="2" t="str">
        <f>IF($E5&lt;&gt;"",IF(AND($E5&lt;&gt;"EJFANGST",$G5&lt;&gt;"INGA"),IF(ISNUMBER(VLOOKUP((ROW($H4)-ROW($H$1)+1)*10+COLUMN(H$1)-COLUMN($H$1)+1,Beräkningshjälp!$AB$2:$AI$1082,7,FALSE)),VLOOKUP((ROW($H4)-ROW($H$1)+1)*10+COLUMN(H$1)-COLUMN($H$1)+1,Beräkningshjälp!$AB$2:$AI$1082,7,FALSE),IF(E5&gt;0,-VLOOKUP((ROW($H4)-ROW($H$1)+1)*10+COLUMN(H$1)-COLUMN($H$1)+1,Beräkningshjälp!$AB$2:$AI$1082,3,FALSE),0)),0),"")</f>
        <v/>
      </c>
      <c r="I5" s="2" t="str">
        <f>IF($E5&lt;&gt;"",IF(AND($E5&lt;&gt;"EJFANGST",$G5&lt;&gt;"INGA"),IF(ISNUMBER(VLOOKUP((ROW($H4)-ROW($H$1)+1)*10+COLUMN(I$1)-COLUMN($H$1)+1,Beräkningshjälp!$AB$2:$AI$1082,7,FALSE)),VLOOKUP((ROW($H4)-ROW($H$1)+1)*10+COLUMN(I$1)-COLUMN($H$1)+1,Beräkningshjälp!$AB$2:$AI$1082,7,FALSE),IF(H5&gt;0,-VLOOKUP((ROW($H4)-ROW($H$1)+1)*10+COLUMN(I$1)-COLUMN($H$1)+1,Beräkningshjälp!$AB$2:$AI$1082,3,FALSE),0)),0),"")</f>
        <v/>
      </c>
      <c r="J5" s="2" t="str">
        <f>IF($E5&lt;&gt;"",IF(AND($E5&lt;&gt;"EJFANGST",$G5&lt;&gt;"INGA"),IF(ISNUMBER(VLOOKUP((ROW($H4)-ROW($H$1)+1)*10+COLUMN(J$1)-COLUMN($H$1)+1,Beräkningshjälp!$AB$2:$AI$1082,7,FALSE)),VLOOKUP((ROW($H4)-ROW($H$1)+1)*10+COLUMN(J$1)-COLUMN($H$1)+1,Beräkningshjälp!$AB$2:$AI$1082,7,FALSE),IF(I5&gt;0,-VLOOKUP((ROW($H4)-ROW($H$1)+1)*10+COLUMN(J$1)-COLUMN($H$1)+1,Beräkningshjälp!$AB$2:$AI$1082,3,FALSE),0)),0),"")</f>
        <v/>
      </c>
      <c r="K5" s="2" t="str">
        <f>IF($E5&lt;&gt;"",IF(AND($E5&lt;&gt;"EJFANGST",$G5&lt;&gt;"INGA"),IF(ISNUMBER(VLOOKUP((ROW($H4)-ROW($H$1)+1)*10+COLUMN(K$1)-COLUMN($H$1)+1,Beräkningshjälp!$AB$2:$AI$1082,7,FALSE)),VLOOKUP((ROW($H4)-ROW($H$1)+1)*10+COLUMN(K$1)-COLUMN($H$1)+1,Beräkningshjälp!$AB$2:$AI$1082,7,FALSE),IF(J5&gt;0,-VLOOKUP((ROW($H4)-ROW($H$1)+1)*10+COLUMN(K$1)-COLUMN($H$1)+1,Beräkningshjälp!$AB$2:$AI$1082,3,FALSE),0)),0),"")</f>
        <v/>
      </c>
      <c r="L5" s="2" t="str">
        <f>IF($E5&lt;&gt;"",IF(AND($E5&lt;&gt;"EJFANGST",$G5&lt;&gt;"INGA"),IF(ISNUMBER(VLOOKUP((ROW($H4)-ROW($H$1)+1)*10+COLUMN(L$1)-COLUMN($H$1)+1,Beräkningshjälp!$AB$2:$AI$1082,7,FALSE)),VLOOKUP((ROW($H4)-ROW($H$1)+1)*10+COLUMN(L$1)-COLUMN($H$1)+1,Beräkningshjälp!$AB$2:$AI$1082,7,FALSE),IF(K5&gt;0,-VLOOKUP((ROW($H4)-ROW($H$1)+1)*10+COLUMN(L$1)-COLUMN($H$1)+1,Beräkningshjälp!$AB$2:$AI$1082,3,FALSE),0)),0),"")</f>
        <v/>
      </c>
      <c r="M5" s="2" t="str">
        <f>IF($E5&lt;&gt;"",IF(AND($E5&lt;&gt;"EJFANGST",$G5&lt;&gt;"INGA"),IF(ISNUMBER(VLOOKUP((ROW($H4)-ROW($H$1)+1)*10+COLUMN(M$1)-COLUMN($H$1)+1,Beräkningshjälp!$AB$2:$AI$1082,7,FALSE)),VLOOKUP((ROW($H4)-ROW($H$1)+1)*10+COLUMN(M$1)-COLUMN($H$1)+1,Beräkningshjälp!$AB$2:$AI$1082,7,FALSE),IF(L5&gt;0,-VLOOKUP((ROW($H4)-ROW($H$1)+1)*10+COLUMN(M$1)-COLUMN($H$1)+1,Beräkningshjälp!$AB$2:$AI$1082,3,FALSE),0)),0),"")</f>
        <v/>
      </c>
      <c r="N5" s="2" t="str">
        <f>IF($E5&lt;&gt;"",IF(AND($E5&lt;&gt;"EJFANGST",$G5&lt;&gt;"INGA"),IF(ISNUMBER(VLOOKUP((ROW($H4)-ROW($H$1)+1)*10+COLUMN(N$1)-COLUMN($H$1)+1,Beräkningshjälp!$AB$2:$AI$1082,7,FALSE)),VLOOKUP((ROW($H4)-ROW($H$1)+1)*10+COLUMN(N$1)-COLUMN($H$1)+1,Beräkningshjälp!$AB$2:$AI$1082,7,FALSE),IF(M5&gt;0,-VLOOKUP((ROW($H4)-ROW($H$1)+1)*10+COLUMN(N$1)-COLUMN($H$1)+1,Beräkningshjälp!$AB$2:$AI$1082,3,FALSE),0)),0),"")</f>
        <v/>
      </c>
      <c r="O5" s="2" t="str">
        <f>IF($E5&lt;&gt;"",IF(AND($E5&lt;&gt;"EJFANGST",$G5&lt;&gt;"INGA"),IF(ISNUMBER(VLOOKUP((ROW($H4)-ROW($H$1)+1)*10+COLUMN(O$1)-COLUMN($H$1)+1,Beräkningshjälp!$AB$2:$AI$1082,7,FALSE)),VLOOKUP((ROW($H4)-ROW($H$1)+1)*10+COLUMN(O$1)-COLUMN($H$1)+1,Beräkningshjälp!$AB$2:$AI$1082,7,FALSE),IF(N5&gt;0,-VLOOKUP((ROW($H4)-ROW($H$1)+1)*10+COLUMN(O$1)-COLUMN($H$1)+1,Beräkningshjälp!$AB$2:$AI$1082,3,FALSE),0)),0),"")</f>
        <v/>
      </c>
      <c r="P5" s="2" t="str">
        <f>IF($E5&lt;&gt;"",IF(AND($E5&lt;&gt;"EJFANGST",$G5&lt;&gt;"INGA"),IF(ISNUMBER(VLOOKUP((ROW($H4)-ROW($H$1)+1)*10+COLUMN(P$1)-COLUMN($H$1)+1,Beräkningshjälp!$AB$2:$AI$1082,7,FALSE)),VLOOKUP((ROW($H4)-ROW($H$1)+1)*10+COLUMN(P$1)-COLUMN($H$1)+1,Beräkningshjälp!$AB$2:$AI$1082,7,FALSE),IF(O5&gt;0,-VLOOKUP((ROW($H4)-ROW($H$1)+1)*10+COLUMN(P$1)-COLUMN($H$1)+1,Beräkningshjälp!$AB$2:$AI$1082,3,FALSE),0)),0),"")</f>
        <v/>
      </c>
      <c r="Q5" s="2" t="str">
        <f>IF($E5&lt;&gt;"",IF(AND($E5&lt;&gt;"EJFANGST",$G5&lt;&gt;"INGA"),IF(ISNUMBER(VLOOKUP((ROW($H4)-ROW($H$1)+1)*10+COLUMN(Q$1)-COLUMN($H$1)+1,Beräkningshjälp!$AB$2:$AI$1082,7,FALSE)),VLOOKUP((ROW($H4)-ROW($H$1)+1)*10+COLUMN(Q$1)-COLUMN($H$1)+1,Beräkningshjälp!$AB$2:$AI$1082,7,FALSE),IF(P5&gt;0,-VLOOKUP((ROW($H4)-ROW($H$1)+1)*10+COLUMN(Q$1)-COLUMN($H$1)+1,Beräkningshjälp!$AB$2:$AI$1082,3,FALSE),0)),0),"")</f>
        <v/>
      </c>
      <c r="R5" s="116" t="str">
        <f>IF(COUNTIF(H5:Q5,"&gt;0")&gt;0,IF($E5&lt;&gt;"",IF(AND($E5&lt;&gt;"EJFANGST",$G5&lt;&gt;"INGA"),IF(ISNUMBER(VLOOKUP((ROW($H4)-ROW($H$1)+1)*10+COLUMN(H$1)-COLUMN($H$1)+1,Beräkningshjälp!$AB$2:$AI$1082,7,FALSE)),VLOOKUP((ROW($H4)-ROW($H$1)+1)*10+COLUMN(H$1)-COLUMN($H$1)+1,Beräkningshjälp!$AB$2:$AI$1082,3,FALSE),""),""),""),"")</f>
        <v/>
      </c>
    </row>
    <row r="6" spans="1:18" x14ac:dyDescent="0.25">
      <c r="A6" s="2" t="str">
        <f t="shared" si="0"/>
        <v/>
      </c>
      <c r="B6" s="2" t="str">
        <f>IF(D6&lt;&gt;"",'DATA TILL SLU'!$J$3,"")</f>
        <v/>
      </c>
      <c r="C6" s="2" t="str">
        <f>IF(D6&lt;&gt;"",'DATA TILL SLU'!$K$3,"")</f>
        <v/>
      </c>
      <c r="D6" s="2" t="str">
        <f>IF(OR(ROW(D5)-ROW(D$1)+1&lt;=MAX(Beräkningshjälp!$F$37:$F$54),ROW(D5)-ROW(D$1)+1&lt;=ROUND((MAX(Beräkningshjälp!AB$3:AB$1082)+4)/10,0)-1),D$2,"")</f>
        <v/>
      </c>
      <c r="E6" s="136" t="str">
        <f>IF(D6&lt;&gt;"",IF(COUNTIF(Beräkningshjälp!F$38:F$49,"&gt;0")&gt;=ROW(E5)-ROW(E$1)+1,VLOOKUP((VLOOKUP(ROW(E5)-ROW(E$1)+1,Beräkningshjälp!$F$37:$H$54,IF(ISNUMBER(VLOOKUP(ROW(E5)-ROW(E$1)+1,Beräkningshjälp!$F$37:$H$54,2,FALSE)),2,3),FALSE)),Beräkningshjälp!$M$2:$O$60,3,FALSE),VLOOKUP((ROW(E5)-ROW(E$1)+1)*10+1,Beräkningshjälp!$AB$2:$AF$1082,5,FALSE)),"")</f>
        <v/>
      </c>
      <c r="F6" s="2" t="str">
        <f>IF(D6&lt;&gt;"",Beräkningshjälp!$AH$1,"")</f>
        <v/>
      </c>
      <c r="G6" s="136" t="str">
        <f>IF(D6&lt;&gt;"",IF(COUNTIF(Beräkningshjälp!F$38:F$49,"&gt;0")&gt;=ROW(E5)-ROW(E$1)+1,"INGA",IF(COUNTIF(Beräkningshjälp!$G$38:$H$49,VLOOKUP(E6,Beräkningshjälp!$AF$2:$AG$1082,2,FALSE))&gt;0,"ENSTAK",IF(VLOOKUP(VLOOKUP(E6,Beräkningshjälp!O$2:U$60,7,FALSE),Artuppgifter!$I$11:$P$22,7,FALSE)=TRUE,"MINMAX","ALLA"))),"")</f>
        <v/>
      </c>
      <c r="H6" s="2" t="str">
        <f>IF($E6&lt;&gt;"",IF(AND($E6&lt;&gt;"EJFANGST",$G6&lt;&gt;"INGA"),IF(ISNUMBER(VLOOKUP((ROW($H5)-ROW($H$1)+1)*10+COLUMN(H$1)-COLUMN($H$1)+1,Beräkningshjälp!$AB$2:$AI$1082,7,FALSE)),VLOOKUP((ROW($H5)-ROW($H$1)+1)*10+COLUMN(H$1)-COLUMN($H$1)+1,Beräkningshjälp!$AB$2:$AI$1082,7,FALSE),IF(E6&gt;0,-VLOOKUP((ROW($H5)-ROW($H$1)+1)*10+COLUMN(H$1)-COLUMN($H$1)+1,Beräkningshjälp!$AB$2:$AI$1082,3,FALSE),0)),0),"")</f>
        <v/>
      </c>
      <c r="I6" s="2" t="str">
        <f>IF($E6&lt;&gt;"",IF(AND($E6&lt;&gt;"EJFANGST",$G6&lt;&gt;"INGA"),IF(ISNUMBER(VLOOKUP((ROW($H5)-ROW($H$1)+1)*10+COLUMN(I$1)-COLUMN($H$1)+1,Beräkningshjälp!$AB$2:$AI$1082,7,FALSE)),VLOOKUP((ROW($H5)-ROW($H$1)+1)*10+COLUMN(I$1)-COLUMN($H$1)+1,Beräkningshjälp!$AB$2:$AI$1082,7,FALSE),IF(H6&gt;0,-VLOOKUP((ROW($H5)-ROW($H$1)+1)*10+COLUMN(I$1)-COLUMN($H$1)+1,Beräkningshjälp!$AB$2:$AI$1082,3,FALSE),0)),0),"")</f>
        <v/>
      </c>
      <c r="J6" s="2" t="str">
        <f>IF($E6&lt;&gt;"",IF(AND($E6&lt;&gt;"EJFANGST",$G6&lt;&gt;"INGA"),IF(ISNUMBER(VLOOKUP((ROW($H5)-ROW($H$1)+1)*10+COLUMN(J$1)-COLUMN($H$1)+1,Beräkningshjälp!$AB$2:$AI$1082,7,FALSE)),VLOOKUP((ROW($H5)-ROW($H$1)+1)*10+COLUMN(J$1)-COLUMN($H$1)+1,Beräkningshjälp!$AB$2:$AI$1082,7,FALSE),IF(I6&gt;0,-VLOOKUP((ROW($H5)-ROW($H$1)+1)*10+COLUMN(J$1)-COLUMN($H$1)+1,Beräkningshjälp!$AB$2:$AI$1082,3,FALSE),0)),0),"")</f>
        <v/>
      </c>
      <c r="K6" s="2" t="str">
        <f>IF($E6&lt;&gt;"",IF(AND($E6&lt;&gt;"EJFANGST",$G6&lt;&gt;"INGA"),IF(ISNUMBER(VLOOKUP((ROW($H5)-ROW($H$1)+1)*10+COLUMN(K$1)-COLUMN($H$1)+1,Beräkningshjälp!$AB$2:$AI$1082,7,FALSE)),VLOOKUP((ROW($H5)-ROW($H$1)+1)*10+COLUMN(K$1)-COLUMN($H$1)+1,Beräkningshjälp!$AB$2:$AI$1082,7,FALSE),IF(J6&gt;0,-VLOOKUP((ROW($H5)-ROW($H$1)+1)*10+COLUMN(K$1)-COLUMN($H$1)+1,Beräkningshjälp!$AB$2:$AI$1082,3,FALSE),0)),0),"")</f>
        <v/>
      </c>
      <c r="L6" s="2" t="str">
        <f>IF($E6&lt;&gt;"",IF(AND($E6&lt;&gt;"EJFANGST",$G6&lt;&gt;"INGA"),IF(ISNUMBER(VLOOKUP((ROW($H5)-ROW($H$1)+1)*10+COLUMN(L$1)-COLUMN($H$1)+1,Beräkningshjälp!$AB$2:$AI$1082,7,FALSE)),VLOOKUP((ROW($H5)-ROW($H$1)+1)*10+COLUMN(L$1)-COLUMN($H$1)+1,Beräkningshjälp!$AB$2:$AI$1082,7,FALSE),IF(K6&gt;0,-VLOOKUP((ROW($H5)-ROW($H$1)+1)*10+COLUMN(L$1)-COLUMN($H$1)+1,Beräkningshjälp!$AB$2:$AI$1082,3,FALSE),0)),0),"")</f>
        <v/>
      </c>
      <c r="M6" s="2" t="str">
        <f>IF($E6&lt;&gt;"",IF(AND($E6&lt;&gt;"EJFANGST",$G6&lt;&gt;"INGA"),IF(ISNUMBER(VLOOKUP((ROW($H5)-ROW($H$1)+1)*10+COLUMN(M$1)-COLUMN($H$1)+1,Beräkningshjälp!$AB$2:$AI$1082,7,FALSE)),VLOOKUP((ROW($H5)-ROW($H$1)+1)*10+COLUMN(M$1)-COLUMN($H$1)+1,Beräkningshjälp!$AB$2:$AI$1082,7,FALSE),IF(L6&gt;0,-VLOOKUP((ROW($H5)-ROW($H$1)+1)*10+COLUMN(M$1)-COLUMN($H$1)+1,Beräkningshjälp!$AB$2:$AI$1082,3,FALSE),0)),0),"")</f>
        <v/>
      </c>
      <c r="N6" s="2" t="str">
        <f>IF($E6&lt;&gt;"",IF(AND($E6&lt;&gt;"EJFANGST",$G6&lt;&gt;"INGA"),IF(ISNUMBER(VLOOKUP((ROW($H5)-ROW($H$1)+1)*10+COLUMN(N$1)-COLUMN($H$1)+1,Beräkningshjälp!$AB$2:$AI$1082,7,FALSE)),VLOOKUP((ROW($H5)-ROW($H$1)+1)*10+COLUMN(N$1)-COLUMN($H$1)+1,Beräkningshjälp!$AB$2:$AI$1082,7,FALSE),IF(M6&gt;0,-VLOOKUP((ROW($H5)-ROW($H$1)+1)*10+COLUMN(N$1)-COLUMN($H$1)+1,Beräkningshjälp!$AB$2:$AI$1082,3,FALSE),0)),0),"")</f>
        <v/>
      </c>
      <c r="O6" s="2" t="str">
        <f>IF($E6&lt;&gt;"",IF(AND($E6&lt;&gt;"EJFANGST",$G6&lt;&gt;"INGA"),IF(ISNUMBER(VLOOKUP((ROW($H5)-ROW($H$1)+1)*10+COLUMN(O$1)-COLUMN($H$1)+1,Beräkningshjälp!$AB$2:$AI$1082,7,FALSE)),VLOOKUP((ROW($H5)-ROW($H$1)+1)*10+COLUMN(O$1)-COLUMN($H$1)+1,Beräkningshjälp!$AB$2:$AI$1082,7,FALSE),IF(N6&gt;0,-VLOOKUP((ROW($H5)-ROW($H$1)+1)*10+COLUMN(O$1)-COLUMN($H$1)+1,Beräkningshjälp!$AB$2:$AI$1082,3,FALSE),0)),0),"")</f>
        <v/>
      </c>
      <c r="P6" s="2" t="str">
        <f>IF($E6&lt;&gt;"",IF(AND($E6&lt;&gt;"EJFANGST",$G6&lt;&gt;"INGA"),IF(ISNUMBER(VLOOKUP((ROW($H5)-ROW($H$1)+1)*10+COLUMN(P$1)-COLUMN($H$1)+1,Beräkningshjälp!$AB$2:$AI$1082,7,FALSE)),VLOOKUP((ROW($H5)-ROW($H$1)+1)*10+COLUMN(P$1)-COLUMN($H$1)+1,Beräkningshjälp!$AB$2:$AI$1082,7,FALSE),IF(O6&gt;0,-VLOOKUP((ROW($H5)-ROW($H$1)+1)*10+COLUMN(P$1)-COLUMN($H$1)+1,Beräkningshjälp!$AB$2:$AI$1082,3,FALSE),0)),0),"")</f>
        <v/>
      </c>
      <c r="Q6" s="2" t="str">
        <f>IF($E6&lt;&gt;"",IF(AND($E6&lt;&gt;"EJFANGST",$G6&lt;&gt;"INGA"),IF(ISNUMBER(VLOOKUP((ROW($H5)-ROW($H$1)+1)*10+COLUMN(Q$1)-COLUMN($H$1)+1,Beräkningshjälp!$AB$2:$AI$1082,7,FALSE)),VLOOKUP((ROW($H5)-ROW($H$1)+1)*10+COLUMN(Q$1)-COLUMN($H$1)+1,Beräkningshjälp!$AB$2:$AI$1082,7,FALSE),IF(P6&gt;0,-VLOOKUP((ROW($H5)-ROW($H$1)+1)*10+COLUMN(Q$1)-COLUMN($H$1)+1,Beräkningshjälp!$AB$2:$AI$1082,3,FALSE),0)),0),"")</f>
        <v/>
      </c>
      <c r="R6" s="116" t="str">
        <f>IF(COUNTIF(H6:Q6,"&gt;0")&gt;0,IF($E6&lt;&gt;"",IF(AND($E6&lt;&gt;"EJFANGST",$G6&lt;&gt;"INGA"),IF(ISNUMBER(VLOOKUP((ROW($H5)-ROW($H$1)+1)*10+COLUMN(H$1)-COLUMN($H$1)+1,Beräkningshjälp!$AB$2:$AI$1082,7,FALSE)),VLOOKUP((ROW($H5)-ROW($H$1)+1)*10+COLUMN(H$1)-COLUMN($H$1)+1,Beräkningshjälp!$AB$2:$AI$1082,3,FALSE),""),""),""),"")</f>
        <v/>
      </c>
    </row>
    <row r="7" spans="1:18" x14ac:dyDescent="0.25">
      <c r="A7" s="2" t="str">
        <f t="shared" si="0"/>
        <v/>
      </c>
      <c r="B7" s="2" t="str">
        <f>IF(D7&lt;&gt;"",'DATA TILL SLU'!$J$3,"")</f>
        <v/>
      </c>
      <c r="C7" s="2" t="str">
        <f>IF(D7&lt;&gt;"",'DATA TILL SLU'!$K$3,"")</f>
        <v/>
      </c>
      <c r="D7" s="2" t="str">
        <f>IF(OR(ROW(D6)-ROW(D$1)+1&lt;=MAX(Beräkningshjälp!$F$37:$F$54),ROW(D6)-ROW(D$1)+1&lt;=ROUND((MAX(Beräkningshjälp!AB$3:AB$1082)+4)/10,0)-1),D$2,"")</f>
        <v/>
      </c>
      <c r="E7" s="136" t="str">
        <f>IF(D7&lt;&gt;"",IF(COUNTIF(Beräkningshjälp!F$38:F$49,"&gt;0")&gt;=ROW(E6)-ROW(E$1)+1,VLOOKUP((VLOOKUP(ROW(E6)-ROW(E$1)+1,Beräkningshjälp!$F$37:$H$54,IF(ISNUMBER(VLOOKUP(ROW(E6)-ROW(E$1)+1,Beräkningshjälp!$F$37:$H$54,2,FALSE)),2,3),FALSE)),Beräkningshjälp!$M$2:$O$60,3,FALSE),VLOOKUP((ROW(E6)-ROW(E$1)+1)*10+1,Beräkningshjälp!$AB$2:$AF$1082,5,FALSE)),"")</f>
        <v/>
      </c>
      <c r="F7" s="2" t="str">
        <f>IF(D7&lt;&gt;"",Beräkningshjälp!$AH$1,"")</f>
        <v/>
      </c>
      <c r="G7" s="136" t="str">
        <f>IF(D7&lt;&gt;"",IF(COUNTIF(Beräkningshjälp!F$38:F$49,"&gt;0")&gt;=ROW(E6)-ROW(E$1)+1,"INGA",IF(COUNTIF(Beräkningshjälp!$G$38:$H$49,VLOOKUP(E7,Beräkningshjälp!$AF$2:$AG$1082,2,FALSE))&gt;0,"ENSTAK",IF(VLOOKUP(VLOOKUP(E7,Beräkningshjälp!O$2:U$60,7,FALSE),Artuppgifter!$I$11:$P$22,7,FALSE)=TRUE,"MINMAX","ALLA"))),"")</f>
        <v/>
      </c>
      <c r="H7" s="2" t="str">
        <f>IF($E7&lt;&gt;"",IF(AND($E7&lt;&gt;"EJFANGST",$G7&lt;&gt;"INGA"),IF(ISNUMBER(VLOOKUP((ROW($H6)-ROW($H$1)+1)*10+COLUMN(H$1)-COLUMN($H$1)+1,Beräkningshjälp!$AB$2:$AI$1082,7,FALSE)),VLOOKUP((ROW($H6)-ROW($H$1)+1)*10+COLUMN(H$1)-COLUMN($H$1)+1,Beräkningshjälp!$AB$2:$AI$1082,7,FALSE),IF(E7&gt;0,-VLOOKUP((ROW($H6)-ROW($H$1)+1)*10+COLUMN(H$1)-COLUMN($H$1)+1,Beräkningshjälp!$AB$2:$AI$1082,3,FALSE),0)),0),"")</f>
        <v/>
      </c>
      <c r="I7" s="2" t="str">
        <f>IF($E7&lt;&gt;"",IF(AND($E7&lt;&gt;"EJFANGST",$G7&lt;&gt;"INGA"),IF(ISNUMBER(VLOOKUP((ROW($H6)-ROW($H$1)+1)*10+COLUMN(I$1)-COLUMN($H$1)+1,Beräkningshjälp!$AB$2:$AI$1082,7,FALSE)),VLOOKUP((ROW($H6)-ROW($H$1)+1)*10+COLUMN(I$1)-COLUMN($H$1)+1,Beräkningshjälp!$AB$2:$AI$1082,7,FALSE),IF(H7&gt;0,-VLOOKUP((ROW($H6)-ROW($H$1)+1)*10+COLUMN(I$1)-COLUMN($H$1)+1,Beräkningshjälp!$AB$2:$AI$1082,3,FALSE),0)),0),"")</f>
        <v/>
      </c>
      <c r="J7" s="2" t="str">
        <f>IF($E7&lt;&gt;"",IF(AND($E7&lt;&gt;"EJFANGST",$G7&lt;&gt;"INGA"),IF(ISNUMBER(VLOOKUP((ROW($H6)-ROW($H$1)+1)*10+COLUMN(J$1)-COLUMN($H$1)+1,Beräkningshjälp!$AB$2:$AI$1082,7,FALSE)),VLOOKUP((ROW($H6)-ROW($H$1)+1)*10+COLUMN(J$1)-COLUMN($H$1)+1,Beräkningshjälp!$AB$2:$AI$1082,7,FALSE),IF(I7&gt;0,-VLOOKUP((ROW($H6)-ROW($H$1)+1)*10+COLUMN(J$1)-COLUMN($H$1)+1,Beräkningshjälp!$AB$2:$AI$1082,3,FALSE),0)),0),"")</f>
        <v/>
      </c>
      <c r="K7" s="2" t="str">
        <f>IF($E7&lt;&gt;"",IF(AND($E7&lt;&gt;"EJFANGST",$G7&lt;&gt;"INGA"),IF(ISNUMBER(VLOOKUP((ROW($H6)-ROW($H$1)+1)*10+COLUMN(K$1)-COLUMN($H$1)+1,Beräkningshjälp!$AB$2:$AI$1082,7,FALSE)),VLOOKUP((ROW($H6)-ROW($H$1)+1)*10+COLUMN(K$1)-COLUMN($H$1)+1,Beräkningshjälp!$AB$2:$AI$1082,7,FALSE),IF(J7&gt;0,-VLOOKUP((ROW($H6)-ROW($H$1)+1)*10+COLUMN(K$1)-COLUMN($H$1)+1,Beräkningshjälp!$AB$2:$AI$1082,3,FALSE),0)),0),"")</f>
        <v/>
      </c>
      <c r="L7" s="2" t="str">
        <f>IF($E7&lt;&gt;"",IF(AND($E7&lt;&gt;"EJFANGST",$G7&lt;&gt;"INGA"),IF(ISNUMBER(VLOOKUP((ROW($H6)-ROW($H$1)+1)*10+COLUMN(L$1)-COLUMN($H$1)+1,Beräkningshjälp!$AB$2:$AI$1082,7,FALSE)),VLOOKUP((ROW($H6)-ROW($H$1)+1)*10+COLUMN(L$1)-COLUMN($H$1)+1,Beräkningshjälp!$AB$2:$AI$1082,7,FALSE),IF(K7&gt;0,-VLOOKUP((ROW($H6)-ROW($H$1)+1)*10+COLUMN(L$1)-COLUMN($H$1)+1,Beräkningshjälp!$AB$2:$AI$1082,3,FALSE),0)),0),"")</f>
        <v/>
      </c>
      <c r="M7" s="2" t="str">
        <f>IF($E7&lt;&gt;"",IF(AND($E7&lt;&gt;"EJFANGST",$G7&lt;&gt;"INGA"),IF(ISNUMBER(VLOOKUP((ROW($H6)-ROW($H$1)+1)*10+COLUMN(M$1)-COLUMN($H$1)+1,Beräkningshjälp!$AB$2:$AI$1082,7,FALSE)),VLOOKUP((ROW($H6)-ROW($H$1)+1)*10+COLUMN(M$1)-COLUMN($H$1)+1,Beräkningshjälp!$AB$2:$AI$1082,7,FALSE),IF(L7&gt;0,-VLOOKUP((ROW($H6)-ROW($H$1)+1)*10+COLUMN(M$1)-COLUMN($H$1)+1,Beräkningshjälp!$AB$2:$AI$1082,3,FALSE),0)),0),"")</f>
        <v/>
      </c>
      <c r="N7" s="2" t="str">
        <f>IF($E7&lt;&gt;"",IF(AND($E7&lt;&gt;"EJFANGST",$G7&lt;&gt;"INGA"),IF(ISNUMBER(VLOOKUP((ROW($H6)-ROW($H$1)+1)*10+COLUMN(N$1)-COLUMN($H$1)+1,Beräkningshjälp!$AB$2:$AI$1082,7,FALSE)),VLOOKUP((ROW($H6)-ROW($H$1)+1)*10+COLUMN(N$1)-COLUMN($H$1)+1,Beräkningshjälp!$AB$2:$AI$1082,7,FALSE),IF(M7&gt;0,-VLOOKUP((ROW($H6)-ROW($H$1)+1)*10+COLUMN(N$1)-COLUMN($H$1)+1,Beräkningshjälp!$AB$2:$AI$1082,3,FALSE),0)),0),"")</f>
        <v/>
      </c>
      <c r="O7" s="2" t="str">
        <f>IF($E7&lt;&gt;"",IF(AND($E7&lt;&gt;"EJFANGST",$G7&lt;&gt;"INGA"),IF(ISNUMBER(VLOOKUP((ROW($H6)-ROW($H$1)+1)*10+COLUMN(O$1)-COLUMN($H$1)+1,Beräkningshjälp!$AB$2:$AI$1082,7,FALSE)),VLOOKUP((ROW($H6)-ROW($H$1)+1)*10+COLUMN(O$1)-COLUMN($H$1)+1,Beräkningshjälp!$AB$2:$AI$1082,7,FALSE),IF(N7&gt;0,-VLOOKUP((ROW($H6)-ROW($H$1)+1)*10+COLUMN(O$1)-COLUMN($H$1)+1,Beräkningshjälp!$AB$2:$AI$1082,3,FALSE),0)),0),"")</f>
        <v/>
      </c>
      <c r="P7" s="2" t="str">
        <f>IF($E7&lt;&gt;"",IF(AND($E7&lt;&gt;"EJFANGST",$G7&lt;&gt;"INGA"),IF(ISNUMBER(VLOOKUP((ROW($H6)-ROW($H$1)+1)*10+COLUMN(P$1)-COLUMN($H$1)+1,Beräkningshjälp!$AB$2:$AI$1082,7,FALSE)),VLOOKUP((ROW($H6)-ROW($H$1)+1)*10+COLUMN(P$1)-COLUMN($H$1)+1,Beräkningshjälp!$AB$2:$AI$1082,7,FALSE),IF(O7&gt;0,-VLOOKUP((ROW($H6)-ROW($H$1)+1)*10+COLUMN(P$1)-COLUMN($H$1)+1,Beräkningshjälp!$AB$2:$AI$1082,3,FALSE),0)),0),"")</f>
        <v/>
      </c>
      <c r="Q7" s="2" t="str">
        <f>IF($E7&lt;&gt;"",IF(AND($E7&lt;&gt;"EJFANGST",$G7&lt;&gt;"INGA"),IF(ISNUMBER(VLOOKUP((ROW($H6)-ROW($H$1)+1)*10+COLUMN(Q$1)-COLUMN($H$1)+1,Beräkningshjälp!$AB$2:$AI$1082,7,FALSE)),VLOOKUP((ROW($H6)-ROW($H$1)+1)*10+COLUMN(Q$1)-COLUMN($H$1)+1,Beräkningshjälp!$AB$2:$AI$1082,7,FALSE),IF(P7&gt;0,-VLOOKUP((ROW($H6)-ROW($H$1)+1)*10+COLUMN(Q$1)-COLUMN($H$1)+1,Beräkningshjälp!$AB$2:$AI$1082,3,FALSE),0)),0),"")</f>
        <v/>
      </c>
      <c r="R7" s="116" t="str">
        <f>IF(COUNTIF(H7:Q7,"&gt;0")&gt;0,IF($E7&lt;&gt;"",IF(AND($E7&lt;&gt;"EJFANGST",$G7&lt;&gt;"INGA"),IF(ISNUMBER(VLOOKUP((ROW($H6)-ROW($H$1)+1)*10+COLUMN(H$1)-COLUMN($H$1)+1,Beräkningshjälp!$AB$2:$AI$1082,7,FALSE)),VLOOKUP((ROW($H6)-ROW($H$1)+1)*10+COLUMN(H$1)-COLUMN($H$1)+1,Beräkningshjälp!$AB$2:$AI$1082,3,FALSE),""),""),""),"")</f>
        <v/>
      </c>
    </row>
    <row r="8" spans="1:18" x14ac:dyDescent="0.25">
      <c r="A8" s="2" t="str">
        <f t="shared" si="0"/>
        <v/>
      </c>
      <c r="B8" s="2" t="str">
        <f>IF(D8&lt;&gt;"",'DATA TILL SLU'!$J$3,"")</f>
        <v/>
      </c>
      <c r="C8" s="2" t="str">
        <f>IF(D8&lt;&gt;"",'DATA TILL SLU'!$K$3,"")</f>
        <v/>
      </c>
      <c r="D8" s="2" t="str">
        <f>IF(OR(ROW(D7)-ROW(D$1)+1&lt;=MAX(Beräkningshjälp!$F$37:$F$54),ROW(D7)-ROW(D$1)+1&lt;=ROUND((MAX(Beräkningshjälp!AB$3:AB$1082)+4)/10,0)-1),D$2,"")</f>
        <v/>
      </c>
      <c r="E8" s="136" t="str">
        <f>IF(D8&lt;&gt;"",IF(COUNTIF(Beräkningshjälp!F$38:F$49,"&gt;0")&gt;=ROW(E7)-ROW(E$1)+1,VLOOKUP((VLOOKUP(ROW(E7)-ROW(E$1)+1,Beräkningshjälp!$F$37:$H$54,IF(ISNUMBER(VLOOKUP(ROW(E7)-ROW(E$1)+1,Beräkningshjälp!$F$37:$H$54,2,FALSE)),2,3),FALSE)),Beräkningshjälp!$M$2:$O$60,3,FALSE),VLOOKUP((ROW(E7)-ROW(E$1)+1)*10+1,Beräkningshjälp!$AB$2:$AF$1082,5,FALSE)),"")</f>
        <v/>
      </c>
      <c r="F8" s="2" t="str">
        <f>IF(D8&lt;&gt;"",Beräkningshjälp!$AH$1,"")</f>
        <v/>
      </c>
      <c r="G8" s="136" t="str">
        <f>IF(D8&lt;&gt;"",IF(COUNTIF(Beräkningshjälp!F$38:F$49,"&gt;0")&gt;=ROW(E7)-ROW(E$1)+1,"INGA",IF(COUNTIF(Beräkningshjälp!$G$38:$H$49,VLOOKUP(E8,Beräkningshjälp!$AF$2:$AG$1082,2,FALSE))&gt;0,"ENSTAK",IF(VLOOKUP(VLOOKUP(E8,Beräkningshjälp!O$2:U$60,7,FALSE),Artuppgifter!$I$11:$P$22,7,FALSE)=TRUE,"MINMAX","ALLA"))),"")</f>
        <v/>
      </c>
      <c r="H8" s="2" t="str">
        <f>IF($E8&lt;&gt;"",IF(AND($E8&lt;&gt;"EJFANGST",$G8&lt;&gt;"INGA"),IF(ISNUMBER(VLOOKUP((ROW($H7)-ROW($H$1)+1)*10+COLUMN(H$1)-COLUMN($H$1)+1,Beräkningshjälp!$AB$2:$AI$1082,7,FALSE)),VLOOKUP((ROW($H7)-ROW($H$1)+1)*10+COLUMN(H$1)-COLUMN($H$1)+1,Beräkningshjälp!$AB$2:$AI$1082,7,FALSE),IF(E8&gt;0,-VLOOKUP((ROW($H7)-ROW($H$1)+1)*10+COLUMN(H$1)-COLUMN($H$1)+1,Beräkningshjälp!$AB$2:$AI$1082,3,FALSE),0)),0),"")</f>
        <v/>
      </c>
      <c r="I8" s="2" t="str">
        <f>IF($E8&lt;&gt;"",IF(AND($E8&lt;&gt;"EJFANGST",$G8&lt;&gt;"INGA"),IF(ISNUMBER(VLOOKUP((ROW($H7)-ROW($H$1)+1)*10+COLUMN(I$1)-COLUMN($H$1)+1,Beräkningshjälp!$AB$2:$AI$1082,7,FALSE)),VLOOKUP((ROW($H7)-ROW($H$1)+1)*10+COLUMN(I$1)-COLUMN($H$1)+1,Beräkningshjälp!$AB$2:$AI$1082,7,FALSE),IF(H8&gt;0,-VLOOKUP((ROW($H7)-ROW($H$1)+1)*10+COLUMN(I$1)-COLUMN($H$1)+1,Beräkningshjälp!$AB$2:$AI$1082,3,FALSE),0)),0),"")</f>
        <v/>
      </c>
      <c r="J8" s="2" t="str">
        <f>IF($E8&lt;&gt;"",IF(AND($E8&lt;&gt;"EJFANGST",$G8&lt;&gt;"INGA"),IF(ISNUMBER(VLOOKUP((ROW($H7)-ROW($H$1)+1)*10+COLUMN(J$1)-COLUMN($H$1)+1,Beräkningshjälp!$AB$2:$AI$1082,7,FALSE)),VLOOKUP((ROW($H7)-ROW($H$1)+1)*10+COLUMN(J$1)-COLUMN($H$1)+1,Beräkningshjälp!$AB$2:$AI$1082,7,FALSE),IF(I8&gt;0,-VLOOKUP((ROW($H7)-ROW($H$1)+1)*10+COLUMN(J$1)-COLUMN($H$1)+1,Beräkningshjälp!$AB$2:$AI$1082,3,FALSE),0)),0),"")</f>
        <v/>
      </c>
      <c r="K8" s="2" t="str">
        <f>IF($E8&lt;&gt;"",IF(AND($E8&lt;&gt;"EJFANGST",$G8&lt;&gt;"INGA"),IF(ISNUMBER(VLOOKUP((ROW($H7)-ROW($H$1)+1)*10+COLUMN(K$1)-COLUMN($H$1)+1,Beräkningshjälp!$AB$2:$AI$1082,7,FALSE)),VLOOKUP((ROW($H7)-ROW($H$1)+1)*10+COLUMN(K$1)-COLUMN($H$1)+1,Beräkningshjälp!$AB$2:$AI$1082,7,FALSE),IF(J8&gt;0,-VLOOKUP((ROW($H7)-ROW($H$1)+1)*10+COLUMN(K$1)-COLUMN($H$1)+1,Beräkningshjälp!$AB$2:$AI$1082,3,FALSE),0)),0),"")</f>
        <v/>
      </c>
      <c r="L8" s="2" t="str">
        <f>IF($E8&lt;&gt;"",IF(AND($E8&lt;&gt;"EJFANGST",$G8&lt;&gt;"INGA"),IF(ISNUMBER(VLOOKUP((ROW($H7)-ROW($H$1)+1)*10+COLUMN(L$1)-COLUMN($H$1)+1,Beräkningshjälp!$AB$2:$AI$1082,7,FALSE)),VLOOKUP((ROW($H7)-ROW($H$1)+1)*10+COLUMN(L$1)-COLUMN($H$1)+1,Beräkningshjälp!$AB$2:$AI$1082,7,FALSE),IF(K8&gt;0,-VLOOKUP((ROW($H7)-ROW($H$1)+1)*10+COLUMN(L$1)-COLUMN($H$1)+1,Beräkningshjälp!$AB$2:$AI$1082,3,FALSE),0)),0),"")</f>
        <v/>
      </c>
      <c r="M8" s="2" t="str">
        <f>IF($E8&lt;&gt;"",IF(AND($E8&lt;&gt;"EJFANGST",$G8&lt;&gt;"INGA"),IF(ISNUMBER(VLOOKUP((ROW($H7)-ROW($H$1)+1)*10+COLUMN(M$1)-COLUMN($H$1)+1,Beräkningshjälp!$AB$2:$AI$1082,7,FALSE)),VLOOKUP((ROW($H7)-ROW($H$1)+1)*10+COLUMN(M$1)-COLUMN($H$1)+1,Beräkningshjälp!$AB$2:$AI$1082,7,FALSE),IF(L8&gt;0,-VLOOKUP((ROW($H7)-ROW($H$1)+1)*10+COLUMN(M$1)-COLUMN($H$1)+1,Beräkningshjälp!$AB$2:$AI$1082,3,FALSE),0)),0),"")</f>
        <v/>
      </c>
      <c r="N8" s="2" t="str">
        <f>IF($E8&lt;&gt;"",IF(AND($E8&lt;&gt;"EJFANGST",$G8&lt;&gt;"INGA"),IF(ISNUMBER(VLOOKUP((ROW($H7)-ROW($H$1)+1)*10+COLUMN(N$1)-COLUMN($H$1)+1,Beräkningshjälp!$AB$2:$AI$1082,7,FALSE)),VLOOKUP((ROW($H7)-ROW($H$1)+1)*10+COLUMN(N$1)-COLUMN($H$1)+1,Beräkningshjälp!$AB$2:$AI$1082,7,FALSE),IF(M8&gt;0,-VLOOKUP((ROW($H7)-ROW($H$1)+1)*10+COLUMN(N$1)-COLUMN($H$1)+1,Beräkningshjälp!$AB$2:$AI$1082,3,FALSE),0)),0),"")</f>
        <v/>
      </c>
      <c r="O8" s="2" t="str">
        <f>IF($E8&lt;&gt;"",IF(AND($E8&lt;&gt;"EJFANGST",$G8&lt;&gt;"INGA"),IF(ISNUMBER(VLOOKUP((ROW($H7)-ROW($H$1)+1)*10+COLUMN(O$1)-COLUMN($H$1)+1,Beräkningshjälp!$AB$2:$AI$1082,7,FALSE)),VLOOKUP((ROW($H7)-ROW($H$1)+1)*10+COLUMN(O$1)-COLUMN($H$1)+1,Beräkningshjälp!$AB$2:$AI$1082,7,FALSE),IF(N8&gt;0,-VLOOKUP((ROW($H7)-ROW($H$1)+1)*10+COLUMN(O$1)-COLUMN($H$1)+1,Beräkningshjälp!$AB$2:$AI$1082,3,FALSE),0)),0),"")</f>
        <v/>
      </c>
      <c r="P8" s="2" t="str">
        <f>IF($E8&lt;&gt;"",IF(AND($E8&lt;&gt;"EJFANGST",$G8&lt;&gt;"INGA"),IF(ISNUMBER(VLOOKUP((ROW($H7)-ROW($H$1)+1)*10+COLUMN(P$1)-COLUMN($H$1)+1,Beräkningshjälp!$AB$2:$AI$1082,7,FALSE)),VLOOKUP((ROW($H7)-ROW($H$1)+1)*10+COLUMN(P$1)-COLUMN($H$1)+1,Beräkningshjälp!$AB$2:$AI$1082,7,FALSE),IF(O8&gt;0,-VLOOKUP((ROW($H7)-ROW($H$1)+1)*10+COLUMN(P$1)-COLUMN($H$1)+1,Beräkningshjälp!$AB$2:$AI$1082,3,FALSE),0)),0),"")</f>
        <v/>
      </c>
      <c r="Q8" s="2" t="str">
        <f>IF($E8&lt;&gt;"",IF(AND($E8&lt;&gt;"EJFANGST",$G8&lt;&gt;"INGA"),IF(ISNUMBER(VLOOKUP((ROW($H7)-ROW($H$1)+1)*10+COLUMN(Q$1)-COLUMN($H$1)+1,Beräkningshjälp!$AB$2:$AI$1082,7,FALSE)),VLOOKUP((ROW($H7)-ROW($H$1)+1)*10+COLUMN(Q$1)-COLUMN($H$1)+1,Beräkningshjälp!$AB$2:$AI$1082,7,FALSE),IF(P8&gt;0,-VLOOKUP((ROW($H7)-ROW($H$1)+1)*10+COLUMN(Q$1)-COLUMN($H$1)+1,Beräkningshjälp!$AB$2:$AI$1082,3,FALSE),0)),0),"")</f>
        <v/>
      </c>
      <c r="R8" s="116" t="str">
        <f>IF(COUNTIF(H8:Q8,"&gt;0")&gt;0,IF($E8&lt;&gt;"",IF(AND($E8&lt;&gt;"EJFANGST",$G8&lt;&gt;"INGA"),IF(ISNUMBER(VLOOKUP((ROW($H7)-ROW($H$1)+1)*10+COLUMN(H$1)-COLUMN($H$1)+1,Beräkningshjälp!$AB$2:$AI$1082,7,FALSE)),VLOOKUP((ROW($H7)-ROW($H$1)+1)*10+COLUMN(H$1)-COLUMN($H$1)+1,Beräkningshjälp!$AB$2:$AI$1082,3,FALSE),""),""),""),"")</f>
        <v/>
      </c>
    </row>
    <row r="9" spans="1:18" x14ac:dyDescent="0.25">
      <c r="A9" s="2" t="str">
        <f t="shared" si="0"/>
        <v/>
      </c>
      <c r="B9" s="2" t="str">
        <f>IF(D9&lt;&gt;"",'DATA TILL SLU'!$J$3,"")</f>
        <v/>
      </c>
      <c r="C9" s="2" t="str">
        <f>IF(D9&lt;&gt;"",'DATA TILL SLU'!$K$3,"")</f>
        <v/>
      </c>
      <c r="D9" s="2" t="str">
        <f>IF(OR(ROW(D8)-ROW(D$1)+1&lt;=MAX(Beräkningshjälp!$F$37:$F$54),ROW(D8)-ROW(D$1)+1&lt;=ROUND((MAX(Beräkningshjälp!AB$3:AB$1082)+4)/10,0)-1),D$2,"")</f>
        <v/>
      </c>
      <c r="E9" s="136" t="str">
        <f>IF(D9&lt;&gt;"",IF(COUNTIF(Beräkningshjälp!F$38:F$49,"&gt;0")&gt;=ROW(E8)-ROW(E$1)+1,VLOOKUP((VLOOKUP(ROW(E8)-ROW(E$1)+1,Beräkningshjälp!$F$37:$H$54,IF(ISNUMBER(VLOOKUP(ROW(E8)-ROW(E$1)+1,Beräkningshjälp!$F$37:$H$54,2,FALSE)),2,3),FALSE)),Beräkningshjälp!$M$2:$O$60,3,FALSE),VLOOKUP((ROW(E8)-ROW(E$1)+1)*10+1,Beräkningshjälp!$AB$2:$AF$1082,5,FALSE)),"")</f>
        <v/>
      </c>
      <c r="F9" s="2" t="str">
        <f>IF(D9&lt;&gt;"",Beräkningshjälp!$AH$1,"")</f>
        <v/>
      </c>
      <c r="G9" s="136" t="str">
        <f>IF(D9&lt;&gt;"",IF(COUNTIF(Beräkningshjälp!F$38:F$49,"&gt;0")&gt;=ROW(E8)-ROW(E$1)+1,"INGA",IF(COUNTIF(Beräkningshjälp!$G$38:$H$49,VLOOKUP(E9,Beräkningshjälp!$AF$2:$AG$1082,2,FALSE))&gt;0,"ENSTAK",IF(VLOOKUP(VLOOKUP(E9,Beräkningshjälp!O$2:U$60,7,FALSE),Artuppgifter!$I$11:$P$22,7,FALSE)=TRUE,"MINMAX","ALLA"))),"")</f>
        <v/>
      </c>
      <c r="H9" s="2" t="str">
        <f>IF($E9&lt;&gt;"",IF(AND($E9&lt;&gt;"EJFANGST",$G9&lt;&gt;"INGA"),IF(ISNUMBER(VLOOKUP((ROW($H8)-ROW($H$1)+1)*10+COLUMN(H$1)-COLUMN($H$1)+1,Beräkningshjälp!$AB$2:$AI$1082,7,FALSE)),VLOOKUP((ROW($H8)-ROW($H$1)+1)*10+COLUMN(H$1)-COLUMN($H$1)+1,Beräkningshjälp!$AB$2:$AI$1082,7,FALSE),IF(E9&gt;0,-VLOOKUP((ROW($H8)-ROW($H$1)+1)*10+COLUMN(H$1)-COLUMN($H$1)+1,Beräkningshjälp!$AB$2:$AI$1082,3,FALSE),0)),0),"")</f>
        <v/>
      </c>
      <c r="I9" s="2" t="str">
        <f>IF($E9&lt;&gt;"",IF(AND($E9&lt;&gt;"EJFANGST",$G9&lt;&gt;"INGA"),IF(ISNUMBER(VLOOKUP((ROW($H8)-ROW($H$1)+1)*10+COLUMN(I$1)-COLUMN($H$1)+1,Beräkningshjälp!$AB$2:$AI$1082,7,FALSE)),VLOOKUP((ROW($H8)-ROW($H$1)+1)*10+COLUMN(I$1)-COLUMN($H$1)+1,Beräkningshjälp!$AB$2:$AI$1082,7,FALSE),IF(H9&gt;0,-VLOOKUP((ROW($H8)-ROW($H$1)+1)*10+COLUMN(I$1)-COLUMN($H$1)+1,Beräkningshjälp!$AB$2:$AI$1082,3,FALSE),0)),0),"")</f>
        <v/>
      </c>
      <c r="J9" s="2" t="str">
        <f>IF($E9&lt;&gt;"",IF(AND($E9&lt;&gt;"EJFANGST",$G9&lt;&gt;"INGA"),IF(ISNUMBER(VLOOKUP((ROW($H8)-ROW($H$1)+1)*10+COLUMN(J$1)-COLUMN($H$1)+1,Beräkningshjälp!$AB$2:$AI$1082,7,FALSE)),VLOOKUP((ROW($H8)-ROW($H$1)+1)*10+COLUMN(J$1)-COLUMN($H$1)+1,Beräkningshjälp!$AB$2:$AI$1082,7,FALSE),IF(I9&gt;0,-VLOOKUP((ROW($H8)-ROW($H$1)+1)*10+COLUMN(J$1)-COLUMN($H$1)+1,Beräkningshjälp!$AB$2:$AI$1082,3,FALSE),0)),0),"")</f>
        <v/>
      </c>
      <c r="K9" s="2" t="str">
        <f>IF($E9&lt;&gt;"",IF(AND($E9&lt;&gt;"EJFANGST",$G9&lt;&gt;"INGA"),IF(ISNUMBER(VLOOKUP((ROW($H8)-ROW($H$1)+1)*10+COLUMN(K$1)-COLUMN($H$1)+1,Beräkningshjälp!$AB$2:$AI$1082,7,FALSE)),VLOOKUP((ROW($H8)-ROW($H$1)+1)*10+COLUMN(K$1)-COLUMN($H$1)+1,Beräkningshjälp!$AB$2:$AI$1082,7,FALSE),IF(J9&gt;0,-VLOOKUP((ROW($H8)-ROW($H$1)+1)*10+COLUMN(K$1)-COLUMN($H$1)+1,Beräkningshjälp!$AB$2:$AI$1082,3,FALSE),0)),0),"")</f>
        <v/>
      </c>
      <c r="L9" s="2" t="str">
        <f>IF($E9&lt;&gt;"",IF(AND($E9&lt;&gt;"EJFANGST",$G9&lt;&gt;"INGA"),IF(ISNUMBER(VLOOKUP((ROW($H8)-ROW($H$1)+1)*10+COLUMN(L$1)-COLUMN($H$1)+1,Beräkningshjälp!$AB$2:$AI$1082,7,FALSE)),VLOOKUP((ROW($H8)-ROW($H$1)+1)*10+COLUMN(L$1)-COLUMN($H$1)+1,Beräkningshjälp!$AB$2:$AI$1082,7,FALSE),IF(K9&gt;0,-VLOOKUP((ROW($H8)-ROW($H$1)+1)*10+COLUMN(L$1)-COLUMN($H$1)+1,Beräkningshjälp!$AB$2:$AI$1082,3,FALSE),0)),0),"")</f>
        <v/>
      </c>
      <c r="M9" s="2" t="str">
        <f>IF($E9&lt;&gt;"",IF(AND($E9&lt;&gt;"EJFANGST",$G9&lt;&gt;"INGA"),IF(ISNUMBER(VLOOKUP((ROW($H8)-ROW($H$1)+1)*10+COLUMN(M$1)-COLUMN($H$1)+1,Beräkningshjälp!$AB$2:$AI$1082,7,FALSE)),VLOOKUP((ROW($H8)-ROW($H$1)+1)*10+COLUMN(M$1)-COLUMN($H$1)+1,Beräkningshjälp!$AB$2:$AI$1082,7,FALSE),IF(L9&gt;0,-VLOOKUP((ROW($H8)-ROW($H$1)+1)*10+COLUMN(M$1)-COLUMN($H$1)+1,Beräkningshjälp!$AB$2:$AI$1082,3,FALSE),0)),0),"")</f>
        <v/>
      </c>
      <c r="N9" s="2" t="str">
        <f>IF($E9&lt;&gt;"",IF(AND($E9&lt;&gt;"EJFANGST",$G9&lt;&gt;"INGA"),IF(ISNUMBER(VLOOKUP((ROW($H8)-ROW($H$1)+1)*10+COLUMN(N$1)-COLUMN($H$1)+1,Beräkningshjälp!$AB$2:$AI$1082,7,FALSE)),VLOOKUP((ROW($H8)-ROW($H$1)+1)*10+COLUMN(N$1)-COLUMN($H$1)+1,Beräkningshjälp!$AB$2:$AI$1082,7,FALSE),IF(M9&gt;0,-VLOOKUP((ROW($H8)-ROW($H$1)+1)*10+COLUMN(N$1)-COLUMN($H$1)+1,Beräkningshjälp!$AB$2:$AI$1082,3,FALSE),0)),0),"")</f>
        <v/>
      </c>
      <c r="O9" s="2" t="str">
        <f>IF($E9&lt;&gt;"",IF(AND($E9&lt;&gt;"EJFANGST",$G9&lt;&gt;"INGA"),IF(ISNUMBER(VLOOKUP((ROW($H8)-ROW($H$1)+1)*10+COLUMN(O$1)-COLUMN($H$1)+1,Beräkningshjälp!$AB$2:$AI$1082,7,FALSE)),VLOOKUP((ROW($H8)-ROW($H$1)+1)*10+COLUMN(O$1)-COLUMN($H$1)+1,Beräkningshjälp!$AB$2:$AI$1082,7,FALSE),IF(N9&gt;0,-VLOOKUP((ROW($H8)-ROW($H$1)+1)*10+COLUMN(O$1)-COLUMN($H$1)+1,Beräkningshjälp!$AB$2:$AI$1082,3,FALSE),0)),0),"")</f>
        <v/>
      </c>
      <c r="P9" s="2" t="str">
        <f>IF($E9&lt;&gt;"",IF(AND($E9&lt;&gt;"EJFANGST",$G9&lt;&gt;"INGA"),IF(ISNUMBER(VLOOKUP((ROW($H8)-ROW($H$1)+1)*10+COLUMN(P$1)-COLUMN($H$1)+1,Beräkningshjälp!$AB$2:$AI$1082,7,FALSE)),VLOOKUP((ROW($H8)-ROW($H$1)+1)*10+COLUMN(P$1)-COLUMN($H$1)+1,Beräkningshjälp!$AB$2:$AI$1082,7,FALSE),IF(O9&gt;0,-VLOOKUP((ROW($H8)-ROW($H$1)+1)*10+COLUMN(P$1)-COLUMN($H$1)+1,Beräkningshjälp!$AB$2:$AI$1082,3,FALSE),0)),0),"")</f>
        <v/>
      </c>
      <c r="Q9" s="2" t="str">
        <f>IF($E9&lt;&gt;"",IF(AND($E9&lt;&gt;"EJFANGST",$G9&lt;&gt;"INGA"),IF(ISNUMBER(VLOOKUP((ROW($H8)-ROW($H$1)+1)*10+COLUMN(Q$1)-COLUMN($H$1)+1,Beräkningshjälp!$AB$2:$AI$1082,7,FALSE)),VLOOKUP((ROW($H8)-ROW($H$1)+1)*10+COLUMN(Q$1)-COLUMN($H$1)+1,Beräkningshjälp!$AB$2:$AI$1082,7,FALSE),IF(P9&gt;0,-VLOOKUP((ROW($H8)-ROW($H$1)+1)*10+COLUMN(Q$1)-COLUMN($H$1)+1,Beräkningshjälp!$AB$2:$AI$1082,3,FALSE),0)),0),"")</f>
        <v/>
      </c>
      <c r="R9" s="116" t="str">
        <f>IF(COUNTIF(H9:Q9,"&gt;0")&gt;0,IF($E9&lt;&gt;"",IF(AND($E9&lt;&gt;"EJFANGST",$G9&lt;&gt;"INGA"),IF(ISNUMBER(VLOOKUP((ROW($H8)-ROW($H$1)+1)*10+COLUMN(H$1)-COLUMN($H$1)+1,Beräkningshjälp!$AB$2:$AI$1082,7,FALSE)),VLOOKUP((ROW($H8)-ROW($H$1)+1)*10+COLUMN(H$1)-COLUMN($H$1)+1,Beräkningshjälp!$AB$2:$AI$1082,3,FALSE),""),""),""),"")</f>
        <v/>
      </c>
    </row>
    <row r="10" spans="1:18" x14ac:dyDescent="0.25">
      <c r="A10" s="2" t="str">
        <f t="shared" si="0"/>
        <v/>
      </c>
      <c r="B10" s="2" t="str">
        <f>IF(D10&lt;&gt;"",'DATA TILL SLU'!$J$3,"")</f>
        <v/>
      </c>
      <c r="C10" s="2" t="str">
        <f>IF(D10&lt;&gt;"",'DATA TILL SLU'!$K$3,"")</f>
        <v/>
      </c>
      <c r="D10" s="2" t="str">
        <f>IF(OR(ROW(D9)-ROW(D$1)+1&lt;=MAX(Beräkningshjälp!$F$37:$F$54),ROW(D9)-ROW(D$1)+1&lt;=ROUND((MAX(Beräkningshjälp!AB$3:AB$1082)+4)/10,0)-1),D$2,"")</f>
        <v/>
      </c>
      <c r="E10" s="136" t="str">
        <f>IF(D10&lt;&gt;"",IF(COUNTIF(Beräkningshjälp!F$38:F$49,"&gt;0")&gt;=ROW(E9)-ROW(E$1)+1,VLOOKUP((VLOOKUP(ROW(E9)-ROW(E$1)+1,Beräkningshjälp!$F$37:$H$54,IF(ISNUMBER(VLOOKUP(ROW(E9)-ROW(E$1)+1,Beräkningshjälp!$F$37:$H$54,2,FALSE)),2,3),FALSE)),Beräkningshjälp!$M$2:$O$60,3,FALSE),VLOOKUP((ROW(E9)-ROW(E$1)+1)*10+1,Beräkningshjälp!$AB$2:$AF$1082,5,FALSE)),"")</f>
        <v/>
      </c>
      <c r="F10" s="2" t="str">
        <f>IF(D10&lt;&gt;"",Beräkningshjälp!$AH$1,"")</f>
        <v/>
      </c>
      <c r="G10" s="136" t="str">
        <f>IF(D10&lt;&gt;"",IF(COUNTIF(Beräkningshjälp!F$38:F$49,"&gt;0")&gt;=ROW(E9)-ROW(E$1)+1,"INGA",IF(COUNTIF(Beräkningshjälp!$G$38:$H$49,VLOOKUP(E10,Beräkningshjälp!$AF$2:$AG$1082,2,FALSE))&gt;0,"ENSTAK",IF(VLOOKUP(VLOOKUP(E10,Beräkningshjälp!O$2:U$60,7,FALSE),Artuppgifter!$I$11:$P$22,7,FALSE)=TRUE,"MINMAX","ALLA"))),"")</f>
        <v/>
      </c>
      <c r="H10" s="2" t="str">
        <f>IF($E10&lt;&gt;"",IF(AND($E10&lt;&gt;"EJFANGST",$G10&lt;&gt;"INGA"),IF(ISNUMBER(VLOOKUP((ROW($H9)-ROW($H$1)+1)*10+COLUMN(H$1)-COLUMN($H$1)+1,Beräkningshjälp!$AB$2:$AI$1082,7,FALSE)),VLOOKUP((ROW($H9)-ROW($H$1)+1)*10+COLUMN(H$1)-COLUMN($H$1)+1,Beräkningshjälp!$AB$2:$AI$1082,7,FALSE),IF(E10&gt;0,-VLOOKUP((ROW($H9)-ROW($H$1)+1)*10+COLUMN(H$1)-COLUMN($H$1)+1,Beräkningshjälp!$AB$2:$AI$1082,3,FALSE),0)),0),"")</f>
        <v/>
      </c>
      <c r="I10" s="2" t="str">
        <f>IF($E10&lt;&gt;"",IF(AND($E10&lt;&gt;"EJFANGST",$G10&lt;&gt;"INGA"),IF(ISNUMBER(VLOOKUP((ROW($H9)-ROW($H$1)+1)*10+COLUMN(I$1)-COLUMN($H$1)+1,Beräkningshjälp!$AB$2:$AI$1082,7,FALSE)),VLOOKUP((ROW($H9)-ROW($H$1)+1)*10+COLUMN(I$1)-COLUMN($H$1)+1,Beräkningshjälp!$AB$2:$AI$1082,7,FALSE),IF(H10&gt;0,-VLOOKUP((ROW($H9)-ROW($H$1)+1)*10+COLUMN(I$1)-COLUMN($H$1)+1,Beräkningshjälp!$AB$2:$AI$1082,3,FALSE),0)),0),"")</f>
        <v/>
      </c>
      <c r="J10" s="2" t="str">
        <f>IF($E10&lt;&gt;"",IF(AND($E10&lt;&gt;"EJFANGST",$G10&lt;&gt;"INGA"),IF(ISNUMBER(VLOOKUP((ROW($H9)-ROW($H$1)+1)*10+COLUMN(J$1)-COLUMN($H$1)+1,Beräkningshjälp!$AB$2:$AI$1082,7,FALSE)),VLOOKUP((ROW($H9)-ROW($H$1)+1)*10+COLUMN(J$1)-COLUMN($H$1)+1,Beräkningshjälp!$AB$2:$AI$1082,7,FALSE),IF(I10&gt;0,-VLOOKUP((ROW($H9)-ROW($H$1)+1)*10+COLUMN(J$1)-COLUMN($H$1)+1,Beräkningshjälp!$AB$2:$AI$1082,3,FALSE),0)),0),"")</f>
        <v/>
      </c>
      <c r="K10" s="2" t="str">
        <f>IF($E10&lt;&gt;"",IF(AND($E10&lt;&gt;"EJFANGST",$G10&lt;&gt;"INGA"),IF(ISNUMBER(VLOOKUP((ROW($H9)-ROW($H$1)+1)*10+COLUMN(K$1)-COLUMN($H$1)+1,Beräkningshjälp!$AB$2:$AI$1082,7,FALSE)),VLOOKUP((ROW($H9)-ROW($H$1)+1)*10+COLUMN(K$1)-COLUMN($H$1)+1,Beräkningshjälp!$AB$2:$AI$1082,7,FALSE),IF(J10&gt;0,-VLOOKUP((ROW($H9)-ROW($H$1)+1)*10+COLUMN(K$1)-COLUMN($H$1)+1,Beräkningshjälp!$AB$2:$AI$1082,3,FALSE),0)),0),"")</f>
        <v/>
      </c>
      <c r="L10" s="2" t="str">
        <f>IF($E10&lt;&gt;"",IF(AND($E10&lt;&gt;"EJFANGST",$G10&lt;&gt;"INGA"),IF(ISNUMBER(VLOOKUP((ROW($H9)-ROW($H$1)+1)*10+COLUMN(L$1)-COLUMN($H$1)+1,Beräkningshjälp!$AB$2:$AI$1082,7,FALSE)),VLOOKUP((ROW($H9)-ROW($H$1)+1)*10+COLUMN(L$1)-COLUMN($H$1)+1,Beräkningshjälp!$AB$2:$AI$1082,7,FALSE),IF(K10&gt;0,-VLOOKUP((ROW($H9)-ROW($H$1)+1)*10+COLUMN(L$1)-COLUMN($H$1)+1,Beräkningshjälp!$AB$2:$AI$1082,3,FALSE),0)),0),"")</f>
        <v/>
      </c>
      <c r="M10" s="2" t="str">
        <f>IF($E10&lt;&gt;"",IF(AND($E10&lt;&gt;"EJFANGST",$G10&lt;&gt;"INGA"),IF(ISNUMBER(VLOOKUP((ROW($H9)-ROW($H$1)+1)*10+COLUMN(M$1)-COLUMN($H$1)+1,Beräkningshjälp!$AB$2:$AI$1082,7,FALSE)),VLOOKUP((ROW($H9)-ROW($H$1)+1)*10+COLUMN(M$1)-COLUMN($H$1)+1,Beräkningshjälp!$AB$2:$AI$1082,7,FALSE),IF(L10&gt;0,-VLOOKUP((ROW($H9)-ROW($H$1)+1)*10+COLUMN(M$1)-COLUMN($H$1)+1,Beräkningshjälp!$AB$2:$AI$1082,3,FALSE),0)),0),"")</f>
        <v/>
      </c>
      <c r="N10" s="2" t="str">
        <f>IF($E10&lt;&gt;"",IF(AND($E10&lt;&gt;"EJFANGST",$G10&lt;&gt;"INGA"),IF(ISNUMBER(VLOOKUP((ROW($H9)-ROW($H$1)+1)*10+COLUMN(N$1)-COLUMN($H$1)+1,Beräkningshjälp!$AB$2:$AI$1082,7,FALSE)),VLOOKUP((ROW($H9)-ROW($H$1)+1)*10+COLUMN(N$1)-COLUMN($H$1)+1,Beräkningshjälp!$AB$2:$AI$1082,7,FALSE),IF(M10&gt;0,-VLOOKUP((ROW($H9)-ROW($H$1)+1)*10+COLUMN(N$1)-COLUMN($H$1)+1,Beräkningshjälp!$AB$2:$AI$1082,3,FALSE),0)),0),"")</f>
        <v/>
      </c>
      <c r="O10" s="2" t="str">
        <f>IF($E10&lt;&gt;"",IF(AND($E10&lt;&gt;"EJFANGST",$G10&lt;&gt;"INGA"),IF(ISNUMBER(VLOOKUP((ROW($H9)-ROW($H$1)+1)*10+COLUMN(O$1)-COLUMN($H$1)+1,Beräkningshjälp!$AB$2:$AI$1082,7,FALSE)),VLOOKUP((ROW($H9)-ROW($H$1)+1)*10+COLUMN(O$1)-COLUMN($H$1)+1,Beräkningshjälp!$AB$2:$AI$1082,7,FALSE),IF(N10&gt;0,-VLOOKUP((ROW($H9)-ROW($H$1)+1)*10+COLUMN(O$1)-COLUMN($H$1)+1,Beräkningshjälp!$AB$2:$AI$1082,3,FALSE),0)),0),"")</f>
        <v/>
      </c>
      <c r="P10" s="2" t="str">
        <f>IF($E10&lt;&gt;"",IF(AND($E10&lt;&gt;"EJFANGST",$G10&lt;&gt;"INGA"),IF(ISNUMBER(VLOOKUP((ROW($H9)-ROW($H$1)+1)*10+COLUMN(P$1)-COLUMN($H$1)+1,Beräkningshjälp!$AB$2:$AI$1082,7,FALSE)),VLOOKUP((ROW($H9)-ROW($H$1)+1)*10+COLUMN(P$1)-COLUMN($H$1)+1,Beräkningshjälp!$AB$2:$AI$1082,7,FALSE),IF(O10&gt;0,-VLOOKUP((ROW($H9)-ROW($H$1)+1)*10+COLUMN(P$1)-COLUMN($H$1)+1,Beräkningshjälp!$AB$2:$AI$1082,3,FALSE),0)),0),"")</f>
        <v/>
      </c>
      <c r="Q10" s="2" t="str">
        <f>IF($E10&lt;&gt;"",IF(AND($E10&lt;&gt;"EJFANGST",$G10&lt;&gt;"INGA"),IF(ISNUMBER(VLOOKUP((ROW($H9)-ROW($H$1)+1)*10+COLUMN(Q$1)-COLUMN($H$1)+1,Beräkningshjälp!$AB$2:$AI$1082,7,FALSE)),VLOOKUP((ROW($H9)-ROW($H$1)+1)*10+COLUMN(Q$1)-COLUMN($H$1)+1,Beräkningshjälp!$AB$2:$AI$1082,7,FALSE),IF(P10&gt;0,-VLOOKUP((ROW($H9)-ROW($H$1)+1)*10+COLUMN(Q$1)-COLUMN($H$1)+1,Beräkningshjälp!$AB$2:$AI$1082,3,FALSE),0)),0),"")</f>
        <v/>
      </c>
      <c r="R10" s="116" t="str">
        <f>IF(COUNTIF(H10:Q10,"&gt;0")&gt;0,IF($E10&lt;&gt;"",IF(AND($E10&lt;&gt;"EJFANGST",$G10&lt;&gt;"INGA"),IF(ISNUMBER(VLOOKUP((ROW($H9)-ROW($H$1)+1)*10+COLUMN(H$1)-COLUMN($H$1)+1,Beräkningshjälp!$AB$2:$AI$1082,7,FALSE)),VLOOKUP((ROW($H9)-ROW($H$1)+1)*10+COLUMN(H$1)-COLUMN($H$1)+1,Beräkningshjälp!$AB$2:$AI$1082,3,FALSE),""),""),""),"")</f>
        <v/>
      </c>
    </row>
    <row r="11" spans="1:18" x14ac:dyDescent="0.25">
      <c r="A11" s="2" t="str">
        <f t="shared" si="0"/>
        <v/>
      </c>
      <c r="B11" s="2" t="str">
        <f>IF(D11&lt;&gt;"",'DATA TILL SLU'!$J$3,"")</f>
        <v/>
      </c>
      <c r="C11" s="2" t="str">
        <f>IF(D11&lt;&gt;"",'DATA TILL SLU'!$K$3,"")</f>
        <v/>
      </c>
      <c r="D11" s="2" t="str">
        <f>IF(OR(ROW(D10)-ROW(D$1)+1&lt;=MAX(Beräkningshjälp!$F$37:$F$54),ROW(D10)-ROW(D$1)+1&lt;=ROUND((MAX(Beräkningshjälp!AB$3:AB$1082)+4)/10,0)-1),D$2,"")</f>
        <v/>
      </c>
      <c r="E11" s="136" t="str">
        <f>IF(D11&lt;&gt;"",IF(COUNTIF(Beräkningshjälp!F$38:F$49,"&gt;0")&gt;=ROW(E10)-ROW(E$1)+1,VLOOKUP((VLOOKUP(ROW(E10)-ROW(E$1)+1,Beräkningshjälp!$F$37:$H$54,IF(ISNUMBER(VLOOKUP(ROW(E10)-ROW(E$1)+1,Beräkningshjälp!$F$37:$H$54,2,FALSE)),2,3),FALSE)),Beräkningshjälp!$M$2:$O$60,3,FALSE),VLOOKUP((ROW(E10)-ROW(E$1)+1)*10+1,Beräkningshjälp!$AB$2:$AF$1082,5,FALSE)),"")</f>
        <v/>
      </c>
      <c r="F11" s="2" t="str">
        <f>IF(D11&lt;&gt;"",Beräkningshjälp!$AH$1,"")</f>
        <v/>
      </c>
      <c r="G11" s="136" t="str">
        <f>IF(D11&lt;&gt;"",IF(COUNTIF(Beräkningshjälp!F$38:F$49,"&gt;0")&gt;=ROW(E10)-ROW(E$1)+1,"INGA",IF(COUNTIF(Beräkningshjälp!$G$38:$H$49,VLOOKUP(E11,Beräkningshjälp!$AF$2:$AG$1082,2,FALSE))&gt;0,"ENSTAK",IF(VLOOKUP(VLOOKUP(E11,Beräkningshjälp!O$2:U$60,7,FALSE),Artuppgifter!$I$11:$P$22,7,FALSE)=TRUE,"MINMAX","ALLA"))),"")</f>
        <v/>
      </c>
      <c r="H11" s="2" t="str">
        <f>IF($E11&lt;&gt;"",IF(AND($E11&lt;&gt;"EJFANGST",$G11&lt;&gt;"INGA"),IF(ISNUMBER(VLOOKUP((ROW($H10)-ROW($H$1)+1)*10+COLUMN(H$1)-COLUMN($H$1)+1,Beräkningshjälp!$AB$2:$AI$1082,7,FALSE)),VLOOKUP((ROW($H10)-ROW($H$1)+1)*10+COLUMN(H$1)-COLUMN($H$1)+1,Beräkningshjälp!$AB$2:$AI$1082,7,FALSE),IF(E11&gt;0,-VLOOKUP((ROW($H10)-ROW($H$1)+1)*10+COLUMN(H$1)-COLUMN($H$1)+1,Beräkningshjälp!$AB$2:$AI$1082,3,FALSE),0)),0),"")</f>
        <v/>
      </c>
      <c r="I11" s="2" t="str">
        <f>IF($E11&lt;&gt;"",IF(AND($E11&lt;&gt;"EJFANGST",$G11&lt;&gt;"INGA"),IF(ISNUMBER(VLOOKUP((ROW($H10)-ROW($H$1)+1)*10+COLUMN(I$1)-COLUMN($H$1)+1,Beräkningshjälp!$AB$2:$AI$1082,7,FALSE)),VLOOKUP((ROW($H10)-ROW($H$1)+1)*10+COLUMN(I$1)-COLUMN($H$1)+1,Beräkningshjälp!$AB$2:$AI$1082,7,FALSE),IF(H11&gt;0,-VLOOKUP((ROW($H10)-ROW($H$1)+1)*10+COLUMN(I$1)-COLUMN($H$1)+1,Beräkningshjälp!$AB$2:$AI$1082,3,FALSE),0)),0),"")</f>
        <v/>
      </c>
      <c r="J11" s="2" t="str">
        <f>IF($E11&lt;&gt;"",IF(AND($E11&lt;&gt;"EJFANGST",$G11&lt;&gt;"INGA"),IF(ISNUMBER(VLOOKUP((ROW($H10)-ROW($H$1)+1)*10+COLUMN(J$1)-COLUMN($H$1)+1,Beräkningshjälp!$AB$2:$AI$1082,7,FALSE)),VLOOKUP((ROW($H10)-ROW($H$1)+1)*10+COLUMN(J$1)-COLUMN($H$1)+1,Beräkningshjälp!$AB$2:$AI$1082,7,FALSE),IF(I11&gt;0,-VLOOKUP((ROW($H10)-ROW($H$1)+1)*10+COLUMN(J$1)-COLUMN($H$1)+1,Beräkningshjälp!$AB$2:$AI$1082,3,FALSE),0)),0),"")</f>
        <v/>
      </c>
      <c r="K11" s="2" t="str">
        <f>IF($E11&lt;&gt;"",IF(AND($E11&lt;&gt;"EJFANGST",$G11&lt;&gt;"INGA"),IF(ISNUMBER(VLOOKUP((ROW($H10)-ROW($H$1)+1)*10+COLUMN(K$1)-COLUMN($H$1)+1,Beräkningshjälp!$AB$2:$AI$1082,7,FALSE)),VLOOKUP((ROW($H10)-ROW($H$1)+1)*10+COLUMN(K$1)-COLUMN($H$1)+1,Beräkningshjälp!$AB$2:$AI$1082,7,FALSE),IF(J11&gt;0,-VLOOKUP((ROW($H10)-ROW($H$1)+1)*10+COLUMN(K$1)-COLUMN($H$1)+1,Beräkningshjälp!$AB$2:$AI$1082,3,FALSE),0)),0),"")</f>
        <v/>
      </c>
      <c r="L11" s="2" t="str">
        <f>IF($E11&lt;&gt;"",IF(AND($E11&lt;&gt;"EJFANGST",$G11&lt;&gt;"INGA"),IF(ISNUMBER(VLOOKUP((ROW($H10)-ROW($H$1)+1)*10+COLUMN(L$1)-COLUMN($H$1)+1,Beräkningshjälp!$AB$2:$AI$1082,7,FALSE)),VLOOKUP((ROW($H10)-ROW($H$1)+1)*10+COLUMN(L$1)-COLUMN($H$1)+1,Beräkningshjälp!$AB$2:$AI$1082,7,FALSE),IF(K11&gt;0,-VLOOKUP((ROW($H10)-ROW($H$1)+1)*10+COLUMN(L$1)-COLUMN($H$1)+1,Beräkningshjälp!$AB$2:$AI$1082,3,FALSE),0)),0),"")</f>
        <v/>
      </c>
      <c r="M11" s="2" t="str">
        <f>IF($E11&lt;&gt;"",IF(AND($E11&lt;&gt;"EJFANGST",$G11&lt;&gt;"INGA"),IF(ISNUMBER(VLOOKUP((ROW($H10)-ROW($H$1)+1)*10+COLUMN(M$1)-COLUMN($H$1)+1,Beräkningshjälp!$AB$2:$AI$1082,7,FALSE)),VLOOKUP((ROW($H10)-ROW($H$1)+1)*10+COLUMN(M$1)-COLUMN($H$1)+1,Beräkningshjälp!$AB$2:$AI$1082,7,FALSE),IF(L11&gt;0,-VLOOKUP((ROW($H10)-ROW($H$1)+1)*10+COLUMN(M$1)-COLUMN($H$1)+1,Beräkningshjälp!$AB$2:$AI$1082,3,FALSE),0)),0),"")</f>
        <v/>
      </c>
      <c r="N11" s="2" t="str">
        <f>IF($E11&lt;&gt;"",IF(AND($E11&lt;&gt;"EJFANGST",$G11&lt;&gt;"INGA"),IF(ISNUMBER(VLOOKUP((ROW($H10)-ROW($H$1)+1)*10+COLUMN(N$1)-COLUMN($H$1)+1,Beräkningshjälp!$AB$2:$AI$1082,7,FALSE)),VLOOKUP((ROW($H10)-ROW($H$1)+1)*10+COLUMN(N$1)-COLUMN($H$1)+1,Beräkningshjälp!$AB$2:$AI$1082,7,FALSE),IF(M11&gt;0,-VLOOKUP((ROW($H10)-ROW($H$1)+1)*10+COLUMN(N$1)-COLUMN($H$1)+1,Beräkningshjälp!$AB$2:$AI$1082,3,FALSE),0)),0),"")</f>
        <v/>
      </c>
      <c r="O11" s="2" t="str">
        <f>IF($E11&lt;&gt;"",IF(AND($E11&lt;&gt;"EJFANGST",$G11&lt;&gt;"INGA"),IF(ISNUMBER(VLOOKUP((ROW($H10)-ROW($H$1)+1)*10+COLUMN(O$1)-COLUMN($H$1)+1,Beräkningshjälp!$AB$2:$AI$1082,7,FALSE)),VLOOKUP((ROW($H10)-ROW($H$1)+1)*10+COLUMN(O$1)-COLUMN($H$1)+1,Beräkningshjälp!$AB$2:$AI$1082,7,FALSE),IF(N11&gt;0,-VLOOKUP((ROW($H10)-ROW($H$1)+1)*10+COLUMN(O$1)-COLUMN($H$1)+1,Beräkningshjälp!$AB$2:$AI$1082,3,FALSE),0)),0),"")</f>
        <v/>
      </c>
      <c r="P11" s="2" t="str">
        <f>IF($E11&lt;&gt;"",IF(AND($E11&lt;&gt;"EJFANGST",$G11&lt;&gt;"INGA"),IF(ISNUMBER(VLOOKUP((ROW($H10)-ROW($H$1)+1)*10+COLUMN(P$1)-COLUMN($H$1)+1,Beräkningshjälp!$AB$2:$AI$1082,7,FALSE)),VLOOKUP((ROW($H10)-ROW($H$1)+1)*10+COLUMN(P$1)-COLUMN($H$1)+1,Beräkningshjälp!$AB$2:$AI$1082,7,FALSE),IF(O11&gt;0,-VLOOKUP((ROW($H10)-ROW($H$1)+1)*10+COLUMN(P$1)-COLUMN($H$1)+1,Beräkningshjälp!$AB$2:$AI$1082,3,FALSE),0)),0),"")</f>
        <v/>
      </c>
      <c r="Q11" s="2" t="str">
        <f>IF($E11&lt;&gt;"",IF(AND($E11&lt;&gt;"EJFANGST",$G11&lt;&gt;"INGA"),IF(ISNUMBER(VLOOKUP((ROW($H10)-ROW($H$1)+1)*10+COLUMN(Q$1)-COLUMN($H$1)+1,Beräkningshjälp!$AB$2:$AI$1082,7,FALSE)),VLOOKUP((ROW($H10)-ROW($H$1)+1)*10+COLUMN(Q$1)-COLUMN($H$1)+1,Beräkningshjälp!$AB$2:$AI$1082,7,FALSE),IF(P11&gt;0,-VLOOKUP((ROW($H10)-ROW($H$1)+1)*10+COLUMN(Q$1)-COLUMN($H$1)+1,Beräkningshjälp!$AB$2:$AI$1082,3,FALSE),0)),0),"")</f>
        <v/>
      </c>
      <c r="R11" s="116" t="str">
        <f>IF(COUNTIF(H11:Q11,"&gt;0")&gt;0,IF($E11&lt;&gt;"",IF(AND($E11&lt;&gt;"EJFANGST",$G11&lt;&gt;"INGA"),IF(ISNUMBER(VLOOKUP((ROW($H10)-ROW($H$1)+1)*10+COLUMN(H$1)-COLUMN($H$1)+1,Beräkningshjälp!$AB$2:$AI$1082,7,FALSE)),VLOOKUP((ROW($H10)-ROW($H$1)+1)*10+COLUMN(H$1)-COLUMN($H$1)+1,Beräkningshjälp!$AB$2:$AI$1082,3,FALSE),""),""),""),"")</f>
        <v/>
      </c>
    </row>
    <row r="12" spans="1:18" x14ac:dyDescent="0.25">
      <c r="A12" s="2" t="str">
        <f t="shared" si="0"/>
        <v/>
      </c>
      <c r="B12" s="2" t="str">
        <f>IF(D12&lt;&gt;"",'DATA TILL SLU'!$J$3,"")</f>
        <v/>
      </c>
      <c r="C12" s="2" t="str">
        <f>IF(D12&lt;&gt;"",'DATA TILL SLU'!$K$3,"")</f>
        <v/>
      </c>
      <c r="D12" s="2" t="str">
        <f>IF(OR(ROW(D11)-ROW(D$1)+1&lt;=MAX(Beräkningshjälp!$F$37:$F$54),ROW(D11)-ROW(D$1)+1&lt;=ROUND((MAX(Beräkningshjälp!AB$3:AB$1082)+4)/10,0)-1),D$2,"")</f>
        <v/>
      </c>
      <c r="E12" s="136" t="str">
        <f>IF(D12&lt;&gt;"",IF(COUNTIF(Beräkningshjälp!F$38:F$49,"&gt;0")&gt;=ROW(E11)-ROW(E$1)+1,VLOOKUP((VLOOKUP(ROW(E11)-ROW(E$1)+1,Beräkningshjälp!$F$37:$H$54,IF(ISNUMBER(VLOOKUP(ROW(E11)-ROW(E$1)+1,Beräkningshjälp!$F$37:$H$54,2,FALSE)),2,3),FALSE)),Beräkningshjälp!$M$2:$O$60,3,FALSE),VLOOKUP((ROW(E11)-ROW(E$1)+1)*10+1,Beräkningshjälp!$AB$2:$AF$1082,5,FALSE)),"")</f>
        <v/>
      </c>
      <c r="F12" s="2" t="str">
        <f>IF(D12&lt;&gt;"",Beräkningshjälp!$AH$1,"")</f>
        <v/>
      </c>
      <c r="G12" s="136" t="str">
        <f>IF(D12&lt;&gt;"",IF(COUNTIF(Beräkningshjälp!F$38:F$49,"&gt;0")&gt;=ROW(E11)-ROW(E$1)+1,"INGA",IF(COUNTIF(Beräkningshjälp!$G$38:$H$49,VLOOKUP(E12,Beräkningshjälp!$AF$2:$AG$1082,2,FALSE))&gt;0,"ENSTAK",IF(VLOOKUP(VLOOKUP(E12,Beräkningshjälp!O$2:U$60,7,FALSE),Artuppgifter!$I$11:$P$22,7,FALSE)=TRUE,"MINMAX","ALLA"))),"")</f>
        <v/>
      </c>
      <c r="H12" s="2" t="str">
        <f>IF($E12&lt;&gt;"",IF(AND($E12&lt;&gt;"EJFANGST",$G12&lt;&gt;"INGA"),IF(ISNUMBER(VLOOKUP((ROW($H11)-ROW($H$1)+1)*10+COLUMN(H$1)-COLUMN($H$1)+1,Beräkningshjälp!$AB$2:$AI$1082,7,FALSE)),VLOOKUP((ROW($H11)-ROW($H$1)+1)*10+COLUMN(H$1)-COLUMN($H$1)+1,Beräkningshjälp!$AB$2:$AI$1082,7,FALSE),IF(E12&gt;0,-VLOOKUP((ROW($H11)-ROW($H$1)+1)*10+COLUMN(H$1)-COLUMN($H$1)+1,Beräkningshjälp!$AB$2:$AI$1082,3,FALSE),0)),0),"")</f>
        <v/>
      </c>
      <c r="I12" s="2" t="str">
        <f>IF($E12&lt;&gt;"",IF(AND($E12&lt;&gt;"EJFANGST",$G12&lt;&gt;"INGA"),IF(ISNUMBER(VLOOKUP((ROW($H11)-ROW($H$1)+1)*10+COLUMN(I$1)-COLUMN($H$1)+1,Beräkningshjälp!$AB$2:$AI$1082,7,FALSE)),VLOOKUP((ROW($H11)-ROW($H$1)+1)*10+COLUMN(I$1)-COLUMN($H$1)+1,Beräkningshjälp!$AB$2:$AI$1082,7,FALSE),IF(H12&gt;0,-VLOOKUP((ROW($H11)-ROW($H$1)+1)*10+COLUMN(I$1)-COLUMN($H$1)+1,Beräkningshjälp!$AB$2:$AI$1082,3,FALSE),0)),0),"")</f>
        <v/>
      </c>
      <c r="J12" s="2" t="str">
        <f>IF($E12&lt;&gt;"",IF(AND($E12&lt;&gt;"EJFANGST",$G12&lt;&gt;"INGA"),IF(ISNUMBER(VLOOKUP((ROW($H11)-ROW($H$1)+1)*10+COLUMN(J$1)-COLUMN($H$1)+1,Beräkningshjälp!$AB$2:$AI$1082,7,FALSE)),VLOOKUP((ROW($H11)-ROW($H$1)+1)*10+COLUMN(J$1)-COLUMN($H$1)+1,Beräkningshjälp!$AB$2:$AI$1082,7,FALSE),IF(I12&gt;0,-VLOOKUP((ROW($H11)-ROW($H$1)+1)*10+COLUMN(J$1)-COLUMN($H$1)+1,Beräkningshjälp!$AB$2:$AI$1082,3,FALSE),0)),0),"")</f>
        <v/>
      </c>
      <c r="K12" s="2" t="str">
        <f>IF($E12&lt;&gt;"",IF(AND($E12&lt;&gt;"EJFANGST",$G12&lt;&gt;"INGA"),IF(ISNUMBER(VLOOKUP((ROW($H11)-ROW($H$1)+1)*10+COLUMN(K$1)-COLUMN($H$1)+1,Beräkningshjälp!$AB$2:$AI$1082,7,FALSE)),VLOOKUP((ROW($H11)-ROW($H$1)+1)*10+COLUMN(K$1)-COLUMN($H$1)+1,Beräkningshjälp!$AB$2:$AI$1082,7,FALSE),IF(J12&gt;0,-VLOOKUP((ROW($H11)-ROW($H$1)+1)*10+COLUMN(K$1)-COLUMN($H$1)+1,Beräkningshjälp!$AB$2:$AI$1082,3,FALSE),0)),0),"")</f>
        <v/>
      </c>
      <c r="L12" s="2" t="str">
        <f>IF($E12&lt;&gt;"",IF(AND($E12&lt;&gt;"EJFANGST",$G12&lt;&gt;"INGA"),IF(ISNUMBER(VLOOKUP((ROW($H11)-ROW($H$1)+1)*10+COLUMN(L$1)-COLUMN($H$1)+1,Beräkningshjälp!$AB$2:$AI$1082,7,FALSE)),VLOOKUP((ROW($H11)-ROW($H$1)+1)*10+COLUMN(L$1)-COLUMN($H$1)+1,Beräkningshjälp!$AB$2:$AI$1082,7,FALSE),IF(K12&gt;0,-VLOOKUP((ROW($H11)-ROW($H$1)+1)*10+COLUMN(L$1)-COLUMN($H$1)+1,Beräkningshjälp!$AB$2:$AI$1082,3,FALSE),0)),0),"")</f>
        <v/>
      </c>
      <c r="M12" s="2" t="str">
        <f>IF($E12&lt;&gt;"",IF(AND($E12&lt;&gt;"EJFANGST",$G12&lt;&gt;"INGA"),IF(ISNUMBER(VLOOKUP((ROW($H11)-ROW($H$1)+1)*10+COLUMN(M$1)-COLUMN($H$1)+1,Beräkningshjälp!$AB$2:$AI$1082,7,FALSE)),VLOOKUP((ROW($H11)-ROW($H$1)+1)*10+COLUMN(M$1)-COLUMN($H$1)+1,Beräkningshjälp!$AB$2:$AI$1082,7,FALSE),IF(L12&gt;0,-VLOOKUP((ROW($H11)-ROW($H$1)+1)*10+COLUMN(M$1)-COLUMN($H$1)+1,Beräkningshjälp!$AB$2:$AI$1082,3,FALSE),0)),0),"")</f>
        <v/>
      </c>
      <c r="N12" s="2" t="str">
        <f>IF($E12&lt;&gt;"",IF(AND($E12&lt;&gt;"EJFANGST",$G12&lt;&gt;"INGA"),IF(ISNUMBER(VLOOKUP((ROW($H11)-ROW($H$1)+1)*10+COLUMN(N$1)-COLUMN($H$1)+1,Beräkningshjälp!$AB$2:$AI$1082,7,FALSE)),VLOOKUP((ROW($H11)-ROW($H$1)+1)*10+COLUMN(N$1)-COLUMN($H$1)+1,Beräkningshjälp!$AB$2:$AI$1082,7,FALSE),IF(M12&gt;0,-VLOOKUP((ROW($H11)-ROW($H$1)+1)*10+COLUMN(N$1)-COLUMN($H$1)+1,Beräkningshjälp!$AB$2:$AI$1082,3,FALSE),0)),0),"")</f>
        <v/>
      </c>
      <c r="O12" s="2" t="str">
        <f>IF($E12&lt;&gt;"",IF(AND($E12&lt;&gt;"EJFANGST",$G12&lt;&gt;"INGA"),IF(ISNUMBER(VLOOKUP((ROW($H11)-ROW($H$1)+1)*10+COLUMN(O$1)-COLUMN($H$1)+1,Beräkningshjälp!$AB$2:$AI$1082,7,FALSE)),VLOOKUP((ROW($H11)-ROW($H$1)+1)*10+COLUMN(O$1)-COLUMN($H$1)+1,Beräkningshjälp!$AB$2:$AI$1082,7,FALSE),IF(N12&gt;0,-VLOOKUP((ROW($H11)-ROW($H$1)+1)*10+COLUMN(O$1)-COLUMN($H$1)+1,Beräkningshjälp!$AB$2:$AI$1082,3,FALSE),0)),0),"")</f>
        <v/>
      </c>
      <c r="P12" s="2" t="str">
        <f>IF($E12&lt;&gt;"",IF(AND($E12&lt;&gt;"EJFANGST",$G12&lt;&gt;"INGA"),IF(ISNUMBER(VLOOKUP((ROW($H11)-ROW($H$1)+1)*10+COLUMN(P$1)-COLUMN($H$1)+1,Beräkningshjälp!$AB$2:$AI$1082,7,FALSE)),VLOOKUP((ROW($H11)-ROW($H$1)+1)*10+COLUMN(P$1)-COLUMN($H$1)+1,Beräkningshjälp!$AB$2:$AI$1082,7,FALSE),IF(O12&gt;0,-VLOOKUP((ROW($H11)-ROW($H$1)+1)*10+COLUMN(P$1)-COLUMN($H$1)+1,Beräkningshjälp!$AB$2:$AI$1082,3,FALSE),0)),0),"")</f>
        <v/>
      </c>
      <c r="Q12" s="2" t="str">
        <f>IF($E12&lt;&gt;"",IF(AND($E12&lt;&gt;"EJFANGST",$G12&lt;&gt;"INGA"),IF(ISNUMBER(VLOOKUP((ROW($H11)-ROW($H$1)+1)*10+COLUMN(Q$1)-COLUMN($H$1)+1,Beräkningshjälp!$AB$2:$AI$1082,7,FALSE)),VLOOKUP((ROW($H11)-ROW($H$1)+1)*10+COLUMN(Q$1)-COLUMN($H$1)+1,Beräkningshjälp!$AB$2:$AI$1082,7,FALSE),IF(P12&gt;0,-VLOOKUP((ROW($H11)-ROW($H$1)+1)*10+COLUMN(Q$1)-COLUMN($H$1)+1,Beräkningshjälp!$AB$2:$AI$1082,3,FALSE),0)),0),"")</f>
        <v/>
      </c>
      <c r="R12" s="116" t="str">
        <f>IF(COUNTIF(H12:Q12,"&gt;0")&gt;0,IF($E12&lt;&gt;"",IF(AND($E12&lt;&gt;"EJFANGST",$G12&lt;&gt;"INGA"),IF(ISNUMBER(VLOOKUP((ROW($H11)-ROW($H$1)+1)*10+COLUMN(H$1)-COLUMN($H$1)+1,Beräkningshjälp!$AB$2:$AI$1082,7,FALSE)),VLOOKUP((ROW($H11)-ROW($H$1)+1)*10+COLUMN(H$1)-COLUMN($H$1)+1,Beräkningshjälp!$AB$2:$AI$1082,3,FALSE),""),""),""),"")</f>
        <v/>
      </c>
    </row>
    <row r="13" spans="1:18" x14ac:dyDescent="0.25">
      <c r="A13" s="2" t="str">
        <f t="shared" si="0"/>
        <v/>
      </c>
      <c r="B13" s="2" t="str">
        <f>IF(D13&lt;&gt;"",'DATA TILL SLU'!$J$3,"")</f>
        <v/>
      </c>
      <c r="C13" s="2" t="str">
        <f>IF(D13&lt;&gt;"",'DATA TILL SLU'!$K$3,"")</f>
        <v/>
      </c>
      <c r="D13" s="2" t="str">
        <f>IF(OR(ROW(D12)-ROW(D$1)+1&lt;=MAX(Beräkningshjälp!$F$37:$F$54),ROW(D12)-ROW(D$1)+1&lt;=ROUND((MAX(Beräkningshjälp!AB$3:AB$1082)+4)/10,0)-1),D$2,"")</f>
        <v/>
      </c>
      <c r="E13" s="136" t="str">
        <f>IF(D13&lt;&gt;"",IF(COUNTIF(Beräkningshjälp!F$38:F$49,"&gt;0")&gt;=ROW(E12)-ROW(E$1)+1,VLOOKUP((VLOOKUP(ROW(E12)-ROW(E$1)+1,Beräkningshjälp!$F$37:$H$54,IF(ISNUMBER(VLOOKUP(ROW(E12)-ROW(E$1)+1,Beräkningshjälp!$F$37:$H$54,2,FALSE)),2,3),FALSE)),Beräkningshjälp!$M$2:$O$60,3,FALSE),VLOOKUP((ROW(E12)-ROW(E$1)+1)*10+1,Beräkningshjälp!$AB$2:$AF$1082,5,FALSE)),"")</f>
        <v/>
      </c>
      <c r="F13" s="2" t="str">
        <f>IF(D13&lt;&gt;"",Beräkningshjälp!$AH$1,"")</f>
        <v/>
      </c>
      <c r="G13" s="136" t="str">
        <f>IF(D13&lt;&gt;"",IF(COUNTIF(Beräkningshjälp!F$38:F$49,"&gt;0")&gt;=ROW(E12)-ROW(E$1)+1,"INGA",IF(COUNTIF(Beräkningshjälp!$G$38:$H$49,VLOOKUP(E13,Beräkningshjälp!$AF$2:$AG$1082,2,FALSE))&gt;0,"ENSTAK",IF(VLOOKUP(VLOOKUP(E13,Beräkningshjälp!O$2:U$60,7,FALSE),Artuppgifter!$I$11:$P$22,7,FALSE)=TRUE,"MINMAX","ALLA"))),"")</f>
        <v/>
      </c>
      <c r="H13" s="2" t="str">
        <f>IF($E13&lt;&gt;"",IF(AND($E13&lt;&gt;"EJFANGST",$G13&lt;&gt;"INGA"),IF(ISNUMBER(VLOOKUP((ROW($H12)-ROW($H$1)+1)*10+COLUMN(H$1)-COLUMN($H$1)+1,Beräkningshjälp!$AB$2:$AI$1082,7,FALSE)),VLOOKUP((ROW($H12)-ROW($H$1)+1)*10+COLUMN(H$1)-COLUMN($H$1)+1,Beräkningshjälp!$AB$2:$AI$1082,7,FALSE),IF(E13&gt;0,-VLOOKUP((ROW($H12)-ROW($H$1)+1)*10+COLUMN(H$1)-COLUMN($H$1)+1,Beräkningshjälp!$AB$2:$AI$1082,3,FALSE),0)),0),"")</f>
        <v/>
      </c>
      <c r="I13" s="2" t="str">
        <f>IF($E13&lt;&gt;"",IF(AND($E13&lt;&gt;"EJFANGST",$G13&lt;&gt;"INGA"),IF(ISNUMBER(VLOOKUP((ROW($H12)-ROW($H$1)+1)*10+COLUMN(I$1)-COLUMN($H$1)+1,Beräkningshjälp!$AB$2:$AI$1082,7,FALSE)),VLOOKUP((ROW($H12)-ROW($H$1)+1)*10+COLUMN(I$1)-COLUMN($H$1)+1,Beräkningshjälp!$AB$2:$AI$1082,7,FALSE),IF(H13&gt;0,-VLOOKUP((ROW($H12)-ROW($H$1)+1)*10+COLUMN(I$1)-COLUMN($H$1)+1,Beräkningshjälp!$AB$2:$AI$1082,3,FALSE),0)),0),"")</f>
        <v/>
      </c>
      <c r="J13" s="2" t="str">
        <f>IF($E13&lt;&gt;"",IF(AND($E13&lt;&gt;"EJFANGST",$G13&lt;&gt;"INGA"),IF(ISNUMBER(VLOOKUP((ROW($H12)-ROW($H$1)+1)*10+COLUMN(J$1)-COLUMN($H$1)+1,Beräkningshjälp!$AB$2:$AI$1082,7,FALSE)),VLOOKUP((ROW($H12)-ROW($H$1)+1)*10+COLUMN(J$1)-COLUMN($H$1)+1,Beräkningshjälp!$AB$2:$AI$1082,7,FALSE),IF(I13&gt;0,-VLOOKUP((ROW($H12)-ROW($H$1)+1)*10+COLUMN(J$1)-COLUMN($H$1)+1,Beräkningshjälp!$AB$2:$AI$1082,3,FALSE),0)),0),"")</f>
        <v/>
      </c>
      <c r="K13" s="2" t="str">
        <f>IF($E13&lt;&gt;"",IF(AND($E13&lt;&gt;"EJFANGST",$G13&lt;&gt;"INGA"),IF(ISNUMBER(VLOOKUP((ROW($H12)-ROW($H$1)+1)*10+COLUMN(K$1)-COLUMN($H$1)+1,Beräkningshjälp!$AB$2:$AI$1082,7,FALSE)),VLOOKUP((ROW($H12)-ROW($H$1)+1)*10+COLUMN(K$1)-COLUMN($H$1)+1,Beräkningshjälp!$AB$2:$AI$1082,7,FALSE),IF(J13&gt;0,-VLOOKUP((ROW($H12)-ROW($H$1)+1)*10+COLUMN(K$1)-COLUMN($H$1)+1,Beräkningshjälp!$AB$2:$AI$1082,3,FALSE),0)),0),"")</f>
        <v/>
      </c>
      <c r="L13" s="2" t="str">
        <f>IF($E13&lt;&gt;"",IF(AND($E13&lt;&gt;"EJFANGST",$G13&lt;&gt;"INGA"),IF(ISNUMBER(VLOOKUP((ROW($H12)-ROW($H$1)+1)*10+COLUMN(L$1)-COLUMN($H$1)+1,Beräkningshjälp!$AB$2:$AI$1082,7,FALSE)),VLOOKUP((ROW($H12)-ROW($H$1)+1)*10+COLUMN(L$1)-COLUMN($H$1)+1,Beräkningshjälp!$AB$2:$AI$1082,7,FALSE),IF(K13&gt;0,-VLOOKUP((ROW($H12)-ROW($H$1)+1)*10+COLUMN(L$1)-COLUMN($H$1)+1,Beräkningshjälp!$AB$2:$AI$1082,3,FALSE),0)),0),"")</f>
        <v/>
      </c>
      <c r="M13" s="2" t="str">
        <f>IF($E13&lt;&gt;"",IF(AND($E13&lt;&gt;"EJFANGST",$G13&lt;&gt;"INGA"),IF(ISNUMBER(VLOOKUP((ROW($H12)-ROW($H$1)+1)*10+COLUMN(M$1)-COLUMN($H$1)+1,Beräkningshjälp!$AB$2:$AI$1082,7,FALSE)),VLOOKUP((ROW($H12)-ROW($H$1)+1)*10+COLUMN(M$1)-COLUMN($H$1)+1,Beräkningshjälp!$AB$2:$AI$1082,7,FALSE),IF(L13&gt;0,-VLOOKUP((ROW($H12)-ROW($H$1)+1)*10+COLUMN(M$1)-COLUMN($H$1)+1,Beräkningshjälp!$AB$2:$AI$1082,3,FALSE),0)),0),"")</f>
        <v/>
      </c>
      <c r="N13" s="2" t="str">
        <f>IF($E13&lt;&gt;"",IF(AND($E13&lt;&gt;"EJFANGST",$G13&lt;&gt;"INGA"),IF(ISNUMBER(VLOOKUP((ROW($H12)-ROW($H$1)+1)*10+COLUMN(N$1)-COLUMN($H$1)+1,Beräkningshjälp!$AB$2:$AI$1082,7,FALSE)),VLOOKUP((ROW($H12)-ROW($H$1)+1)*10+COLUMN(N$1)-COLUMN($H$1)+1,Beräkningshjälp!$AB$2:$AI$1082,7,FALSE),IF(M13&gt;0,-VLOOKUP((ROW($H12)-ROW($H$1)+1)*10+COLUMN(N$1)-COLUMN($H$1)+1,Beräkningshjälp!$AB$2:$AI$1082,3,FALSE),0)),0),"")</f>
        <v/>
      </c>
      <c r="O13" s="2" t="str">
        <f>IF($E13&lt;&gt;"",IF(AND($E13&lt;&gt;"EJFANGST",$G13&lt;&gt;"INGA"),IF(ISNUMBER(VLOOKUP((ROW($H12)-ROW($H$1)+1)*10+COLUMN(O$1)-COLUMN($H$1)+1,Beräkningshjälp!$AB$2:$AI$1082,7,FALSE)),VLOOKUP((ROW($H12)-ROW($H$1)+1)*10+COLUMN(O$1)-COLUMN($H$1)+1,Beräkningshjälp!$AB$2:$AI$1082,7,FALSE),IF(N13&gt;0,-VLOOKUP((ROW($H12)-ROW($H$1)+1)*10+COLUMN(O$1)-COLUMN($H$1)+1,Beräkningshjälp!$AB$2:$AI$1082,3,FALSE),0)),0),"")</f>
        <v/>
      </c>
      <c r="P13" s="2" t="str">
        <f>IF($E13&lt;&gt;"",IF(AND($E13&lt;&gt;"EJFANGST",$G13&lt;&gt;"INGA"),IF(ISNUMBER(VLOOKUP((ROW($H12)-ROW($H$1)+1)*10+COLUMN(P$1)-COLUMN($H$1)+1,Beräkningshjälp!$AB$2:$AI$1082,7,FALSE)),VLOOKUP((ROW($H12)-ROW($H$1)+1)*10+COLUMN(P$1)-COLUMN($H$1)+1,Beräkningshjälp!$AB$2:$AI$1082,7,FALSE),IF(O13&gt;0,-VLOOKUP((ROW($H12)-ROW($H$1)+1)*10+COLUMN(P$1)-COLUMN($H$1)+1,Beräkningshjälp!$AB$2:$AI$1082,3,FALSE),0)),0),"")</f>
        <v/>
      </c>
      <c r="Q13" s="2" t="str">
        <f>IF($E13&lt;&gt;"",IF(AND($E13&lt;&gt;"EJFANGST",$G13&lt;&gt;"INGA"),IF(ISNUMBER(VLOOKUP((ROW($H12)-ROW($H$1)+1)*10+COLUMN(Q$1)-COLUMN($H$1)+1,Beräkningshjälp!$AB$2:$AI$1082,7,FALSE)),VLOOKUP((ROW($H12)-ROW($H$1)+1)*10+COLUMN(Q$1)-COLUMN($H$1)+1,Beräkningshjälp!$AB$2:$AI$1082,7,FALSE),IF(P13&gt;0,-VLOOKUP((ROW($H12)-ROW($H$1)+1)*10+COLUMN(Q$1)-COLUMN($H$1)+1,Beräkningshjälp!$AB$2:$AI$1082,3,FALSE),0)),0),"")</f>
        <v/>
      </c>
      <c r="R13" s="116" t="str">
        <f>IF(COUNTIF(H13:Q13,"&gt;0")&gt;0,IF($E13&lt;&gt;"",IF(AND($E13&lt;&gt;"EJFANGST",$G13&lt;&gt;"INGA"),IF(ISNUMBER(VLOOKUP((ROW($H12)-ROW($H$1)+1)*10+COLUMN(H$1)-COLUMN($H$1)+1,Beräkningshjälp!$AB$2:$AI$1082,7,FALSE)),VLOOKUP((ROW($H12)-ROW($H$1)+1)*10+COLUMN(H$1)-COLUMN($H$1)+1,Beräkningshjälp!$AB$2:$AI$1082,3,FALSE),""),""),""),"")</f>
        <v/>
      </c>
    </row>
    <row r="14" spans="1:18" x14ac:dyDescent="0.25">
      <c r="A14" s="2" t="str">
        <f t="shared" si="0"/>
        <v/>
      </c>
      <c r="B14" s="2" t="str">
        <f>IF(D14&lt;&gt;"",'DATA TILL SLU'!$J$3,"")</f>
        <v/>
      </c>
      <c r="C14" s="2" t="str">
        <f>IF(D14&lt;&gt;"",'DATA TILL SLU'!$K$3,"")</f>
        <v/>
      </c>
      <c r="D14" s="2" t="str">
        <f>IF(OR(ROW(D13)-ROW(D$1)+1&lt;=MAX(Beräkningshjälp!$F$37:$F$54),ROW(D13)-ROW(D$1)+1&lt;=ROUND((MAX(Beräkningshjälp!AB$3:AB$1082)+4)/10,0)-1),D$2,"")</f>
        <v/>
      </c>
      <c r="E14" s="136" t="str">
        <f>IF(D14&lt;&gt;"",IF(COUNTIF(Beräkningshjälp!F$38:F$49,"&gt;0")&gt;=ROW(E13)-ROW(E$1)+1,VLOOKUP((VLOOKUP(ROW(E13)-ROW(E$1)+1,Beräkningshjälp!$F$37:$H$54,IF(ISNUMBER(VLOOKUP(ROW(E13)-ROW(E$1)+1,Beräkningshjälp!$F$37:$H$54,2,FALSE)),2,3),FALSE)),Beräkningshjälp!$M$2:$O$60,3,FALSE),VLOOKUP((ROW(E13)-ROW(E$1)+1)*10+1,Beräkningshjälp!$AB$2:$AF$1082,5,FALSE)),"")</f>
        <v/>
      </c>
      <c r="F14" s="2" t="str">
        <f>IF(D14&lt;&gt;"",Beräkningshjälp!$AH$1,"")</f>
        <v/>
      </c>
      <c r="G14" s="136" t="str">
        <f>IF(D14&lt;&gt;"",IF(COUNTIF(Beräkningshjälp!F$38:F$49,"&gt;0")&gt;=ROW(E13)-ROW(E$1)+1,"INGA",IF(COUNTIF(Beräkningshjälp!$G$38:$H$49,VLOOKUP(E14,Beräkningshjälp!$AF$2:$AG$1082,2,FALSE))&gt;0,"ENSTAK",IF(VLOOKUP(VLOOKUP(E14,Beräkningshjälp!O$2:U$60,7,FALSE),Artuppgifter!$I$11:$P$22,7,FALSE)=TRUE,"MINMAX","ALLA"))),"")</f>
        <v/>
      </c>
      <c r="H14" s="2" t="str">
        <f>IF($E14&lt;&gt;"",IF(AND($E14&lt;&gt;"EJFANGST",$G14&lt;&gt;"INGA"),IF(ISNUMBER(VLOOKUP((ROW($H13)-ROW($H$1)+1)*10+COLUMN(H$1)-COLUMN($H$1)+1,Beräkningshjälp!$AB$2:$AI$1082,7,FALSE)),VLOOKUP((ROW($H13)-ROW($H$1)+1)*10+COLUMN(H$1)-COLUMN($H$1)+1,Beräkningshjälp!$AB$2:$AI$1082,7,FALSE),IF(E14&gt;0,-VLOOKUP((ROW($H13)-ROW($H$1)+1)*10+COLUMN(H$1)-COLUMN($H$1)+1,Beräkningshjälp!$AB$2:$AI$1082,3,FALSE),0)),0),"")</f>
        <v/>
      </c>
      <c r="I14" s="2" t="str">
        <f>IF($E14&lt;&gt;"",IF(AND($E14&lt;&gt;"EJFANGST",$G14&lt;&gt;"INGA"),IF(ISNUMBER(VLOOKUP((ROW($H13)-ROW($H$1)+1)*10+COLUMN(I$1)-COLUMN($H$1)+1,Beräkningshjälp!$AB$2:$AI$1082,7,FALSE)),VLOOKUP((ROW($H13)-ROW($H$1)+1)*10+COLUMN(I$1)-COLUMN($H$1)+1,Beräkningshjälp!$AB$2:$AI$1082,7,FALSE),IF(H14&gt;0,-VLOOKUP((ROW($H13)-ROW($H$1)+1)*10+COLUMN(I$1)-COLUMN($H$1)+1,Beräkningshjälp!$AB$2:$AI$1082,3,FALSE),0)),0),"")</f>
        <v/>
      </c>
      <c r="J14" s="2" t="str">
        <f>IF($E14&lt;&gt;"",IF(AND($E14&lt;&gt;"EJFANGST",$G14&lt;&gt;"INGA"),IF(ISNUMBER(VLOOKUP((ROW($H13)-ROW($H$1)+1)*10+COLUMN(J$1)-COLUMN($H$1)+1,Beräkningshjälp!$AB$2:$AI$1082,7,FALSE)),VLOOKUP((ROW($H13)-ROW($H$1)+1)*10+COLUMN(J$1)-COLUMN($H$1)+1,Beräkningshjälp!$AB$2:$AI$1082,7,FALSE),IF(I14&gt;0,-VLOOKUP((ROW($H13)-ROW($H$1)+1)*10+COLUMN(J$1)-COLUMN($H$1)+1,Beräkningshjälp!$AB$2:$AI$1082,3,FALSE),0)),0),"")</f>
        <v/>
      </c>
      <c r="K14" s="2" t="str">
        <f>IF($E14&lt;&gt;"",IF(AND($E14&lt;&gt;"EJFANGST",$G14&lt;&gt;"INGA"),IF(ISNUMBER(VLOOKUP((ROW($H13)-ROW($H$1)+1)*10+COLUMN(K$1)-COLUMN($H$1)+1,Beräkningshjälp!$AB$2:$AI$1082,7,FALSE)),VLOOKUP((ROW($H13)-ROW($H$1)+1)*10+COLUMN(K$1)-COLUMN($H$1)+1,Beräkningshjälp!$AB$2:$AI$1082,7,FALSE),IF(J14&gt;0,-VLOOKUP((ROW($H13)-ROW($H$1)+1)*10+COLUMN(K$1)-COLUMN($H$1)+1,Beräkningshjälp!$AB$2:$AI$1082,3,FALSE),0)),0),"")</f>
        <v/>
      </c>
      <c r="L14" s="2" t="str">
        <f>IF($E14&lt;&gt;"",IF(AND($E14&lt;&gt;"EJFANGST",$G14&lt;&gt;"INGA"),IF(ISNUMBER(VLOOKUP((ROW($H13)-ROW($H$1)+1)*10+COLUMN(L$1)-COLUMN($H$1)+1,Beräkningshjälp!$AB$2:$AI$1082,7,FALSE)),VLOOKUP((ROW($H13)-ROW($H$1)+1)*10+COLUMN(L$1)-COLUMN($H$1)+1,Beräkningshjälp!$AB$2:$AI$1082,7,FALSE),IF(K14&gt;0,-VLOOKUP((ROW($H13)-ROW($H$1)+1)*10+COLUMN(L$1)-COLUMN($H$1)+1,Beräkningshjälp!$AB$2:$AI$1082,3,FALSE),0)),0),"")</f>
        <v/>
      </c>
      <c r="M14" s="2" t="str">
        <f>IF($E14&lt;&gt;"",IF(AND($E14&lt;&gt;"EJFANGST",$G14&lt;&gt;"INGA"),IF(ISNUMBER(VLOOKUP((ROW($H13)-ROW($H$1)+1)*10+COLUMN(M$1)-COLUMN($H$1)+1,Beräkningshjälp!$AB$2:$AI$1082,7,FALSE)),VLOOKUP((ROW($H13)-ROW($H$1)+1)*10+COLUMN(M$1)-COLUMN($H$1)+1,Beräkningshjälp!$AB$2:$AI$1082,7,FALSE),IF(L14&gt;0,-VLOOKUP((ROW($H13)-ROW($H$1)+1)*10+COLUMN(M$1)-COLUMN($H$1)+1,Beräkningshjälp!$AB$2:$AI$1082,3,FALSE),0)),0),"")</f>
        <v/>
      </c>
      <c r="N14" s="2" t="str">
        <f>IF($E14&lt;&gt;"",IF(AND($E14&lt;&gt;"EJFANGST",$G14&lt;&gt;"INGA"),IF(ISNUMBER(VLOOKUP((ROW($H13)-ROW($H$1)+1)*10+COLUMN(N$1)-COLUMN($H$1)+1,Beräkningshjälp!$AB$2:$AI$1082,7,FALSE)),VLOOKUP((ROW($H13)-ROW($H$1)+1)*10+COLUMN(N$1)-COLUMN($H$1)+1,Beräkningshjälp!$AB$2:$AI$1082,7,FALSE),IF(M14&gt;0,-VLOOKUP((ROW($H13)-ROW($H$1)+1)*10+COLUMN(N$1)-COLUMN($H$1)+1,Beräkningshjälp!$AB$2:$AI$1082,3,FALSE),0)),0),"")</f>
        <v/>
      </c>
      <c r="O14" s="2" t="str">
        <f>IF($E14&lt;&gt;"",IF(AND($E14&lt;&gt;"EJFANGST",$G14&lt;&gt;"INGA"),IF(ISNUMBER(VLOOKUP((ROW($H13)-ROW($H$1)+1)*10+COLUMN(O$1)-COLUMN($H$1)+1,Beräkningshjälp!$AB$2:$AI$1082,7,FALSE)),VLOOKUP((ROW($H13)-ROW($H$1)+1)*10+COLUMN(O$1)-COLUMN($H$1)+1,Beräkningshjälp!$AB$2:$AI$1082,7,FALSE),IF(N14&gt;0,-VLOOKUP((ROW($H13)-ROW($H$1)+1)*10+COLUMN(O$1)-COLUMN($H$1)+1,Beräkningshjälp!$AB$2:$AI$1082,3,FALSE),0)),0),"")</f>
        <v/>
      </c>
      <c r="P14" s="2" t="str">
        <f>IF($E14&lt;&gt;"",IF(AND($E14&lt;&gt;"EJFANGST",$G14&lt;&gt;"INGA"),IF(ISNUMBER(VLOOKUP((ROW($H13)-ROW($H$1)+1)*10+COLUMN(P$1)-COLUMN($H$1)+1,Beräkningshjälp!$AB$2:$AI$1082,7,FALSE)),VLOOKUP((ROW($H13)-ROW($H$1)+1)*10+COLUMN(P$1)-COLUMN($H$1)+1,Beräkningshjälp!$AB$2:$AI$1082,7,FALSE),IF(O14&gt;0,-VLOOKUP((ROW($H13)-ROW($H$1)+1)*10+COLUMN(P$1)-COLUMN($H$1)+1,Beräkningshjälp!$AB$2:$AI$1082,3,FALSE),0)),0),"")</f>
        <v/>
      </c>
      <c r="Q14" s="2" t="str">
        <f>IF($E14&lt;&gt;"",IF(AND($E14&lt;&gt;"EJFANGST",$G14&lt;&gt;"INGA"),IF(ISNUMBER(VLOOKUP((ROW($H13)-ROW($H$1)+1)*10+COLUMN(Q$1)-COLUMN($H$1)+1,Beräkningshjälp!$AB$2:$AI$1082,7,FALSE)),VLOOKUP((ROW($H13)-ROW($H$1)+1)*10+COLUMN(Q$1)-COLUMN($H$1)+1,Beräkningshjälp!$AB$2:$AI$1082,7,FALSE),IF(P14&gt;0,-VLOOKUP((ROW($H13)-ROW($H$1)+1)*10+COLUMN(Q$1)-COLUMN($H$1)+1,Beräkningshjälp!$AB$2:$AI$1082,3,FALSE),0)),0),"")</f>
        <v/>
      </c>
      <c r="R14" s="116" t="str">
        <f>IF(COUNTIF(H14:Q14,"&gt;0")&gt;0,IF($E14&lt;&gt;"",IF(AND($E14&lt;&gt;"EJFANGST",$G14&lt;&gt;"INGA"),IF(ISNUMBER(VLOOKUP((ROW($H13)-ROW($H$1)+1)*10+COLUMN(H$1)-COLUMN($H$1)+1,Beräkningshjälp!$AB$2:$AI$1082,7,FALSE)),VLOOKUP((ROW($H13)-ROW($H$1)+1)*10+COLUMN(H$1)-COLUMN($H$1)+1,Beräkningshjälp!$AB$2:$AI$1082,3,FALSE),""),""),""),"")</f>
        <v/>
      </c>
    </row>
    <row r="15" spans="1:18" x14ac:dyDescent="0.25">
      <c r="A15" s="2" t="str">
        <f t="shared" si="0"/>
        <v/>
      </c>
      <c r="B15" s="2" t="str">
        <f>IF(D15&lt;&gt;"",'DATA TILL SLU'!$J$3,"")</f>
        <v/>
      </c>
      <c r="C15" s="2" t="str">
        <f>IF(D15&lt;&gt;"",'DATA TILL SLU'!$K$3,"")</f>
        <v/>
      </c>
      <c r="D15" s="2" t="str">
        <f>IF(OR(ROW(D14)-ROW(D$1)+1&lt;=MAX(Beräkningshjälp!$F$37:$F$54),ROW(D14)-ROW(D$1)+1&lt;=ROUND((MAX(Beräkningshjälp!AB$3:AB$1082)+4)/10,0)-1),D$2,"")</f>
        <v/>
      </c>
      <c r="E15" s="136" t="str">
        <f>IF(D15&lt;&gt;"",IF(COUNTIF(Beräkningshjälp!F$38:F$49,"&gt;0")&gt;=ROW(E14)-ROW(E$1)+1,VLOOKUP((VLOOKUP(ROW(E14)-ROW(E$1)+1,Beräkningshjälp!$F$37:$H$54,IF(ISNUMBER(VLOOKUP(ROW(E14)-ROW(E$1)+1,Beräkningshjälp!$F$37:$H$54,2,FALSE)),2,3),FALSE)),Beräkningshjälp!$M$2:$O$60,3,FALSE),VLOOKUP((ROW(E14)-ROW(E$1)+1)*10+1,Beräkningshjälp!$AB$2:$AF$1082,5,FALSE)),"")</f>
        <v/>
      </c>
      <c r="F15" s="2" t="str">
        <f>IF(D15&lt;&gt;"",Beräkningshjälp!$AH$1,"")</f>
        <v/>
      </c>
      <c r="G15" s="136" t="str">
        <f>IF(D15&lt;&gt;"",IF(COUNTIF(Beräkningshjälp!F$38:F$49,"&gt;0")&gt;=ROW(E14)-ROW(E$1)+1,"INGA",IF(COUNTIF(Beräkningshjälp!$G$38:$H$49,VLOOKUP(E15,Beräkningshjälp!$AF$2:$AG$1082,2,FALSE))&gt;0,"ENSTAK",IF(VLOOKUP(VLOOKUP(E15,Beräkningshjälp!O$2:U$60,7,FALSE),Artuppgifter!$I$11:$P$22,7,FALSE)=TRUE,"MINMAX","ALLA"))),"")</f>
        <v/>
      </c>
      <c r="H15" s="2" t="str">
        <f>IF($E15&lt;&gt;"",IF(AND($E15&lt;&gt;"EJFANGST",$G15&lt;&gt;"INGA"),IF(ISNUMBER(VLOOKUP((ROW($H14)-ROW($H$1)+1)*10+COLUMN(H$1)-COLUMN($H$1)+1,Beräkningshjälp!$AB$2:$AI$1082,7,FALSE)),VLOOKUP((ROW($H14)-ROW($H$1)+1)*10+COLUMN(H$1)-COLUMN($H$1)+1,Beräkningshjälp!$AB$2:$AI$1082,7,FALSE),IF(E15&gt;0,-VLOOKUP((ROW($H14)-ROW($H$1)+1)*10+COLUMN(H$1)-COLUMN($H$1)+1,Beräkningshjälp!$AB$2:$AI$1082,3,FALSE),0)),0),"")</f>
        <v/>
      </c>
      <c r="I15" s="2" t="str">
        <f>IF($E15&lt;&gt;"",IF(AND($E15&lt;&gt;"EJFANGST",$G15&lt;&gt;"INGA"),IF(ISNUMBER(VLOOKUP((ROW($H14)-ROW($H$1)+1)*10+COLUMN(I$1)-COLUMN($H$1)+1,Beräkningshjälp!$AB$2:$AI$1082,7,FALSE)),VLOOKUP((ROW($H14)-ROW($H$1)+1)*10+COLUMN(I$1)-COLUMN($H$1)+1,Beräkningshjälp!$AB$2:$AI$1082,7,FALSE),IF(H15&gt;0,-VLOOKUP((ROW($H14)-ROW($H$1)+1)*10+COLUMN(I$1)-COLUMN($H$1)+1,Beräkningshjälp!$AB$2:$AI$1082,3,FALSE),0)),0),"")</f>
        <v/>
      </c>
      <c r="J15" s="2" t="str">
        <f>IF($E15&lt;&gt;"",IF(AND($E15&lt;&gt;"EJFANGST",$G15&lt;&gt;"INGA"),IF(ISNUMBER(VLOOKUP((ROW($H14)-ROW($H$1)+1)*10+COLUMN(J$1)-COLUMN($H$1)+1,Beräkningshjälp!$AB$2:$AI$1082,7,FALSE)),VLOOKUP((ROW($H14)-ROW($H$1)+1)*10+COLUMN(J$1)-COLUMN($H$1)+1,Beräkningshjälp!$AB$2:$AI$1082,7,FALSE),IF(I15&gt;0,-VLOOKUP((ROW($H14)-ROW($H$1)+1)*10+COLUMN(J$1)-COLUMN($H$1)+1,Beräkningshjälp!$AB$2:$AI$1082,3,FALSE),0)),0),"")</f>
        <v/>
      </c>
      <c r="K15" s="2" t="str">
        <f>IF($E15&lt;&gt;"",IF(AND($E15&lt;&gt;"EJFANGST",$G15&lt;&gt;"INGA"),IF(ISNUMBER(VLOOKUP((ROW($H14)-ROW($H$1)+1)*10+COLUMN(K$1)-COLUMN($H$1)+1,Beräkningshjälp!$AB$2:$AI$1082,7,FALSE)),VLOOKUP((ROW($H14)-ROW($H$1)+1)*10+COLUMN(K$1)-COLUMN($H$1)+1,Beräkningshjälp!$AB$2:$AI$1082,7,FALSE),IF(J15&gt;0,-VLOOKUP((ROW($H14)-ROW($H$1)+1)*10+COLUMN(K$1)-COLUMN($H$1)+1,Beräkningshjälp!$AB$2:$AI$1082,3,FALSE),0)),0),"")</f>
        <v/>
      </c>
      <c r="L15" s="2" t="str">
        <f>IF($E15&lt;&gt;"",IF(AND($E15&lt;&gt;"EJFANGST",$G15&lt;&gt;"INGA"),IF(ISNUMBER(VLOOKUP((ROW($H14)-ROW($H$1)+1)*10+COLUMN(L$1)-COLUMN($H$1)+1,Beräkningshjälp!$AB$2:$AI$1082,7,FALSE)),VLOOKUP((ROW($H14)-ROW($H$1)+1)*10+COLUMN(L$1)-COLUMN($H$1)+1,Beräkningshjälp!$AB$2:$AI$1082,7,FALSE),IF(K15&gt;0,-VLOOKUP((ROW($H14)-ROW($H$1)+1)*10+COLUMN(L$1)-COLUMN($H$1)+1,Beräkningshjälp!$AB$2:$AI$1082,3,FALSE),0)),0),"")</f>
        <v/>
      </c>
      <c r="M15" s="2" t="str">
        <f>IF($E15&lt;&gt;"",IF(AND($E15&lt;&gt;"EJFANGST",$G15&lt;&gt;"INGA"),IF(ISNUMBER(VLOOKUP((ROW($H14)-ROW($H$1)+1)*10+COLUMN(M$1)-COLUMN($H$1)+1,Beräkningshjälp!$AB$2:$AI$1082,7,FALSE)),VLOOKUP((ROW($H14)-ROW($H$1)+1)*10+COLUMN(M$1)-COLUMN($H$1)+1,Beräkningshjälp!$AB$2:$AI$1082,7,FALSE),IF(L15&gt;0,-VLOOKUP((ROW($H14)-ROW($H$1)+1)*10+COLUMN(M$1)-COLUMN($H$1)+1,Beräkningshjälp!$AB$2:$AI$1082,3,FALSE),0)),0),"")</f>
        <v/>
      </c>
      <c r="N15" s="2" t="str">
        <f>IF($E15&lt;&gt;"",IF(AND($E15&lt;&gt;"EJFANGST",$G15&lt;&gt;"INGA"),IF(ISNUMBER(VLOOKUP((ROW($H14)-ROW($H$1)+1)*10+COLUMN(N$1)-COLUMN($H$1)+1,Beräkningshjälp!$AB$2:$AI$1082,7,FALSE)),VLOOKUP((ROW($H14)-ROW($H$1)+1)*10+COLUMN(N$1)-COLUMN($H$1)+1,Beräkningshjälp!$AB$2:$AI$1082,7,FALSE),IF(M15&gt;0,-VLOOKUP((ROW($H14)-ROW($H$1)+1)*10+COLUMN(N$1)-COLUMN($H$1)+1,Beräkningshjälp!$AB$2:$AI$1082,3,FALSE),0)),0),"")</f>
        <v/>
      </c>
      <c r="O15" s="2" t="str">
        <f>IF($E15&lt;&gt;"",IF(AND($E15&lt;&gt;"EJFANGST",$G15&lt;&gt;"INGA"),IF(ISNUMBER(VLOOKUP((ROW($H14)-ROW($H$1)+1)*10+COLUMN(O$1)-COLUMN($H$1)+1,Beräkningshjälp!$AB$2:$AI$1082,7,FALSE)),VLOOKUP((ROW($H14)-ROW($H$1)+1)*10+COLUMN(O$1)-COLUMN($H$1)+1,Beräkningshjälp!$AB$2:$AI$1082,7,FALSE),IF(N15&gt;0,-VLOOKUP((ROW($H14)-ROW($H$1)+1)*10+COLUMN(O$1)-COLUMN($H$1)+1,Beräkningshjälp!$AB$2:$AI$1082,3,FALSE),0)),0),"")</f>
        <v/>
      </c>
      <c r="P15" s="2" t="str">
        <f>IF($E15&lt;&gt;"",IF(AND($E15&lt;&gt;"EJFANGST",$G15&lt;&gt;"INGA"),IF(ISNUMBER(VLOOKUP((ROW($H14)-ROW($H$1)+1)*10+COLUMN(P$1)-COLUMN($H$1)+1,Beräkningshjälp!$AB$2:$AI$1082,7,FALSE)),VLOOKUP((ROW($H14)-ROW($H$1)+1)*10+COLUMN(P$1)-COLUMN($H$1)+1,Beräkningshjälp!$AB$2:$AI$1082,7,FALSE),IF(O15&gt;0,-VLOOKUP((ROW($H14)-ROW($H$1)+1)*10+COLUMN(P$1)-COLUMN($H$1)+1,Beräkningshjälp!$AB$2:$AI$1082,3,FALSE),0)),0),"")</f>
        <v/>
      </c>
      <c r="Q15" s="2" t="str">
        <f>IF($E15&lt;&gt;"",IF(AND($E15&lt;&gt;"EJFANGST",$G15&lt;&gt;"INGA"),IF(ISNUMBER(VLOOKUP((ROW($H14)-ROW($H$1)+1)*10+COLUMN(Q$1)-COLUMN($H$1)+1,Beräkningshjälp!$AB$2:$AI$1082,7,FALSE)),VLOOKUP((ROW($H14)-ROW($H$1)+1)*10+COLUMN(Q$1)-COLUMN($H$1)+1,Beräkningshjälp!$AB$2:$AI$1082,7,FALSE),IF(P15&gt;0,-VLOOKUP((ROW($H14)-ROW($H$1)+1)*10+COLUMN(Q$1)-COLUMN($H$1)+1,Beräkningshjälp!$AB$2:$AI$1082,3,FALSE),0)),0),"")</f>
        <v/>
      </c>
      <c r="R15" s="116" t="str">
        <f>IF(COUNTIF(H15:Q15,"&gt;0")&gt;0,IF($E15&lt;&gt;"",IF(AND($E15&lt;&gt;"EJFANGST",$G15&lt;&gt;"INGA"),IF(ISNUMBER(VLOOKUP((ROW($H14)-ROW($H$1)+1)*10+COLUMN(H$1)-COLUMN($H$1)+1,Beräkningshjälp!$AB$2:$AI$1082,7,FALSE)),VLOOKUP((ROW($H14)-ROW($H$1)+1)*10+COLUMN(H$1)-COLUMN($H$1)+1,Beräkningshjälp!$AB$2:$AI$1082,3,FALSE),""),""),""),"")</f>
        <v/>
      </c>
    </row>
    <row r="16" spans="1:18" x14ac:dyDescent="0.25">
      <c r="A16" s="2" t="str">
        <f t="shared" si="0"/>
        <v/>
      </c>
      <c r="B16" s="2" t="str">
        <f>IF(D16&lt;&gt;"",'DATA TILL SLU'!$J$3,"")</f>
        <v/>
      </c>
      <c r="C16" s="2" t="str">
        <f>IF(D16&lt;&gt;"",'DATA TILL SLU'!$K$3,"")</f>
        <v/>
      </c>
      <c r="D16" s="2" t="str">
        <f>IF(OR(ROW(D15)-ROW(D$1)+1&lt;=MAX(Beräkningshjälp!$F$37:$F$54),ROW(D15)-ROW(D$1)+1&lt;=ROUND((MAX(Beräkningshjälp!AB$3:AB$1082)+4)/10,0)-1),D$2,"")</f>
        <v/>
      </c>
      <c r="E16" s="136" t="str">
        <f>IF(D16&lt;&gt;"",IF(COUNTIF(Beräkningshjälp!F$38:F$49,"&gt;0")&gt;=ROW(E15)-ROW(E$1)+1,VLOOKUP((VLOOKUP(ROW(E15)-ROW(E$1)+1,Beräkningshjälp!$F$37:$H$54,IF(ISNUMBER(VLOOKUP(ROW(E15)-ROW(E$1)+1,Beräkningshjälp!$F$37:$H$54,2,FALSE)),2,3),FALSE)),Beräkningshjälp!$M$2:$O$60,3,FALSE),VLOOKUP((ROW(E15)-ROW(E$1)+1)*10+1,Beräkningshjälp!$AB$2:$AF$1082,5,FALSE)),"")</f>
        <v/>
      </c>
      <c r="F16" s="2" t="str">
        <f>IF(D16&lt;&gt;"",Beräkningshjälp!$AH$1,"")</f>
        <v/>
      </c>
      <c r="G16" s="136" t="str">
        <f>IF(D16&lt;&gt;"",IF(COUNTIF(Beräkningshjälp!F$38:F$49,"&gt;0")&gt;=ROW(E15)-ROW(E$1)+1,"INGA",IF(COUNTIF(Beräkningshjälp!$G$38:$H$49,VLOOKUP(E16,Beräkningshjälp!$AF$2:$AG$1082,2,FALSE))&gt;0,"ENSTAK",IF(VLOOKUP(VLOOKUP(E16,Beräkningshjälp!O$2:U$60,7,FALSE),Artuppgifter!$I$11:$P$22,7,FALSE)=TRUE,"MINMAX","ALLA"))),"")</f>
        <v/>
      </c>
      <c r="H16" s="2" t="str">
        <f>IF($E16&lt;&gt;"",IF(AND($E16&lt;&gt;"EJFANGST",$G16&lt;&gt;"INGA"),IF(ISNUMBER(VLOOKUP((ROW($H15)-ROW($H$1)+1)*10+COLUMN(H$1)-COLUMN($H$1)+1,Beräkningshjälp!$AB$2:$AI$1082,7,FALSE)),VLOOKUP((ROW($H15)-ROW($H$1)+1)*10+COLUMN(H$1)-COLUMN($H$1)+1,Beräkningshjälp!$AB$2:$AI$1082,7,FALSE),IF(E16&gt;0,-VLOOKUP((ROW($H15)-ROW($H$1)+1)*10+COLUMN(H$1)-COLUMN($H$1)+1,Beräkningshjälp!$AB$2:$AI$1082,3,FALSE),0)),0),"")</f>
        <v/>
      </c>
      <c r="I16" s="2" t="str">
        <f>IF($E16&lt;&gt;"",IF(AND($E16&lt;&gt;"EJFANGST",$G16&lt;&gt;"INGA"),IF(ISNUMBER(VLOOKUP((ROW($H15)-ROW($H$1)+1)*10+COLUMN(I$1)-COLUMN($H$1)+1,Beräkningshjälp!$AB$2:$AI$1082,7,FALSE)),VLOOKUP((ROW($H15)-ROW($H$1)+1)*10+COLUMN(I$1)-COLUMN($H$1)+1,Beräkningshjälp!$AB$2:$AI$1082,7,FALSE),IF(H16&gt;0,-VLOOKUP((ROW($H15)-ROW($H$1)+1)*10+COLUMN(I$1)-COLUMN($H$1)+1,Beräkningshjälp!$AB$2:$AI$1082,3,FALSE),0)),0),"")</f>
        <v/>
      </c>
      <c r="J16" s="2" t="str">
        <f>IF($E16&lt;&gt;"",IF(AND($E16&lt;&gt;"EJFANGST",$G16&lt;&gt;"INGA"),IF(ISNUMBER(VLOOKUP((ROW($H15)-ROW($H$1)+1)*10+COLUMN(J$1)-COLUMN($H$1)+1,Beräkningshjälp!$AB$2:$AI$1082,7,FALSE)),VLOOKUP((ROW($H15)-ROW($H$1)+1)*10+COLUMN(J$1)-COLUMN($H$1)+1,Beräkningshjälp!$AB$2:$AI$1082,7,FALSE),IF(I16&gt;0,-VLOOKUP((ROW($H15)-ROW($H$1)+1)*10+COLUMN(J$1)-COLUMN($H$1)+1,Beräkningshjälp!$AB$2:$AI$1082,3,FALSE),0)),0),"")</f>
        <v/>
      </c>
      <c r="K16" s="2" t="str">
        <f>IF($E16&lt;&gt;"",IF(AND($E16&lt;&gt;"EJFANGST",$G16&lt;&gt;"INGA"),IF(ISNUMBER(VLOOKUP((ROW($H15)-ROW($H$1)+1)*10+COLUMN(K$1)-COLUMN($H$1)+1,Beräkningshjälp!$AB$2:$AI$1082,7,FALSE)),VLOOKUP((ROW($H15)-ROW($H$1)+1)*10+COLUMN(K$1)-COLUMN($H$1)+1,Beräkningshjälp!$AB$2:$AI$1082,7,FALSE),IF(J16&gt;0,-VLOOKUP((ROW($H15)-ROW($H$1)+1)*10+COLUMN(K$1)-COLUMN($H$1)+1,Beräkningshjälp!$AB$2:$AI$1082,3,FALSE),0)),0),"")</f>
        <v/>
      </c>
      <c r="L16" s="2" t="str">
        <f>IF($E16&lt;&gt;"",IF(AND($E16&lt;&gt;"EJFANGST",$G16&lt;&gt;"INGA"),IF(ISNUMBER(VLOOKUP((ROW($H15)-ROW($H$1)+1)*10+COLUMN(L$1)-COLUMN($H$1)+1,Beräkningshjälp!$AB$2:$AI$1082,7,FALSE)),VLOOKUP((ROW($H15)-ROW($H$1)+1)*10+COLUMN(L$1)-COLUMN($H$1)+1,Beräkningshjälp!$AB$2:$AI$1082,7,FALSE),IF(K16&gt;0,-VLOOKUP((ROW($H15)-ROW($H$1)+1)*10+COLUMN(L$1)-COLUMN($H$1)+1,Beräkningshjälp!$AB$2:$AI$1082,3,FALSE),0)),0),"")</f>
        <v/>
      </c>
      <c r="M16" s="2" t="str">
        <f>IF($E16&lt;&gt;"",IF(AND($E16&lt;&gt;"EJFANGST",$G16&lt;&gt;"INGA"),IF(ISNUMBER(VLOOKUP((ROW($H15)-ROW($H$1)+1)*10+COLUMN(M$1)-COLUMN($H$1)+1,Beräkningshjälp!$AB$2:$AI$1082,7,FALSE)),VLOOKUP((ROW($H15)-ROW($H$1)+1)*10+COLUMN(M$1)-COLUMN($H$1)+1,Beräkningshjälp!$AB$2:$AI$1082,7,FALSE),IF(L16&gt;0,-VLOOKUP((ROW($H15)-ROW($H$1)+1)*10+COLUMN(M$1)-COLUMN($H$1)+1,Beräkningshjälp!$AB$2:$AI$1082,3,FALSE),0)),0),"")</f>
        <v/>
      </c>
      <c r="N16" s="2" t="str">
        <f>IF($E16&lt;&gt;"",IF(AND($E16&lt;&gt;"EJFANGST",$G16&lt;&gt;"INGA"),IF(ISNUMBER(VLOOKUP((ROW($H15)-ROW($H$1)+1)*10+COLUMN(N$1)-COLUMN($H$1)+1,Beräkningshjälp!$AB$2:$AI$1082,7,FALSE)),VLOOKUP((ROW($H15)-ROW($H$1)+1)*10+COLUMN(N$1)-COLUMN($H$1)+1,Beräkningshjälp!$AB$2:$AI$1082,7,FALSE),IF(M16&gt;0,-VLOOKUP((ROW($H15)-ROW($H$1)+1)*10+COLUMN(N$1)-COLUMN($H$1)+1,Beräkningshjälp!$AB$2:$AI$1082,3,FALSE),0)),0),"")</f>
        <v/>
      </c>
      <c r="O16" s="2" t="str">
        <f>IF($E16&lt;&gt;"",IF(AND($E16&lt;&gt;"EJFANGST",$G16&lt;&gt;"INGA"),IF(ISNUMBER(VLOOKUP((ROW($H15)-ROW($H$1)+1)*10+COLUMN(O$1)-COLUMN($H$1)+1,Beräkningshjälp!$AB$2:$AI$1082,7,FALSE)),VLOOKUP((ROW($H15)-ROW($H$1)+1)*10+COLUMN(O$1)-COLUMN($H$1)+1,Beräkningshjälp!$AB$2:$AI$1082,7,FALSE),IF(N16&gt;0,-VLOOKUP((ROW($H15)-ROW($H$1)+1)*10+COLUMN(O$1)-COLUMN($H$1)+1,Beräkningshjälp!$AB$2:$AI$1082,3,FALSE),0)),0),"")</f>
        <v/>
      </c>
      <c r="P16" s="2" t="str">
        <f>IF($E16&lt;&gt;"",IF(AND($E16&lt;&gt;"EJFANGST",$G16&lt;&gt;"INGA"),IF(ISNUMBER(VLOOKUP((ROW($H15)-ROW($H$1)+1)*10+COLUMN(P$1)-COLUMN($H$1)+1,Beräkningshjälp!$AB$2:$AI$1082,7,FALSE)),VLOOKUP((ROW($H15)-ROW($H$1)+1)*10+COLUMN(P$1)-COLUMN($H$1)+1,Beräkningshjälp!$AB$2:$AI$1082,7,FALSE),IF(O16&gt;0,-VLOOKUP((ROW($H15)-ROW($H$1)+1)*10+COLUMN(P$1)-COLUMN($H$1)+1,Beräkningshjälp!$AB$2:$AI$1082,3,FALSE),0)),0),"")</f>
        <v/>
      </c>
      <c r="Q16" s="2" t="str">
        <f>IF($E16&lt;&gt;"",IF(AND($E16&lt;&gt;"EJFANGST",$G16&lt;&gt;"INGA"),IF(ISNUMBER(VLOOKUP((ROW($H15)-ROW($H$1)+1)*10+COLUMN(Q$1)-COLUMN($H$1)+1,Beräkningshjälp!$AB$2:$AI$1082,7,FALSE)),VLOOKUP((ROW($H15)-ROW($H$1)+1)*10+COLUMN(Q$1)-COLUMN($H$1)+1,Beräkningshjälp!$AB$2:$AI$1082,7,FALSE),IF(P16&gt;0,-VLOOKUP((ROW($H15)-ROW($H$1)+1)*10+COLUMN(Q$1)-COLUMN($H$1)+1,Beräkningshjälp!$AB$2:$AI$1082,3,FALSE),0)),0),"")</f>
        <v/>
      </c>
      <c r="R16" s="116" t="str">
        <f>IF(COUNTIF(H16:Q16,"&gt;0")&gt;0,IF($E16&lt;&gt;"",IF(AND($E16&lt;&gt;"EJFANGST",$G16&lt;&gt;"INGA"),IF(ISNUMBER(VLOOKUP((ROW($H15)-ROW($H$1)+1)*10+COLUMN(H$1)-COLUMN($H$1)+1,Beräkningshjälp!$AB$2:$AI$1082,7,FALSE)),VLOOKUP((ROW($H15)-ROW($H$1)+1)*10+COLUMN(H$1)-COLUMN($H$1)+1,Beräkningshjälp!$AB$2:$AI$1082,3,FALSE),""),""),""),"")</f>
        <v/>
      </c>
    </row>
    <row r="17" spans="1:18" x14ac:dyDescent="0.25">
      <c r="A17" s="2" t="str">
        <f t="shared" si="0"/>
        <v/>
      </c>
      <c r="B17" s="2" t="str">
        <f>IF(D17&lt;&gt;"",'DATA TILL SLU'!$J$3,"")</f>
        <v/>
      </c>
      <c r="C17" s="2" t="str">
        <f>IF(D17&lt;&gt;"",'DATA TILL SLU'!$K$3,"")</f>
        <v/>
      </c>
      <c r="D17" s="2" t="str">
        <f>IF(OR(ROW(D16)-ROW(D$1)+1&lt;=MAX(Beräkningshjälp!$F$37:$F$54),ROW(D16)-ROW(D$1)+1&lt;=ROUND((MAX(Beräkningshjälp!AB$3:AB$1082)+4)/10,0)-1),D$2,"")</f>
        <v/>
      </c>
      <c r="E17" s="136" t="str">
        <f>IF(D17&lt;&gt;"",IF(COUNTIF(Beräkningshjälp!F$38:F$49,"&gt;0")&gt;=ROW(E16)-ROW(E$1)+1,VLOOKUP((VLOOKUP(ROW(E16)-ROW(E$1)+1,Beräkningshjälp!$F$37:$H$54,IF(ISNUMBER(VLOOKUP(ROW(E16)-ROW(E$1)+1,Beräkningshjälp!$F$37:$H$54,2,FALSE)),2,3),FALSE)),Beräkningshjälp!$M$2:$O$60,3,FALSE),VLOOKUP((ROW(E16)-ROW(E$1)+1)*10+1,Beräkningshjälp!$AB$2:$AF$1082,5,FALSE)),"")</f>
        <v/>
      </c>
      <c r="F17" s="2" t="str">
        <f>IF(D17&lt;&gt;"",Beräkningshjälp!$AH$1,"")</f>
        <v/>
      </c>
      <c r="G17" s="136" t="str">
        <f>IF(D17&lt;&gt;"",IF(COUNTIF(Beräkningshjälp!F$38:F$49,"&gt;0")&gt;=ROW(E16)-ROW(E$1)+1,"INGA",IF(COUNTIF(Beräkningshjälp!$G$38:$H$49,VLOOKUP(E17,Beräkningshjälp!$AF$2:$AG$1082,2,FALSE))&gt;0,"ENSTAK",IF(VLOOKUP(VLOOKUP(E17,Beräkningshjälp!O$2:U$60,7,FALSE),Artuppgifter!$I$11:$P$22,7,FALSE)=TRUE,"MINMAX","ALLA"))),"")</f>
        <v/>
      </c>
      <c r="H17" s="2" t="str">
        <f>IF($E17&lt;&gt;"",IF(AND($E17&lt;&gt;"EJFANGST",$G17&lt;&gt;"INGA"),IF(ISNUMBER(VLOOKUP((ROW($H16)-ROW($H$1)+1)*10+COLUMN(H$1)-COLUMN($H$1)+1,Beräkningshjälp!$AB$2:$AI$1082,7,FALSE)),VLOOKUP((ROW($H16)-ROW($H$1)+1)*10+COLUMN(H$1)-COLUMN($H$1)+1,Beräkningshjälp!$AB$2:$AI$1082,7,FALSE),IF(E17&gt;0,-VLOOKUP((ROW($H16)-ROW($H$1)+1)*10+COLUMN(H$1)-COLUMN($H$1)+1,Beräkningshjälp!$AB$2:$AI$1082,3,FALSE),0)),0),"")</f>
        <v/>
      </c>
      <c r="I17" s="2" t="str">
        <f>IF($E17&lt;&gt;"",IF(AND($E17&lt;&gt;"EJFANGST",$G17&lt;&gt;"INGA"),IF(ISNUMBER(VLOOKUP((ROW($H16)-ROW($H$1)+1)*10+COLUMN(I$1)-COLUMN($H$1)+1,Beräkningshjälp!$AB$2:$AI$1082,7,FALSE)),VLOOKUP((ROW($H16)-ROW($H$1)+1)*10+COLUMN(I$1)-COLUMN($H$1)+1,Beräkningshjälp!$AB$2:$AI$1082,7,FALSE),IF(H17&gt;0,-VLOOKUP((ROW($H16)-ROW($H$1)+1)*10+COLUMN(I$1)-COLUMN($H$1)+1,Beräkningshjälp!$AB$2:$AI$1082,3,FALSE),0)),0),"")</f>
        <v/>
      </c>
      <c r="J17" s="2" t="str">
        <f>IF($E17&lt;&gt;"",IF(AND($E17&lt;&gt;"EJFANGST",$G17&lt;&gt;"INGA"),IF(ISNUMBER(VLOOKUP((ROW($H16)-ROW($H$1)+1)*10+COLUMN(J$1)-COLUMN($H$1)+1,Beräkningshjälp!$AB$2:$AI$1082,7,FALSE)),VLOOKUP((ROW($H16)-ROW($H$1)+1)*10+COLUMN(J$1)-COLUMN($H$1)+1,Beräkningshjälp!$AB$2:$AI$1082,7,FALSE),IF(I17&gt;0,-VLOOKUP((ROW($H16)-ROW($H$1)+1)*10+COLUMN(J$1)-COLUMN($H$1)+1,Beräkningshjälp!$AB$2:$AI$1082,3,FALSE),0)),0),"")</f>
        <v/>
      </c>
      <c r="K17" s="2" t="str">
        <f>IF($E17&lt;&gt;"",IF(AND($E17&lt;&gt;"EJFANGST",$G17&lt;&gt;"INGA"),IF(ISNUMBER(VLOOKUP((ROW($H16)-ROW($H$1)+1)*10+COLUMN(K$1)-COLUMN($H$1)+1,Beräkningshjälp!$AB$2:$AI$1082,7,FALSE)),VLOOKUP((ROW($H16)-ROW($H$1)+1)*10+COLUMN(K$1)-COLUMN($H$1)+1,Beräkningshjälp!$AB$2:$AI$1082,7,FALSE),IF(J17&gt;0,-VLOOKUP((ROW($H16)-ROW($H$1)+1)*10+COLUMN(K$1)-COLUMN($H$1)+1,Beräkningshjälp!$AB$2:$AI$1082,3,FALSE),0)),0),"")</f>
        <v/>
      </c>
      <c r="L17" s="2" t="str">
        <f>IF($E17&lt;&gt;"",IF(AND($E17&lt;&gt;"EJFANGST",$G17&lt;&gt;"INGA"),IF(ISNUMBER(VLOOKUP((ROW($H16)-ROW($H$1)+1)*10+COLUMN(L$1)-COLUMN($H$1)+1,Beräkningshjälp!$AB$2:$AI$1082,7,FALSE)),VLOOKUP((ROW($H16)-ROW($H$1)+1)*10+COLUMN(L$1)-COLUMN($H$1)+1,Beräkningshjälp!$AB$2:$AI$1082,7,FALSE),IF(K17&gt;0,-VLOOKUP((ROW($H16)-ROW($H$1)+1)*10+COLUMN(L$1)-COLUMN($H$1)+1,Beräkningshjälp!$AB$2:$AI$1082,3,FALSE),0)),0),"")</f>
        <v/>
      </c>
      <c r="M17" s="2" t="str">
        <f>IF($E17&lt;&gt;"",IF(AND($E17&lt;&gt;"EJFANGST",$G17&lt;&gt;"INGA"),IF(ISNUMBER(VLOOKUP((ROW($H16)-ROW($H$1)+1)*10+COLUMN(M$1)-COLUMN($H$1)+1,Beräkningshjälp!$AB$2:$AI$1082,7,FALSE)),VLOOKUP((ROW($H16)-ROW($H$1)+1)*10+COLUMN(M$1)-COLUMN($H$1)+1,Beräkningshjälp!$AB$2:$AI$1082,7,FALSE),IF(L17&gt;0,-VLOOKUP((ROW($H16)-ROW($H$1)+1)*10+COLUMN(M$1)-COLUMN($H$1)+1,Beräkningshjälp!$AB$2:$AI$1082,3,FALSE),0)),0),"")</f>
        <v/>
      </c>
      <c r="N17" s="2" t="str">
        <f>IF($E17&lt;&gt;"",IF(AND($E17&lt;&gt;"EJFANGST",$G17&lt;&gt;"INGA"),IF(ISNUMBER(VLOOKUP((ROW($H16)-ROW($H$1)+1)*10+COLUMN(N$1)-COLUMN($H$1)+1,Beräkningshjälp!$AB$2:$AI$1082,7,FALSE)),VLOOKUP((ROW($H16)-ROW($H$1)+1)*10+COLUMN(N$1)-COLUMN($H$1)+1,Beräkningshjälp!$AB$2:$AI$1082,7,FALSE),IF(M17&gt;0,-VLOOKUP((ROW($H16)-ROW($H$1)+1)*10+COLUMN(N$1)-COLUMN($H$1)+1,Beräkningshjälp!$AB$2:$AI$1082,3,FALSE),0)),0),"")</f>
        <v/>
      </c>
      <c r="O17" s="2" t="str">
        <f>IF($E17&lt;&gt;"",IF(AND($E17&lt;&gt;"EJFANGST",$G17&lt;&gt;"INGA"),IF(ISNUMBER(VLOOKUP((ROW($H16)-ROW($H$1)+1)*10+COLUMN(O$1)-COLUMN($H$1)+1,Beräkningshjälp!$AB$2:$AI$1082,7,FALSE)),VLOOKUP((ROW($H16)-ROW($H$1)+1)*10+COLUMN(O$1)-COLUMN($H$1)+1,Beräkningshjälp!$AB$2:$AI$1082,7,FALSE),IF(N17&gt;0,-VLOOKUP((ROW($H16)-ROW($H$1)+1)*10+COLUMN(O$1)-COLUMN($H$1)+1,Beräkningshjälp!$AB$2:$AI$1082,3,FALSE),0)),0),"")</f>
        <v/>
      </c>
      <c r="P17" s="2" t="str">
        <f>IF($E17&lt;&gt;"",IF(AND($E17&lt;&gt;"EJFANGST",$G17&lt;&gt;"INGA"),IF(ISNUMBER(VLOOKUP((ROW($H16)-ROW($H$1)+1)*10+COLUMN(P$1)-COLUMN($H$1)+1,Beräkningshjälp!$AB$2:$AI$1082,7,FALSE)),VLOOKUP((ROW($H16)-ROW($H$1)+1)*10+COLUMN(P$1)-COLUMN($H$1)+1,Beräkningshjälp!$AB$2:$AI$1082,7,FALSE),IF(O17&gt;0,-VLOOKUP((ROW($H16)-ROW($H$1)+1)*10+COLUMN(P$1)-COLUMN($H$1)+1,Beräkningshjälp!$AB$2:$AI$1082,3,FALSE),0)),0),"")</f>
        <v/>
      </c>
      <c r="Q17" s="2" t="str">
        <f>IF($E17&lt;&gt;"",IF(AND($E17&lt;&gt;"EJFANGST",$G17&lt;&gt;"INGA"),IF(ISNUMBER(VLOOKUP((ROW($H16)-ROW($H$1)+1)*10+COLUMN(Q$1)-COLUMN($H$1)+1,Beräkningshjälp!$AB$2:$AI$1082,7,FALSE)),VLOOKUP((ROW($H16)-ROW($H$1)+1)*10+COLUMN(Q$1)-COLUMN($H$1)+1,Beräkningshjälp!$AB$2:$AI$1082,7,FALSE),IF(P17&gt;0,-VLOOKUP((ROW($H16)-ROW($H$1)+1)*10+COLUMN(Q$1)-COLUMN($H$1)+1,Beräkningshjälp!$AB$2:$AI$1082,3,FALSE),0)),0),"")</f>
        <v/>
      </c>
      <c r="R17" s="116" t="str">
        <f>IF(COUNTIF(H17:Q17,"&gt;0")&gt;0,IF($E17&lt;&gt;"",IF(AND($E17&lt;&gt;"EJFANGST",$G17&lt;&gt;"INGA"),IF(ISNUMBER(VLOOKUP((ROW($H16)-ROW($H$1)+1)*10+COLUMN(H$1)-COLUMN($H$1)+1,Beräkningshjälp!$AB$2:$AI$1082,7,FALSE)),VLOOKUP((ROW($H16)-ROW($H$1)+1)*10+COLUMN(H$1)-COLUMN($H$1)+1,Beräkningshjälp!$AB$2:$AI$1082,3,FALSE),""),""),""),"")</f>
        <v/>
      </c>
    </row>
    <row r="18" spans="1:18" x14ac:dyDescent="0.25">
      <c r="A18" s="2" t="str">
        <f t="shared" si="0"/>
        <v/>
      </c>
      <c r="B18" s="2" t="str">
        <f>IF(D18&lt;&gt;"",'DATA TILL SLU'!$J$3,"")</f>
        <v/>
      </c>
      <c r="C18" s="2" t="str">
        <f>IF(D18&lt;&gt;"",'DATA TILL SLU'!$K$3,"")</f>
        <v/>
      </c>
      <c r="D18" s="2" t="str">
        <f>IF(OR(ROW(D17)-ROW(D$1)+1&lt;=MAX(Beräkningshjälp!$F$37:$F$54),ROW(D17)-ROW(D$1)+1&lt;=ROUND((MAX(Beräkningshjälp!AB$3:AB$1082)+4)/10,0)-1),D$2,"")</f>
        <v/>
      </c>
      <c r="E18" s="136" t="str">
        <f>IF(D18&lt;&gt;"",IF(COUNTIF(Beräkningshjälp!F$38:F$49,"&gt;0")&gt;=ROW(E17)-ROW(E$1)+1,VLOOKUP((VLOOKUP(ROW(E17)-ROW(E$1)+1,Beräkningshjälp!$F$37:$H$54,IF(ISNUMBER(VLOOKUP(ROW(E17)-ROW(E$1)+1,Beräkningshjälp!$F$37:$H$54,2,FALSE)),2,3),FALSE)),Beräkningshjälp!$M$2:$O$60,3,FALSE),VLOOKUP((ROW(E17)-ROW(E$1)+1)*10+1,Beräkningshjälp!$AB$2:$AF$1082,5,FALSE)),"")</f>
        <v/>
      </c>
      <c r="F18" s="2" t="str">
        <f>IF(D18&lt;&gt;"",Beräkningshjälp!$AH$1,"")</f>
        <v/>
      </c>
      <c r="G18" s="136" t="str">
        <f>IF(D18&lt;&gt;"",IF(COUNTIF(Beräkningshjälp!F$38:F$49,"&gt;0")&gt;=ROW(E17)-ROW(E$1)+1,"INGA",IF(COUNTIF(Beräkningshjälp!$G$38:$H$49,VLOOKUP(E18,Beräkningshjälp!$AF$2:$AG$1082,2,FALSE))&gt;0,"ENSTAK",IF(VLOOKUP(VLOOKUP(E18,Beräkningshjälp!O$2:U$60,7,FALSE),Artuppgifter!$I$11:$P$22,7,FALSE)=TRUE,"MINMAX","ALLA"))),"")</f>
        <v/>
      </c>
      <c r="H18" s="2" t="str">
        <f>IF($E18&lt;&gt;"",IF(AND($E18&lt;&gt;"EJFANGST",$G18&lt;&gt;"INGA"),IF(ISNUMBER(VLOOKUP((ROW($H17)-ROW($H$1)+1)*10+COLUMN(H$1)-COLUMN($H$1)+1,Beräkningshjälp!$AB$2:$AI$1082,7,FALSE)),VLOOKUP((ROW($H17)-ROW($H$1)+1)*10+COLUMN(H$1)-COLUMN($H$1)+1,Beräkningshjälp!$AB$2:$AI$1082,7,FALSE),IF(E18&gt;0,-VLOOKUP((ROW($H17)-ROW($H$1)+1)*10+COLUMN(H$1)-COLUMN($H$1)+1,Beräkningshjälp!$AB$2:$AI$1082,3,FALSE),0)),0),"")</f>
        <v/>
      </c>
      <c r="I18" s="2" t="str">
        <f>IF($E18&lt;&gt;"",IF(AND($E18&lt;&gt;"EJFANGST",$G18&lt;&gt;"INGA"),IF(ISNUMBER(VLOOKUP((ROW($H17)-ROW($H$1)+1)*10+COLUMN(I$1)-COLUMN($H$1)+1,Beräkningshjälp!$AB$2:$AI$1082,7,FALSE)),VLOOKUP((ROW($H17)-ROW($H$1)+1)*10+COLUMN(I$1)-COLUMN($H$1)+1,Beräkningshjälp!$AB$2:$AI$1082,7,FALSE),IF(H18&gt;0,-VLOOKUP((ROW($H17)-ROW($H$1)+1)*10+COLUMN(I$1)-COLUMN($H$1)+1,Beräkningshjälp!$AB$2:$AI$1082,3,FALSE),0)),0),"")</f>
        <v/>
      </c>
      <c r="J18" s="2" t="str">
        <f>IF($E18&lt;&gt;"",IF(AND($E18&lt;&gt;"EJFANGST",$G18&lt;&gt;"INGA"),IF(ISNUMBER(VLOOKUP((ROW($H17)-ROW($H$1)+1)*10+COLUMN(J$1)-COLUMN($H$1)+1,Beräkningshjälp!$AB$2:$AI$1082,7,FALSE)),VLOOKUP((ROW($H17)-ROW($H$1)+1)*10+COLUMN(J$1)-COLUMN($H$1)+1,Beräkningshjälp!$AB$2:$AI$1082,7,FALSE),IF(I18&gt;0,-VLOOKUP((ROW($H17)-ROW($H$1)+1)*10+COLUMN(J$1)-COLUMN($H$1)+1,Beräkningshjälp!$AB$2:$AI$1082,3,FALSE),0)),0),"")</f>
        <v/>
      </c>
      <c r="K18" s="2" t="str">
        <f>IF($E18&lt;&gt;"",IF(AND($E18&lt;&gt;"EJFANGST",$G18&lt;&gt;"INGA"),IF(ISNUMBER(VLOOKUP((ROW($H17)-ROW($H$1)+1)*10+COLUMN(K$1)-COLUMN($H$1)+1,Beräkningshjälp!$AB$2:$AI$1082,7,FALSE)),VLOOKUP((ROW($H17)-ROW($H$1)+1)*10+COLUMN(K$1)-COLUMN($H$1)+1,Beräkningshjälp!$AB$2:$AI$1082,7,FALSE),IF(J18&gt;0,-VLOOKUP((ROW($H17)-ROW($H$1)+1)*10+COLUMN(K$1)-COLUMN($H$1)+1,Beräkningshjälp!$AB$2:$AI$1082,3,FALSE),0)),0),"")</f>
        <v/>
      </c>
      <c r="L18" s="2" t="str">
        <f>IF($E18&lt;&gt;"",IF(AND($E18&lt;&gt;"EJFANGST",$G18&lt;&gt;"INGA"),IF(ISNUMBER(VLOOKUP((ROW($H17)-ROW($H$1)+1)*10+COLUMN(L$1)-COLUMN($H$1)+1,Beräkningshjälp!$AB$2:$AI$1082,7,FALSE)),VLOOKUP((ROW($H17)-ROW($H$1)+1)*10+COLUMN(L$1)-COLUMN($H$1)+1,Beräkningshjälp!$AB$2:$AI$1082,7,FALSE),IF(K18&gt;0,-VLOOKUP((ROW($H17)-ROW($H$1)+1)*10+COLUMN(L$1)-COLUMN($H$1)+1,Beräkningshjälp!$AB$2:$AI$1082,3,FALSE),0)),0),"")</f>
        <v/>
      </c>
      <c r="M18" s="2" t="str">
        <f>IF($E18&lt;&gt;"",IF(AND($E18&lt;&gt;"EJFANGST",$G18&lt;&gt;"INGA"),IF(ISNUMBER(VLOOKUP((ROW($H17)-ROW($H$1)+1)*10+COLUMN(M$1)-COLUMN($H$1)+1,Beräkningshjälp!$AB$2:$AI$1082,7,FALSE)),VLOOKUP((ROW($H17)-ROW($H$1)+1)*10+COLUMN(M$1)-COLUMN($H$1)+1,Beräkningshjälp!$AB$2:$AI$1082,7,FALSE),IF(L18&gt;0,-VLOOKUP((ROW($H17)-ROW($H$1)+1)*10+COLUMN(M$1)-COLUMN($H$1)+1,Beräkningshjälp!$AB$2:$AI$1082,3,FALSE),0)),0),"")</f>
        <v/>
      </c>
      <c r="N18" s="2" t="str">
        <f>IF($E18&lt;&gt;"",IF(AND($E18&lt;&gt;"EJFANGST",$G18&lt;&gt;"INGA"),IF(ISNUMBER(VLOOKUP((ROW($H17)-ROW($H$1)+1)*10+COLUMN(N$1)-COLUMN($H$1)+1,Beräkningshjälp!$AB$2:$AI$1082,7,FALSE)),VLOOKUP((ROW($H17)-ROW($H$1)+1)*10+COLUMN(N$1)-COLUMN($H$1)+1,Beräkningshjälp!$AB$2:$AI$1082,7,FALSE),IF(M18&gt;0,-VLOOKUP((ROW($H17)-ROW($H$1)+1)*10+COLUMN(N$1)-COLUMN($H$1)+1,Beräkningshjälp!$AB$2:$AI$1082,3,FALSE),0)),0),"")</f>
        <v/>
      </c>
      <c r="O18" s="2" t="str">
        <f>IF($E18&lt;&gt;"",IF(AND($E18&lt;&gt;"EJFANGST",$G18&lt;&gt;"INGA"),IF(ISNUMBER(VLOOKUP((ROW($H17)-ROW($H$1)+1)*10+COLUMN(O$1)-COLUMN($H$1)+1,Beräkningshjälp!$AB$2:$AI$1082,7,FALSE)),VLOOKUP((ROW($H17)-ROW($H$1)+1)*10+COLUMN(O$1)-COLUMN($H$1)+1,Beräkningshjälp!$AB$2:$AI$1082,7,FALSE),IF(N18&gt;0,-VLOOKUP((ROW($H17)-ROW($H$1)+1)*10+COLUMN(O$1)-COLUMN($H$1)+1,Beräkningshjälp!$AB$2:$AI$1082,3,FALSE),0)),0),"")</f>
        <v/>
      </c>
      <c r="P18" s="2" t="str">
        <f>IF($E18&lt;&gt;"",IF(AND($E18&lt;&gt;"EJFANGST",$G18&lt;&gt;"INGA"),IF(ISNUMBER(VLOOKUP((ROW($H17)-ROW($H$1)+1)*10+COLUMN(P$1)-COLUMN($H$1)+1,Beräkningshjälp!$AB$2:$AI$1082,7,FALSE)),VLOOKUP((ROW($H17)-ROW($H$1)+1)*10+COLUMN(P$1)-COLUMN($H$1)+1,Beräkningshjälp!$AB$2:$AI$1082,7,FALSE),IF(O18&gt;0,-VLOOKUP((ROW($H17)-ROW($H$1)+1)*10+COLUMN(P$1)-COLUMN($H$1)+1,Beräkningshjälp!$AB$2:$AI$1082,3,FALSE),0)),0),"")</f>
        <v/>
      </c>
      <c r="Q18" s="2" t="str">
        <f>IF($E18&lt;&gt;"",IF(AND($E18&lt;&gt;"EJFANGST",$G18&lt;&gt;"INGA"),IF(ISNUMBER(VLOOKUP((ROW($H17)-ROW($H$1)+1)*10+COLUMN(Q$1)-COLUMN($H$1)+1,Beräkningshjälp!$AB$2:$AI$1082,7,FALSE)),VLOOKUP((ROW($H17)-ROW($H$1)+1)*10+COLUMN(Q$1)-COLUMN($H$1)+1,Beräkningshjälp!$AB$2:$AI$1082,7,FALSE),IF(P18&gt;0,-VLOOKUP((ROW($H17)-ROW($H$1)+1)*10+COLUMN(Q$1)-COLUMN($H$1)+1,Beräkningshjälp!$AB$2:$AI$1082,3,FALSE),0)),0),"")</f>
        <v/>
      </c>
      <c r="R18" s="116" t="str">
        <f>IF(COUNTIF(H18:Q18,"&gt;0")&gt;0,IF($E18&lt;&gt;"",IF(AND($E18&lt;&gt;"EJFANGST",$G18&lt;&gt;"INGA"),IF(ISNUMBER(VLOOKUP((ROW($H17)-ROW($H$1)+1)*10+COLUMN(H$1)-COLUMN($H$1)+1,Beräkningshjälp!$AB$2:$AI$1082,7,FALSE)),VLOOKUP((ROW($H17)-ROW($H$1)+1)*10+COLUMN(H$1)-COLUMN($H$1)+1,Beräkningshjälp!$AB$2:$AI$1082,3,FALSE),""),""),""),"")</f>
        <v/>
      </c>
    </row>
    <row r="19" spans="1:18" x14ac:dyDescent="0.25">
      <c r="A19" s="2" t="str">
        <f t="shared" si="0"/>
        <v/>
      </c>
      <c r="B19" s="2" t="str">
        <f>IF(D19&lt;&gt;"",'DATA TILL SLU'!$J$3,"")</f>
        <v/>
      </c>
      <c r="C19" s="2" t="str">
        <f>IF(D19&lt;&gt;"",'DATA TILL SLU'!$K$3,"")</f>
        <v/>
      </c>
      <c r="D19" s="2" t="str">
        <f>IF(OR(ROW(D18)-ROW(D$1)+1&lt;=MAX(Beräkningshjälp!$F$37:$F$54),ROW(D18)-ROW(D$1)+1&lt;=ROUND((MAX(Beräkningshjälp!AB$3:AB$1082)+4)/10,0)-1),D$2,"")</f>
        <v/>
      </c>
      <c r="E19" s="136" t="str">
        <f>IF(D19&lt;&gt;"",IF(COUNTIF(Beräkningshjälp!F$38:F$49,"&gt;0")&gt;=ROW(E18)-ROW(E$1)+1,VLOOKUP((VLOOKUP(ROW(E18)-ROW(E$1)+1,Beräkningshjälp!$F$37:$H$54,IF(ISNUMBER(VLOOKUP(ROW(E18)-ROW(E$1)+1,Beräkningshjälp!$F$37:$H$54,2,FALSE)),2,3),FALSE)),Beräkningshjälp!$M$2:$O$60,3,FALSE),VLOOKUP((ROW(E18)-ROW(E$1)+1)*10+1,Beräkningshjälp!$AB$2:$AF$1082,5,FALSE)),"")</f>
        <v/>
      </c>
      <c r="F19" s="2" t="str">
        <f>IF(D19&lt;&gt;"",Beräkningshjälp!$AH$1,"")</f>
        <v/>
      </c>
      <c r="G19" s="136" t="str">
        <f>IF(D19&lt;&gt;"",IF(COUNTIF(Beräkningshjälp!F$38:F$49,"&gt;0")&gt;=ROW(E18)-ROW(E$1)+1,"INGA",IF(COUNTIF(Beräkningshjälp!$G$38:$H$49,VLOOKUP(E19,Beräkningshjälp!$AF$2:$AG$1082,2,FALSE))&gt;0,"ENSTAK",IF(VLOOKUP(VLOOKUP(E19,Beräkningshjälp!O$2:U$60,7,FALSE),Artuppgifter!$I$11:$P$22,7,FALSE)=TRUE,"MINMAX","ALLA"))),"")</f>
        <v/>
      </c>
      <c r="H19" s="2" t="str">
        <f>IF($E19&lt;&gt;"",IF(AND($E19&lt;&gt;"EJFANGST",$G19&lt;&gt;"INGA"),IF(ISNUMBER(VLOOKUP((ROW($H18)-ROW($H$1)+1)*10+COLUMN(H$1)-COLUMN($H$1)+1,Beräkningshjälp!$AB$2:$AI$1082,7,FALSE)),VLOOKUP((ROW($H18)-ROW($H$1)+1)*10+COLUMN(H$1)-COLUMN($H$1)+1,Beräkningshjälp!$AB$2:$AI$1082,7,FALSE),IF(E19&gt;0,-VLOOKUP((ROW($H18)-ROW($H$1)+1)*10+COLUMN(H$1)-COLUMN($H$1)+1,Beräkningshjälp!$AB$2:$AI$1082,3,FALSE),0)),0),"")</f>
        <v/>
      </c>
      <c r="I19" s="2" t="str">
        <f>IF($E19&lt;&gt;"",IF(AND($E19&lt;&gt;"EJFANGST",$G19&lt;&gt;"INGA"),IF(ISNUMBER(VLOOKUP((ROW($H18)-ROW($H$1)+1)*10+COLUMN(I$1)-COLUMN($H$1)+1,Beräkningshjälp!$AB$2:$AI$1082,7,FALSE)),VLOOKUP((ROW($H18)-ROW($H$1)+1)*10+COLUMN(I$1)-COLUMN($H$1)+1,Beräkningshjälp!$AB$2:$AI$1082,7,FALSE),IF(H19&gt;0,-VLOOKUP((ROW($H18)-ROW($H$1)+1)*10+COLUMN(I$1)-COLUMN($H$1)+1,Beräkningshjälp!$AB$2:$AI$1082,3,FALSE),0)),0),"")</f>
        <v/>
      </c>
      <c r="J19" s="2" t="str">
        <f>IF($E19&lt;&gt;"",IF(AND($E19&lt;&gt;"EJFANGST",$G19&lt;&gt;"INGA"),IF(ISNUMBER(VLOOKUP((ROW($H18)-ROW($H$1)+1)*10+COLUMN(J$1)-COLUMN($H$1)+1,Beräkningshjälp!$AB$2:$AI$1082,7,FALSE)),VLOOKUP((ROW($H18)-ROW($H$1)+1)*10+COLUMN(J$1)-COLUMN($H$1)+1,Beräkningshjälp!$AB$2:$AI$1082,7,FALSE),IF(I19&gt;0,-VLOOKUP((ROW($H18)-ROW($H$1)+1)*10+COLUMN(J$1)-COLUMN($H$1)+1,Beräkningshjälp!$AB$2:$AI$1082,3,FALSE),0)),0),"")</f>
        <v/>
      </c>
      <c r="K19" s="2" t="str">
        <f>IF($E19&lt;&gt;"",IF(AND($E19&lt;&gt;"EJFANGST",$G19&lt;&gt;"INGA"),IF(ISNUMBER(VLOOKUP((ROW($H18)-ROW($H$1)+1)*10+COLUMN(K$1)-COLUMN($H$1)+1,Beräkningshjälp!$AB$2:$AI$1082,7,FALSE)),VLOOKUP((ROW($H18)-ROW($H$1)+1)*10+COLUMN(K$1)-COLUMN($H$1)+1,Beräkningshjälp!$AB$2:$AI$1082,7,FALSE),IF(J19&gt;0,-VLOOKUP((ROW($H18)-ROW($H$1)+1)*10+COLUMN(K$1)-COLUMN($H$1)+1,Beräkningshjälp!$AB$2:$AI$1082,3,FALSE),0)),0),"")</f>
        <v/>
      </c>
      <c r="L19" s="2" t="str">
        <f>IF($E19&lt;&gt;"",IF(AND($E19&lt;&gt;"EJFANGST",$G19&lt;&gt;"INGA"),IF(ISNUMBER(VLOOKUP((ROW($H18)-ROW($H$1)+1)*10+COLUMN(L$1)-COLUMN($H$1)+1,Beräkningshjälp!$AB$2:$AI$1082,7,FALSE)),VLOOKUP((ROW($H18)-ROW($H$1)+1)*10+COLUMN(L$1)-COLUMN($H$1)+1,Beräkningshjälp!$AB$2:$AI$1082,7,FALSE),IF(K19&gt;0,-VLOOKUP((ROW($H18)-ROW($H$1)+1)*10+COLUMN(L$1)-COLUMN($H$1)+1,Beräkningshjälp!$AB$2:$AI$1082,3,FALSE),0)),0),"")</f>
        <v/>
      </c>
      <c r="M19" s="2" t="str">
        <f>IF($E19&lt;&gt;"",IF(AND($E19&lt;&gt;"EJFANGST",$G19&lt;&gt;"INGA"),IF(ISNUMBER(VLOOKUP((ROW($H18)-ROW($H$1)+1)*10+COLUMN(M$1)-COLUMN($H$1)+1,Beräkningshjälp!$AB$2:$AI$1082,7,FALSE)),VLOOKUP((ROW($H18)-ROW($H$1)+1)*10+COLUMN(M$1)-COLUMN($H$1)+1,Beräkningshjälp!$AB$2:$AI$1082,7,FALSE),IF(L19&gt;0,-VLOOKUP((ROW($H18)-ROW($H$1)+1)*10+COLUMN(M$1)-COLUMN($H$1)+1,Beräkningshjälp!$AB$2:$AI$1082,3,FALSE),0)),0),"")</f>
        <v/>
      </c>
      <c r="N19" s="2" t="str">
        <f>IF($E19&lt;&gt;"",IF(AND($E19&lt;&gt;"EJFANGST",$G19&lt;&gt;"INGA"),IF(ISNUMBER(VLOOKUP((ROW($H18)-ROW($H$1)+1)*10+COLUMN(N$1)-COLUMN($H$1)+1,Beräkningshjälp!$AB$2:$AI$1082,7,FALSE)),VLOOKUP((ROW($H18)-ROW($H$1)+1)*10+COLUMN(N$1)-COLUMN($H$1)+1,Beräkningshjälp!$AB$2:$AI$1082,7,FALSE),IF(M19&gt;0,-VLOOKUP((ROW($H18)-ROW($H$1)+1)*10+COLUMN(N$1)-COLUMN($H$1)+1,Beräkningshjälp!$AB$2:$AI$1082,3,FALSE),0)),0),"")</f>
        <v/>
      </c>
      <c r="O19" s="2" t="str">
        <f>IF($E19&lt;&gt;"",IF(AND($E19&lt;&gt;"EJFANGST",$G19&lt;&gt;"INGA"),IF(ISNUMBER(VLOOKUP((ROW($H18)-ROW($H$1)+1)*10+COLUMN(O$1)-COLUMN($H$1)+1,Beräkningshjälp!$AB$2:$AI$1082,7,FALSE)),VLOOKUP((ROW($H18)-ROW($H$1)+1)*10+COLUMN(O$1)-COLUMN($H$1)+1,Beräkningshjälp!$AB$2:$AI$1082,7,FALSE),IF(N19&gt;0,-VLOOKUP((ROW($H18)-ROW($H$1)+1)*10+COLUMN(O$1)-COLUMN($H$1)+1,Beräkningshjälp!$AB$2:$AI$1082,3,FALSE),0)),0),"")</f>
        <v/>
      </c>
      <c r="P19" s="2" t="str">
        <f>IF($E19&lt;&gt;"",IF(AND($E19&lt;&gt;"EJFANGST",$G19&lt;&gt;"INGA"),IF(ISNUMBER(VLOOKUP((ROW($H18)-ROW($H$1)+1)*10+COLUMN(P$1)-COLUMN($H$1)+1,Beräkningshjälp!$AB$2:$AI$1082,7,FALSE)),VLOOKUP((ROW($H18)-ROW($H$1)+1)*10+COLUMN(P$1)-COLUMN($H$1)+1,Beräkningshjälp!$AB$2:$AI$1082,7,FALSE),IF(O19&gt;0,-VLOOKUP((ROW($H18)-ROW($H$1)+1)*10+COLUMN(P$1)-COLUMN($H$1)+1,Beräkningshjälp!$AB$2:$AI$1082,3,FALSE),0)),0),"")</f>
        <v/>
      </c>
      <c r="Q19" s="2" t="str">
        <f>IF($E19&lt;&gt;"",IF(AND($E19&lt;&gt;"EJFANGST",$G19&lt;&gt;"INGA"),IF(ISNUMBER(VLOOKUP((ROW($H18)-ROW($H$1)+1)*10+COLUMN(Q$1)-COLUMN($H$1)+1,Beräkningshjälp!$AB$2:$AI$1082,7,FALSE)),VLOOKUP((ROW($H18)-ROW($H$1)+1)*10+COLUMN(Q$1)-COLUMN($H$1)+1,Beräkningshjälp!$AB$2:$AI$1082,7,FALSE),IF(P19&gt;0,-VLOOKUP((ROW($H18)-ROW($H$1)+1)*10+COLUMN(Q$1)-COLUMN($H$1)+1,Beräkningshjälp!$AB$2:$AI$1082,3,FALSE),0)),0),"")</f>
        <v/>
      </c>
      <c r="R19" s="116" t="str">
        <f>IF(COUNTIF(H19:Q19,"&gt;0")&gt;0,IF($E19&lt;&gt;"",IF(AND($E19&lt;&gt;"EJFANGST",$G19&lt;&gt;"INGA"),IF(ISNUMBER(VLOOKUP((ROW($H18)-ROW($H$1)+1)*10+COLUMN(H$1)-COLUMN($H$1)+1,Beräkningshjälp!$AB$2:$AI$1082,7,FALSE)),VLOOKUP((ROW($H18)-ROW($H$1)+1)*10+COLUMN(H$1)-COLUMN($H$1)+1,Beräkningshjälp!$AB$2:$AI$1082,3,FALSE),""),""),""),"")</f>
        <v/>
      </c>
    </row>
    <row r="20" spans="1:18" x14ac:dyDescent="0.25">
      <c r="A20" s="2" t="str">
        <f t="shared" si="0"/>
        <v/>
      </c>
      <c r="B20" s="2" t="str">
        <f>IF(D20&lt;&gt;"",'DATA TILL SLU'!$J$3,"")</f>
        <v/>
      </c>
      <c r="C20" s="2" t="str">
        <f>IF(D20&lt;&gt;"",'DATA TILL SLU'!$K$3,"")</f>
        <v/>
      </c>
      <c r="D20" s="2" t="str">
        <f>IF(OR(ROW(D19)-ROW(D$1)+1&lt;=MAX(Beräkningshjälp!$F$37:$F$54),ROW(D19)-ROW(D$1)+1&lt;=ROUND((MAX(Beräkningshjälp!AB$3:AB$1082)+4)/10,0)-1),D$2,"")</f>
        <v/>
      </c>
      <c r="E20" s="136" t="str">
        <f>IF(D20&lt;&gt;"",IF(COUNTIF(Beräkningshjälp!F$38:F$49,"&gt;0")&gt;=ROW(E19)-ROW(E$1)+1,VLOOKUP((VLOOKUP(ROW(E19)-ROW(E$1)+1,Beräkningshjälp!$F$37:$H$54,IF(ISNUMBER(VLOOKUP(ROW(E19)-ROW(E$1)+1,Beräkningshjälp!$F$37:$H$54,2,FALSE)),2,3),FALSE)),Beräkningshjälp!$M$2:$O$60,3,FALSE),VLOOKUP((ROW(E19)-ROW(E$1)+1)*10+1,Beräkningshjälp!$AB$2:$AF$1082,5,FALSE)),"")</f>
        <v/>
      </c>
      <c r="F20" s="2" t="str">
        <f>IF(D20&lt;&gt;"",Beräkningshjälp!$AH$1,"")</f>
        <v/>
      </c>
      <c r="G20" s="136" t="str">
        <f>IF(D20&lt;&gt;"",IF(COUNTIF(Beräkningshjälp!F$38:F$49,"&gt;0")&gt;=ROW(E19)-ROW(E$1)+1,"INGA",IF(COUNTIF(Beräkningshjälp!$G$38:$H$49,VLOOKUP(E20,Beräkningshjälp!$AF$2:$AG$1082,2,FALSE))&gt;0,"ENSTAK",IF(VLOOKUP(VLOOKUP(E20,Beräkningshjälp!O$2:U$60,7,FALSE),Artuppgifter!$I$11:$P$22,7,FALSE)=TRUE,"MINMAX","ALLA"))),"")</f>
        <v/>
      </c>
      <c r="H20" s="2" t="str">
        <f>IF($E20&lt;&gt;"",IF(AND($E20&lt;&gt;"EJFANGST",$G20&lt;&gt;"INGA"),IF(ISNUMBER(VLOOKUP((ROW($H19)-ROW($H$1)+1)*10+COLUMN(H$1)-COLUMN($H$1)+1,Beräkningshjälp!$AB$2:$AI$1082,7,FALSE)),VLOOKUP((ROW($H19)-ROW($H$1)+1)*10+COLUMN(H$1)-COLUMN($H$1)+1,Beräkningshjälp!$AB$2:$AI$1082,7,FALSE),IF(E20&gt;0,-VLOOKUP((ROW($H19)-ROW($H$1)+1)*10+COLUMN(H$1)-COLUMN($H$1)+1,Beräkningshjälp!$AB$2:$AI$1082,3,FALSE),0)),0),"")</f>
        <v/>
      </c>
      <c r="I20" s="2" t="str">
        <f>IF($E20&lt;&gt;"",IF(AND($E20&lt;&gt;"EJFANGST",$G20&lt;&gt;"INGA"),IF(ISNUMBER(VLOOKUP((ROW($H19)-ROW($H$1)+1)*10+COLUMN(I$1)-COLUMN($H$1)+1,Beräkningshjälp!$AB$2:$AI$1082,7,FALSE)),VLOOKUP((ROW($H19)-ROW($H$1)+1)*10+COLUMN(I$1)-COLUMN($H$1)+1,Beräkningshjälp!$AB$2:$AI$1082,7,FALSE),IF(H20&gt;0,-VLOOKUP((ROW($H19)-ROW($H$1)+1)*10+COLUMN(I$1)-COLUMN($H$1)+1,Beräkningshjälp!$AB$2:$AI$1082,3,FALSE),0)),0),"")</f>
        <v/>
      </c>
      <c r="J20" s="2" t="str">
        <f>IF($E20&lt;&gt;"",IF(AND($E20&lt;&gt;"EJFANGST",$G20&lt;&gt;"INGA"),IF(ISNUMBER(VLOOKUP((ROW($H19)-ROW($H$1)+1)*10+COLUMN(J$1)-COLUMN($H$1)+1,Beräkningshjälp!$AB$2:$AI$1082,7,FALSE)),VLOOKUP((ROW($H19)-ROW($H$1)+1)*10+COLUMN(J$1)-COLUMN($H$1)+1,Beräkningshjälp!$AB$2:$AI$1082,7,FALSE),IF(I20&gt;0,-VLOOKUP((ROW($H19)-ROW($H$1)+1)*10+COLUMN(J$1)-COLUMN($H$1)+1,Beräkningshjälp!$AB$2:$AI$1082,3,FALSE),0)),0),"")</f>
        <v/>
      </c>
      <c r="K20" s="2" t="str">
        <f>IF($E20&lt;&gt;"",IF(AND($E20&lt;&gt;"EJFANGST",$G20&lt;&gt;"INGA"),IF(ISNUMBER(VLOOKUP((ROW($H19)-ROW($H$1)+1)*10+COLUMN(K$1)-COLUMN($H$1)+1,Beräkningshjälp!$AB$2:$AI$1082,7,FALSE)),VLOOKUP((ROW($H19)-ROW($H$1)+1)*10+COLUMN(K$1)-COLUMN($H$1)+1,Beräkningshjälp!$AB$2:$AI$1082,7,FALSE),IF(J20&gt;0,-VLOOKUP((ROW($H19)-ROW($H$1)+1)*10+COLUMN(K$1)-COLUMN($H$1)+1,Beräkningshjälp!$AB$2:$AI$1082,3,FALSE),0)),0),"")</f>
        <v/>
      </c>
      <c r="L20" s="2" t="str">
        <f>IF($E20&lt;&gt;"",IF(AND($E20&lt;&gt;"EJFANGST",$G20&lt;&gt;"INGA"),IF(ISNUMBER(VLOOKUP((ROW($H19)-ROW($H$1)+1)*10+COLUMN(L$1)-COLUMN($H$1)+1,Beräkningshjälp!$AB$2:$AI$1082,7,FALSE)),VLOOKUP((ROW($H19)-ROW($H$1)+1)*10+COLUMN(L$1)-COLUMN($H$1)+1,Beräkningshjälp!$AB$2:$AI$1082,7,FALSE),IF(K20&gt;0,-VLOOKUP((ROW($H19)-ROW($H$1)+1)*10+COLUMN(L$1)-COLUMN($H$1)+1,Beräkningshjälp!$AB$2:$AI$1082,3,FALSE),0)),0),"")</f>
        <v/>
      </c>
      <c r="M20" s="2" t="str">
        <f>IF($E20&lt;&gt;"",IF(AND($E20&lt;&gt;"EJFANGST",$G20&lt;&gt;"INGA"),IF(ISNUMBER(VLOOKUP((ROW($H19)-ROW($H$1)+1)*10+COLUMN(M$1)-COLUMN($H$1)+1,Beräkningshjälp!$AB$2:$AI$1082,7,FALSE)),VLOOKUP((ROW($H19)-ROW($H$1)+1)*10+COLUMN(M$1)-COLUMN($H$1)+1,Beräkningshjälp!$AB$2:$AI$1082,7,FALSE),IF(L20&gt;0,-VLOOKUP((ROW($H19)-ROW($H$1)+1)*10+COLUMN(M$1)-COLUMN($H$1)+1,Beräkningshjälp!$AB$2:$AI$1082,3,FALSE),0)),0),"")</f>
        <v/>
      </c>
      <c r="N20" s="2" t="str">
        <f>IF($E20&lt;&gt;"",IF(AND($E20&lt;&gt;"EJFANGST",$G20&lt;&gt;"INGA"),IF(ISNUMBER(VLOOKUP((ROW($H19)-ROW($H$1)+1)*10+COLUMN(N$1)-COLUMN($H$1)+1,Beräkningshjälp!$AB$2:$AI$1082,7,FALSE)),VLOOKUP((ROW($H19)-ROW($H$1)+1)*10+COLUMN(N$1)-COLUMN($H$1)+1,Beräkningshjälp!$AB$2:$AI$1082,7,FALSE),IF(M20&gt;0,-VLOOKUP((ROW($H19)-ROW($H$1)+1)*10+COLUMN(N$1)-COLUMN($H$1)+1,Beräkningshjälp!$AB$2:$AI$1082,3,FALSE),0)),0),"")</f>
        <v/>
      </c>
      <c r="O20" s="2" t="str">
        <f>IF($E20&lt;&gt;"",IF(AND($E20&lt;&gt;"EJFANGST",$G20&lt;&gt;"INGA"),IF(ISNUMBER(VLOOKUP((ROW($H19)-ROW($H$1)+1)*10+COLUMN(O$1)-COLUMN($H$1)+1,Beräkningshjälp!$AB$2:$AI$1082,7,FALSE)),VLOOKUP((ROW($H19)-ROW($H$1)+1)*10+COLUMN(O$1)-COLUMN($H$1)+1,Beräkningshjälp!$AB$2:$AI$1082,7,FALSE),IF(N20&gt;0,-VLOOKUP((ROW($H19)-ROW($H$1)+1)*10+COLUMN(O$1)-COLUMN($H$1)+1,Beräkningshjälp!$AB$2:$AI$1082,3,FALSE),0)),0),"")</f>
        <v/>
      </c>
      <c r="P20" s="2" t="str">
        <f>IF($E20&lt;&gt;"",IF(AND($E20&lt;&gt;"EJFANGST",$G20&lt;&gt;"INGA"),IF(ISNUMBER(VLOOKUP((ROW($H19)-ROW($H$1)+1)*10+COLUMN(P$1)-COLUMN($H$1)+1,Beräkningshjälp!$AB$2:$AI$1082,7,FALSE)),VLOOKUP((ROW($H19)-ROW($H$1)+1)*10+COLUMN(P$1)-COLUMN($H$1)+1,Beräkningshjälp!$AB$2:$AI$1082,7,FALSE),IF(O20&gt;0,-VLOOKUP((ROW($H19)-ROW($H$1)+1)*10+COLUMN(P$1)-COLUMN($H$1)+1,Beräkningshjälp!$AB$2:$AI$1082,3,FALSE),0)),0),"")</f>
        <v/>
      </c>
      <c r="Q20" s="2" t="str">
        <f>IF($E20&lt;&gt;"",IF(AND($E20&lt;&gt;"EJFANGST",$G20&lt;&gt;"INGA"),IF(ISNUMBER(VLOOKUP((ROW($H19)-ROW($H$1)+1)*10+COLUMN(Q$1)-COLUMN($H$1)+1,Beräkningshjälp!$AB$2:$AI$1082,7,FALSE)),VLOOKUP((ROW($H19)-ROW($H$1)+1)*10+COLUMN(Q$1)-COLUMN($H$1)+1,Beräkningshjälp!$AB$2:$AI$1082,7,FALSE),IF(P20&gt;0,-VLOOKUP((ROW($H19)-ROW($H$1)+1)*10+COLUMN(Q$1)-COLUMN($H$1)+1,Beräkningshjälp!$AB$2:$AI$1082,3,FALSE),0)),0),"")</f>
        <v/>
      </c>
      <c r="R20" s="116" t="str">
        <f>IF(COUNTIF(H20:Q20,"&gt;0")&gt;0,IF($E20&lt;&gt;"",IF(AND($E20&lt;&gt;"EJFANGST",$G20&lt;&gt;"INGA"),IF(ISNUMBER(VLOOKUP((ROW($H19)-ROW($H$1)+1)*10+COLUMN(H$1)-COLUMN($H$1)+1,Beräkningshjälp!$AB$2:$AI$1082,7,FALSE)),VLOOKUP((ROW($H19)-ROW($H$1)+1)*10+COLUMN(H$1)-COLUMN($H$1)+1,Beräkningshjälp!$AB$2:$AI$1082,3,FALSE),""),""),""),"")</f>
        <v/>
      </c>
    </row>
    <row r="21" spans="1:18" x14ac:dyDescent="0.25">
      <c r="A21" s="2" t="str">
        <f t="shared" si="0"/>
        <v/>
      </c>
      <c r="B21" s="2" t="str">
        <f>IF(D21&lt;&gt;"",'DATA TILL SLU'!$J$3,"")</f>
        <v/>
      </c>
      <c r="C21" s="2" t="str">
        <f>IF(D21&lt;&gt;"",'DATA TILL SLU'!$K$3,"")</f>
        <v/>
      </c>
      <c r="D21" s="2" t="str">
        <f>IF(OR(ROW(D20)-ROW(D$1)+1&lt;=MAX(Beräkningshjälp!$F$37:$F$54),ROW(D20)-ROW(D$1)+1&lt;=ROUND((MAX(Beräkningshjälp!AB$3:AB$1082)+4)/10,0)-1),D$2,"")</f>
        <v/>
      </c>
      <c r="E21" s="136" t="str">
        <f>IF(D21&lt;&gt;"",IF(COUNTIF(Beräkningshjälp!F$38:F$49,"&gt;0")&gt;=ROW(E20)-ROW(E$1)+1,VLOOKUP((VLOOKUP(ROW(E20)-ROW(E$1)+1,Beräkningshjälp!$F$37:$H$54,IF(ISNUMBER(VLOOKUP(ROW(E20)-ROW(E$1)+1,Beräkningshjälp!$F$37:$H$54,2,FALSE)),2,3),FALSE)),Beräkningshjälp!$M$2:$O$60,3,FALSE),VLOOKUP((ROW(E20)-ROW(E$1)+1)*10+1,Beräkningshjälp!$AB$2:$AF$1082,5,FALSE)),"")</f>
        <v/>
      </c>
      <c r="F21" s="2" t="str">
        <f>IF(D21&lt;&gt;"",Beräkningshjälp!$AH$1,"")</f>
        <v/>
      </c>
      <c r="G21" s="136" t="str">
        <f>IF(D21&lt;&gt;"",IF(COUNTIF(Beräkningshjälp!F$38:F$49,"&gt;0")&gt;=ROW(E20)-ROW(E$1)+1,"INGA",IF(COUNTIF(Beräkningshjälp!$G$38:$H$49,VLOOKUP(E21,Beräkningshjälp!$AF$2:$AG$1082,2,FALSE))&gt;0,"ENSTAK",IF(VLOOKUP(VLOOKUP(E21,Beräkningshjälp!O$2:U$60,7,FALSE),Artuppgifter!$I$11:$P$22,7,FALSE)=TRUE,"MINMAX","ALLA"))),"")</f>
        <v/>
      </c>
      <c r="H21" s="2" t="str">
        <f>IF($E21&lt;&gt;"",IF(AND($E21&lt;&gt;"EJFANGST",$G21&lt;&gt;"INGA"),IF(ISNUMBER(VLOOKUP((ROW($H20)-ROW($H$1)+1)*10+COLUMN(H$1)-COLUMN($H$1)+1,Beräkningshjälp!$AB$2:$AI$1082,7,FALSE)),VLOOKUP((ROW($H20)-ROW($H$1)+1)*10+COLUMN(H$1)-COLUMN($H$1)+1,Beräkningshjälp!$AB$2:$AI$1082,7,FALSE),IF(E21&gt;0,-VLOOKUP((ROW($H20)-ROW($H$1)+1)*10+COLUMN(H$1)-COLUMN($H$1)+1,Beräkningshjälp!$AB$2:$AI$1082,3,FALSE),0)),0),"")</f>
        <v/>
      </c>
      <c r="I21" s="2" t="str">
        <f>IF($E21&lt;&gt;"",IF(AND($E21&lt;&gt;"EJFANGST",$G21&lt;&gt;"INGA"),IF(ISNUMBER(VLOOKUP((ROW($H20)-ROW($H$1)+1)*10+COLUMN(I$1)-COLUMN($H$1)+1,Beräkningshjälp!$AB$2:$AI$1082,7,FALSE)),VLOOKUP((ROW($H20)-ROW($H$1)+1)*10+COLUMN(I$1)-COLUMN($H$1)+1,Beräkningshjälp!$AB$2:$AI$1082,7,FALSE),IF(H21&gt;0,-VLOOKUP((ROW($H20)-ROW($H$1)+1)*10+COLUMN(I$1)-COLUMN($H$1)+1,Beräkningshjälp!$AB$2:$AI$1082,3,FALSE),0)),0),"")</f>
        <v/>
      </c>
      <c r="J21" s="2" t="str">
        <f>IF($E21&lt;&gt;"",IF(AND($E21&lt;&gt;"EJFANGST",$G21&lt;&gt;"INGA"),IF(ISNUMBER(VLOOKUP((ROW($H20)-ROW($H$1)+1)*10+COLUMN(J$1)-COLUMN($H$1)+1,Beräkningshjälp!$AB$2:$AI$1082,7,FALSE)),VLOOKUP((ROW($H20)-ROW($H$1)+1)*10+COLUMN(J$1)-COLUMN($H$1)+1,Beräkningshjälp!$AB$2:$AI$1082,7,FALSE),IF(I21&gt;0,-VLOOKUP((ROW($H20)-ROW($H$1)+1)*10+COLUMN(J$1)-COLUMN($H$1)+1,Beräkningshjälp!$AB$2:$AI$1082,3,FALSE),0)),0),"")</f>
        <v/>
      </c>
      <c r="K21" s="2" t="str">
        <f>IF($E21&lt;&gt;"",IF(AND($E21&lt;&gt;"EJFANGST",$G21&lt;&gt;"INGA"),IF(ISNUMBER(VLOOKUP((ROW($H20)-ROW($H$1)+1)*10+COLUMN(K$1)-COLUMN($H$1)+1,Beräkningshjälp!$AB$2:$AI$1082,7,FALSE)),VLOOKUP((ROW($H20)-ROW($H$1)+1)*10+COLUMN(K$1)-COLUMN($H$1)+1,Beräkningshjälp!$AB$2:$AI$1082,7,FALSE),IF(J21&gt;0,-VLOOKUP((ROW($H20)-ROW($H$1)+1)*10+COLUMN(K$1)-COLUMN($H$1)+1,Beräkningshjälp!$AB$2:$AI$1082,3,FALSE),0)),0),"")</f>
        <v/>
      </c>
      <c r="L21" s="2" t="str">
        <f>IF($E21&lt;&gt;"",IF(AND($E21&lt;&gt;"EJFANGST",$G21&lt;&gt;"INGA"),IF(ISNUMBER(VLOOKUP((ROW($H20)-ROW($H$1)+1)*10+COLUMN(L$1)-COLUMN($H$1)+1,Beräkningshjälp!$AB$2:$AI$1082,7,FALSE)),VLOOKUP((ROW($H20)-ROW($H$1)+1)*10+COLUMN(L$1)-COLUMN($H$1)+1,Beräkningshjälp!$AB$2:$AI$1082,7,FALSE),IF(K21&gt;0,-VLOOKUP((ROW($H20)-ROW($H$1)+1)*10+COLUMN(L$1)-COLUMN($H$1)+1,Beräkningshjälp!$AB$2:$AI$1082,3,FALSE),0)),0),"")</f>
        <v/>
      </c>
      <c r="M21" s="2" t="str">
        <f>IF($E21&lt;&gt;"",IF(AND($E21&lt;&gt;"EJFANGST",$G21&lt;&gt;"INGA"),IF(ISNUMBER(VLOOKUP((ROW($H20)-ROW($H$1)+1)*10+COLUMN(M$1)-COLUMN($H$1)+1,Beräkningshjälp!$AB$2:$AI$1082,7,FALSE)),VLOOKUP((ROW($H20)-ROW($H$1)+1)*10+COLUMN(M$1)-COLUMN($H$1)+1,Beräkningshjälp!$AB$2:$AI$1082,7,FALSE),IF(L21&gt;0,-VLOOKUP((ROW($H20)-ROW($H$1)+1)*10+COLUMN(M$1)-COLUMN($H$1)+1,Beräkningshjälp!$AB$2:$AI$1082,3,FALSE),0)),0),"")</f>
        <v/>
      </c>
      <c r="N21" s="2" t="str">
        <f>IF($E21&lt;&gt;"",IF(AND($E21&lt;&gt;"EJFANGST",$G21&lt;&gt;"INGA"),IF(ISNUMBER(VLOOKUP((ROW($H20)-ROW($H$1)+1)*10+COLUMN(N$1)-COLUMN($H$1)+1,Beräkningshjälp!$AB$2:$AI$1082,7,FALSE)),VLOOKUP((ROW($H20)-ROW($H$1)+1)*10+COLUMN(N$1)-COLUMN($H$1)+1,Beräkningshjälp!$AB$2:$AI$1082,7,FALSE),IF(M21&gt;0,-VLOOKUP((ROW($H20)-ROW($H$1)+1)*10+COLUMN(N$1)-COLUMN($H$1)+1,Beräkningshjälp!$AB$2:$AI$1082,3,FALSE),0)),0),"")</f>
        <v/>
      </c>
      <c r="O21" s="2" t="str">
        <f>IF($E21&lt;&gt;"",IF(AND($E21&lt;&gt;"EJFANGST",$G21&lt;&gt;"INGA"),IF(ISNUMBER(VLOOKUP((ROW($H20)-ROW($H$1)+1)*10+COLUMN(O$1)-COLUMN($H$1)+1,Beräkningshjälp!$AB$2:$AI$1082,7,FALSE)),VLOOKUP((ROW($H20)-ROW($H$1)+1)*10+COLUMN(O$1)-COLUMN($H$1)+1,Beräkningshjälp!$AB$2:$AI$1082,7,FALSE),IF(N21&gt;0,-VLOOKUP((ROW($H20)-ROW($H$1)+1)*10+COLUMN(O$1)-COLUMN($H$1)+1,Beräkningshjälp!$AB$2:$AI$1082,3,FALSE),0)),0),"")</f>
        <v/>
      </c>
      <c r="P21" s="2" t="str">
        <f>IF($E21&lt;&gt;"",IF(AND($E21&lt;&gt;"EJFANGST",$G21&lt;&gt;"INGA"),IF(ISNUMBER(VLOOKUP((ROW($H20)-ROW($H$1)+1)*10+COLUMN(P$1)-COLUMN($H$1)+1,Beräkningshjälp!$AB$2:$AI$1082,7,FALSE)),VLOOKUP((ROW($H20)-ROW($H$1)+1)*10+COLUMN(P$1)-COLUMN($H$1)+1,Beräkningshjälp!$AB$2:$AI$1082,7,FALSE),IF(O21&gt;0,-VLOOKUP((ROW($H20)-ROW($H$1)+1)*10+COLUMN(P$1)-COLUMN($H$1)+1,Beräkningshjälp!$AB$2:$AI$1082,3,FALSE),0)),0),"")</f>
        <v/>
      </c>
      <c r="Q21" s="2" t="str">
        <f>IF($E21&lt;&gt;"",IF(AND($E21&lt;&gt;"EJFANGST",$G21&lt;&gt;"INGA"),IF(ISNUMBER(VLOOKUP((ROW($H20)-ROW($H$1)+1)*10+COLUMN(Q$1)-COLUMN($H$1)+1,Beräkningshjälp!$AB$2:$AI$1082,7,FALSE)),VLOOKUP((ROW($H20)-ROW($H$1)+1)*10+COLUMN(Q$1)-COLUMN($H$1)+1,Beräkningshjälp!$AB$2:$AI$1082,7,FALSE),IF(P21&gt;0,-VLOOKUP((ROW($H20)-ROW($H$1)+1)*10+COLUMN(Q$1)-COLUMN($H$1)+1,Beräkningshjälp!$AB$2:$AI$1082,3,FALSE),0)),0),"")</f>
        <v/>
      </c>
      <c r="R21" s="116" t="str">
        <f>IF(COUNTIF(H21:Q21,"&gt;0")&gt;0,IF($E21&lt;&gt;"",IF(AND($E21&lt;&gt;"EJFANGST",$G21&lt;&gt;"INGA"),IF(ISNUMBER(VLOOKUP((ROW($H20)-ROW($H$1)+1)*10+COLUMN(H$1)-COLUMN($H$1)+1,Beräkningshjälp!$AB$2:$AI$1082,7,FALSE)),VLOOKUP((ROW($H20)-ROW($H$1)+1)*10+COLUMN(H$1)-COLUMN($H$1)+1,Beräkningshjälp!$AB$2:$AI$1082,3,FALSE),""),""),""),"")</f>
        <v/>
      </c>
    </row>
    <row r="22" spans="1:18" x14ac:dyDescent="0.25">
      <c r="A22" s="2" t="str">
        <f t="shared" si="0"/>
        <v/>
      </c>
      <c r="B22" s="2" t="str">
        <f>IF(D22&lt;&gt;"",'DATA TILL SLU'!$J$3,"")</f>
        <v/>
      </c>
      <c r="C22" s="2" t="str">
        <f>IF(D22&lt;&gt;"",'DATA TILL SLU'!$K$3,"")</f>
        <v/>
      </c>
      <c r="D22" s="2" t="str">
        <f>IF(OR(ROW(D21)-ROW(D$1)+1&lt;=MAX(Beräkningshjälp!$F$37:$F$54),ROW(D21)-ROW(D$1)+1&lt;=ROUND((MAX(Beräkningshjälp!AB$3:AB$1082)+4)/10,0)-1),D$2,"")</f>
        <v/>
      </c>
      <c r="E22" s="136" t="str">
        <f>IF(D22&lt;&gt;"",IF(COUNTIF(Beräkningshjälp!F$38:F$49,"&gt;0")&gt;=ROW(E21)-ROW(E$1)+1,VLOOKUP((VLOOKUP(ROW(E21)-ROW(E$1)+1,Beräkningshjälp!$F$37:$H$54,IF(ISNUMBER(VLOOKUP(ROW(E21)-ROW(E$1)+1,Beräkningshjälp!$F$37:$H$54,2,FALSE)),2,3),FALSE)),Beräkningshjälp!$M$2:$O$60,3,FALSE),VLOOKUP((ROW(E21)-ROW(E$1)+1)*10+1,Beräkningshjälp!$AB$2:$AF$1082,5,FALSE)),"")</f>
        <v/>
      </c>
      <c r="F22" s="2" t="str">
        <f>IF(D22&lt;&gt;"",Beräkningshjälp!$AH$1,"")</f>
        <v/>
      </c>
      <c r="G22" s="136" t="str">
        <f>IF(D22&lt;&gt;"",IF(COUNTIF(Beräkningshjälp!F$38:F$49,"&gt;0")&gt;=ROW(E21)-ROW(E$1)+1,"INGA",IF(COUNTIF(Beräkningshjälp!$G$38:$H$49,VLOOKUP(E22,Beräkningshjälp!$AF$2:$AG$1082,2,FALSE))&gt;0,"ENSTAK",IF(VLOOKUP(VLOOKUP(E22,Beräkningshjälp!O$2:U$60,7,FALSE),Artuppgifter!$I$11:$P$22,7,FALSE)=TRUE,"MINMAX","ALLA"))),"")</f>
        <v/>
      </c>
      <c r="H22" s="2" t="str">
        <f>IF($E22&lt;&gt;"",IF(AND($E22&lt;&gt;"EJFANGST",$G22&lt;&gt;"INGA"),IF(ISNUMBER(VLOOKUP((ROW($H21)-ROW($H$1)+1)*10+COLUMN(H$1)-COLUMN($H$1)+1,Beräkningshjälp!$AB$2:$AI$1082,7,FALSE)),VLOOKUP((ROW($H21)-ROW($H$1)+1)*10+COLUMN(H$1)-COLUMN($H$1)+1,Beräkningshjälp!$AB$2:$AI$1082,7,FALSE),IF(E22&gt;0,-VLOOKUP((ROW($H21)-ROW($H$1)+1)*10+COLUMN(H$1)-COLUMN($H$1)+1,Beräkningshjälp!$AB$2:$AI$1082,3,FALSE),0)),0),"")</f>
        <v/>
      </c>
      <c r="I22" s="2" t="str">
        <f>IF($E22&lt;&gt;"",IF(AND($E22&lt;&gt;"EJFANGST",$G22&lt;&gt;"INGA"),IF(ISNUMBER(VLOOKUP((ROW($H21)-ROW($H$1)+1)*10+COLUMN(I$1)-COLUMN($H$1)+1,Beräkningshjälp!$AB$2:$AI$1082,7,FALSE)),VLOOKUP((ROW($H21)-ROW($H$1)+1)*10+COLUMN(I$1)-COLUMN($H$1)+1,Beräkningshjälp!$AB$2:$AI$1082,7,FALSE),IF(H22&gt;0,-VLOOKUP((ROW($H21)-ROW($H$1)+1)*10+COLUMN(I$1)-COLUMN($H$1)+1,Beräkningshjälp!$AB$2:$AI$1082,3,FALSE),0)),0),"")</f>
        <v/>
      </c>
      <c r="J22" s="2" t="str">
        <f>IF($E22&lt;&gt;"",IF(AND($E22&lt;&gt;"EJFANGST",$G22&lt;&gt;"INGA"),IF(ISNUMBER(VLOOKUP((ROW($H21)-ROW($H$1)+1)*10+COLUMN(J$1)-COLUMN($H$1)+1,Beräkningshjälp!$AB$2:$AI$1082,7,FALSE)),VLOOKUP((ROW($H21)-ROW($H$1)+1)*10+COLUMN(J$1)-COLUMN($H$1)+1,Beräkningshjälp!$AB$2:$AI$1082,7,FALSE),IF(I22&gt;0,-VLOOKUP((ROW($H21)-ROW($H$1)+1)*10+COLUMN(J$1)-COLUMN($H$1)+1,Beräkningshjälp!$AB$2:$AI$1082,3,FALSE),0)),0),"")</f>
        <v/>
      </c>
      <c r="K22" s="2" t="str">
        <f>IF($E22&lt;&gt;"",IF(AND($E22&lt;&gt;"EJFANGST",$G22&lt;&gt;"INGA"),IF(ISNUMBER(VLOOKUP((ROW($H21)-ROW($H$1)+1)*10+COLUMN(K$1)-COLUMN($H$1)+1,Beräkningshjälp!$AB$2:$AI$1082,7,FALSE)),VLOOKUP((ROW($H21)-ROW($H$1)+1)*10+COLUMN(K$1)-COLUMN($H$1)+1,Beräkningshjälp!$AB$2:$AI$1082,7,FALSE),IF(J22&gt;0,-VLOOKUP((ROW($H21)-ROW($H$1)+1)*10+COLUMN(K$1)-COLUMN($H$1)+1,Beräkningshjälp!$AB$2:$AI$1082,3,FALSE),0)),0),"")</f>
        <v/>
      </c>
      <c r="L22" s="2" t="str">
        <f>IF($E22&lt;&gt;"",IF(AND($E22&lt;&gt;"EJFANGST",$G22&lt;&gt;"INGA"),IF(ISNUMBER(VLOOKUP((ROW($H21)-ROW($H$1)+1)*10+COLUMN(L$1)-COLUMN($H$1)+1,Beräkningshjälp!$AB$2:$AI$1082,7,FALSE)),VLOOKUP((ROW($H21)-ROW($H$1)+1)*10+COLUMN(L$1)-COLUMN($H$1)+1,Beräkningshjälp!$AB$2:$AI$1082,7,FALSE),IF(K22&gt;0,-VLOOKUP((ROW($H21)-ROW($H$1)+1)*10+COLUMN(L$1)-COLUMN($H$1)+1,Beräkningshjälp!$AB$2:$AI$1082,3,FALSE),0)),0),"")</f>
        <v/>
      </c>
      <c r="M22" s="2" t="str">
        <f>IF($E22&lt;&gt;"",IF(AND($E22&lt;&gt;"EJFANGST",$G22&lt;&gt;"INGA"),IF(ISNUMBER(VLOOKUP((ROW($H21)-ROW($H$1)+1)*10+COLUMN(M$1)-COLUMN($H$1)+1,Beräkningshjälp!$AB$2:$AI$1082,7,FALSE)),VLOOKUP((ROW($H21)-ROW($H$1)+1)*10+COLUMN(M$1)-COLUMN($H$1)+1,Beräkningshjälp!$AB$2:$AI$1082,7,FALSE),IF(L22&gt;0,-VLOOKUP((ROW($H21)-ROW($H$1)+1)*10+COLUMN(M$1)-COLUMN($H$1)+1,Beräkningshjälp!$AB$2:$AI$1082,3,FALSE),0)),0),"")</f>
        <v/>
      </c>
      <c r="N22" s="2" t="str">
        <f>IF($E22&lt;&gt;"",IF(AND($E22&lt;&gt;"EJFANGST",$G22&lt;&gt;"INGA"),IF(ISNUMBER(VLOOKUP((ROW($H21)-ROW($H$1)+1)*10+COLUMN(N$1)-COLUMN($H$1)+1,Beräkningshjälp!$AB$2:$AI$1082,7,FALSE)),VLOOKUP((ROW($H21)-ROW($H$1)+1)*10+COLUMN(N$1)-COLUMN($H$1)+1,Beräkningshjälp!$AB$2:$AI$1082,7,FALSE),IF(M22&gt;0,-VLOOKUP((ROW($H21)-ROW($H$1)+1)*10+COLUMN(N$1)-COLUMN($H$1)+1,Beräkningshjälp!$AB$2:$AI$1082,3,FALSE),0)),0),"")</f>
        <v/>
      </c>
      <c r="O22" s="2" t="str">
        <f>IF($E22&lt;&gt;"",IF(AND($E22&lt;&gt;"EJFANGST",$G22&lt;&gt;"INGA"),IF(ISNUMBER(VLOOKUP((ROW($H21)-ROW($H$1)+1)*10+COLUMN(O$1)-COLUMN($H$1)+1,Beräkningshjälp!$AB$2:$AI$1082,7,FALSE)),VLOOKUP((ROW($H21)-ROW($H$1)+1)*10+COLUMN(O$1)-COLUMN($H$1)+1,Beräkningshjälp!$AB$2:$AI$1082,7,FALSE),IF(N22&gt;0,-VLOOKUP((ROW($H21)-ROW($H$1)+1)*10+COLUMN(O$1)-COLUMN($H$1)+1,Beräkningshjälp!$AB$2:$AI$1082,3,FALSE),0)),0),"")</f>
        <v/>
      </c>
      <c r="P22" s="2" t="str">
        <f>IF($E22&lt;&gt;"",IF(AND($E22&lt;&gt;"EJFANGST",$G22&lt;&gt;"INGA"),IF(ISNUMBER(VLOOKUP((ROW($H21)-ROW($H$1)+1)*10+COLUMN(P$1)-COLUMN($H$1)+1,Beräkningshjälp!$AB$2:$AI$1082,7,FALSE)),VLOOKUP((ROW($H21)-ROW($H$1)+1)*10+COLUMN(P$1)-COLUMN($H$1)+1,Beräkningshjälp!$AB$2:$AI$1082,7,FALSE),IF(O22&gt;0,-VLOOKUP((ROW($H21)-ROW($H$1)+1)*10+COLUMN(P$1)-COLUMN($H$1)+1,Beräkningshjälp!$AB$2:$AI$1082,3,FALSE),0)),0),"")</f>
        <v/>
      </c>
      <c r="Q22" s="2" t="str">
        <f>IF($E22&lt;&gt;"",IF(AND($E22&lt;&gt;"EJFANGST",$G22&lt;&gt;"INGA"),IF(ISNUMBER(VLOOKUP((ROW($H21)-ROW($H$1)+1)*10+COLUMN(Q$1)-COLUMN($H$1)+1,Beräkningshjälp!$AB$2:$AI$1082,7,FALSE)),VLOOKUP((ROW($H21)-ROW($H$1)+1)*10+COLUMN(Q$1)-COLUMN($H$1)+1,Beräkningshjälp!$AB$2:$AI$1082,7,FALSE),IF(P22&gt;0,-VLOOKUP((ROW($H21)-ROW($H$1)+1)*10+COLUMN(Q$1)-COLUMN($H$1)+1,Beräkningshjälp!$AB$2:$AI$1082,3,FALSE),0)),0),"")</f>
        <v/>
      </c>
      <c r="R22" s="116" t="str">
        <f>IF(COUNTIF(H22:Q22,"&gt;0")&gt;0,IF($E22&lt;&gt;"",IF(AND($E22&lt;&gt;"EJFANGST",$G22&lt;&gt;"INGA"),IF(ISNUMBER(VLOOKUP((ROW($H21)-ROW($H$1)+1)*10+COLUMN(H$1)-COLUMN($H$1)+1,Beräkningshjälp!$AB$2:$AI$1082,7,FALSE)),VLOOKUP((ROW($H21)-ROW($H$1)+1)*10+COLUMN(H$1)-COLUMN($H$1)+1,Beräkningshjälp!$AB$2:$AI$1082,3,FALSE),""),""),""),"")</f>
        <v/>
      </c>
    </row>
    <row r="23" spans="1:18" x14ac:dyDescent="0.25">
      <c r="A23" s="2" t="str">
        <f t="shared" si="0"/>
        <v/>
      </c>
      <c r="B23" s="2" t="str">
        <f>IF(D23&lt;&gt;"",'DATA TILL SLU'!$J$3,"")</f>
        <v/>
      </c>
      <c r="C23" s="2" t="str">
        <f>IF(D23&lt;&gt;"",'DATA TILL SLU'!$K$3,"")</f>
        <v/>
      </c>
      <c r="D23" s="2" t="str">
        <f>IF(OR(ROW(D22)-ROW(D$1)+1&lt;=MAX(Beräkningshjälp!$F$37:$F$54),ROW(D22)-ROW(D$1)+1&lt;=ROUND((MAX(Beräkningshjälp!AB$3:AB$1082)+4)/10,0)-1),D$2,"")</f>
        <v/>
      </c>
      <c r="E23" s="136" t="str">
        <f>IF(D23&lt;&gt;"",IF(COUNTIF(Beräkningshjälp!F$38:F$49,"&gt;0")&gt;=ROW(E22)-ROW(E$1)+1,VLOOKUP((VLOOKUP(ROW(E22)-ROW(E$1)+1,Beräkningshjälp!$F$37:$H$54,IF(ISNUMBER(VLOOKUP(ROW(E22)-ROW(E$1)+1,Beräkningshjälp!$F$37:$H$54,2,FALSE)),2,3),FALSE)),Beräkningshjälp!$M$2:$O$60,3,FALSE),VLOOKUP((ROW(E22)-ROW(E$1)+1)*10+1,Beräkningshjälp!$AB$2:$AF$1082,5,FALSE)),"")</f>
        <v/>
      </c>
      <c r="F23" s="2" t="str">
        <f>IF(D23&lt;&gt;"",Beräkningshjälp!$AH$1,"")</f>
        <v/>
      </c>
      <c r="G23" s="136" t="str">
        <f>IF(D23&lt;&gt;"",IF(COUNTIF(Beräkningshjälp!F$38:F$49,"&gt;0")&gt;=ROW(E22)-ROW(E$1)+1,"INGA",IF(COUNTIF(Beräkningshjälp!$G$38:$H$49,VLOOKUP(E23,Beräkningshjälp!$AF$2:$AG$1082,2,FALSE))&gt;0,"ENSTAK",IF(VLOOKUP(VLOOKUP(E23,Beräkningshjälp!O$2:U$60,7,FALSE),Artuppgifter!$I$11:$P$22,7,FALSE)=TRUE,"MINMAX","ALLA"))),"")</f>
        <v/>
      </c>
      <c r="H23" s="2" t="str">
        <f>IF($E23&lt;&gt;"",IF(AND($E23&lt;&gt;"EJFANGST",$G23&lt;&gt;"INGA"),IF(ISNUMBER(VLOOKUP((ROW($H22)-ROW($H$1)+1)*10+COLUMN(H$1)-COLUMN($H$1)+1,Beräkningshjälp!$AB$2:$AI$1082,7,FALSE)),VLOOKUP((ROW($H22)-ROW($H$1)+1)*10+COLUMN(H$1)-COLUMN($H$1)+1,Beräkningshjälp!$AB$2:$AI$1082,7,FALSE),IF(E23&gt;0,-VLOOKUP((ROW($H22)-ROW($H$1)+1)*10+COLUMN(H$1)-COLUMN($H$1)+1,Beräkningshjälp!$AB$2:$AI$1082,3,FALSE),0)),0),"")</f>
        <v/>
      </c>
      <c r="I23" s="2" t="str">
        <f>IF($E23&lt;&gt;"",IF(AND($E23&lt;&gt;"EJFANGST",$G23&lt;&gt;"INGA"),IF(ISNUMBER(VLOOKUP((ROW($H22)-ROW($H$1)+1)*10+COLUMN(I$1)-COLUMN($H$1)+1,Beräkningshjälp!$AB$2:$AI$1082,7,FALSE)),VLOOKUP((ROW($H22)-ROW($H$1)+1)*10+COLUMN(I$1)-COLUMN($H$1)+1,Beräkningshjälp!$AB$2:$AI$1082,7,FALSE),IF(H23&gt;0,-VLOOKUP((ROW($H22)-ROW($H$1)+1)*10+COLUMN(I$1)-COLUMN($H$1)+1,Beräkningshjälp!$AB$2:$AI$1082,3,FALSE),0)),0),"")</f>
        <v/>
      </c>
      <c r="J23" s="2" t="str">
        <f>IF($E23&lt;&gt;"",IF(AND($E23&lt;&gt;"EJFANGST",$G23&lt;&gt;"INGA"),IF(ISNUMBER(VLOOKUP((ROW($H22)-ROW($H$1)+1)*10+COLUMN(J$1)-COLUMN($H$1)+1,Beräkningshjälp!$AB$2:$AI$1082,7,FALSE)),VLOOKUP((ROW($H22)-ROW($H$1)+1)*10+COLUMN(J$1)-COLUMN($H$1)+1,Beräkningshjälp!$AB$2:$AI$1082,7,FALSE),IF(I23&gt;0,-VLOOKUP((ROW($H22)-ROW($H$1)+1)*10+COLUMN(J$1)-COLUMN($H$1)+1,Beräkningshjälp!$AB$2:$AI$1082,3,FALSE),0)),0),"")</f>
        <v/>
      </c>
      <c r="K23" s="2" t="str">
        <f>IF($E23&lt;&gt;"",IF(AND($E23&lt;&gt;"EJFANGST",$G23&lt;&gt;"INGA"),IF(ISNUMBER(VLOOKUP((ROW($H22)-ROW($H$1)+1)*10+COLUMN(K$1)-COLUMN($H$1)+1,Beräkningshjälp!$AB$2:$AI$1082,7,FALSE)),VLOOKUP((ROW($H22)-ROW($H$1)+1)*10+COLUMN(K$1)-COLUMN($H$1)+1,Beräkningshjälp!$AB$2:$AI$1082,7,FALSE),IF(J23&gt;0,-VLOOKUP((ROW($H22)-ROW($H$1)+1)*10+COLUMN(K$1)-COLUMN($H$1)+1,Beräkningshjälp!$AB$2:$AI$1082,3,FALSE),0)),0),"")</f>
        <v/>
      </c>
      <c r="L23" s="2" t="str">
        <f>IF($E23&lt;&gt;"",IF(AND($E23&lt;&gt;"EJFANGST",$G23&lt;&gt;"INGA"),IF(ISNUMBER(VLOOKUP((ROW($H22)-ROW($H$1)+1)*10+COLUMN(L$1)-COLUMN($H$1)+1,Beräkningshjälp!$AB$2:$AI$1082,7,FALSE)),VLOOKUP((ROW($H22)-ROW($H$1)+1)*10+COLUMN(L$1)-COLUMN($H$1)+1,Beräkningshjälp!$AB$2:$AI$1082,7,FALSE),IF(K23&gt;0,-VLOOKUP((ROW($H22)-ROW($H$1)+1)*10+COLUMN(L$1)-COLUMN($H$1)+1,Beräkningshjälp!$AB$2:$AI$1082,3,FALSE),0)),0),"")</f>
        <v/>
      </c>
      <c r="M23" s="2" t="str">
        <f>IF($E23&lt;&gt;"",IF(AND($E23&lt;&gt;"EJFANGST",$G23&lt;&gt;"INGA"),IF(ISNUMBER(VLOOKUP((ROW($H22)-ROW($H$1)+1)*10+COLUMN(M$1)-COLUMN($H$1)+1,Beräkningshjälp!$AB$2:$AI$1082,7,FALSE)),VLOOKUP((ROW($H22)-ROW($H$1)+1)*10+COLUMN(M$1)-COLUMN($H$1)+1,Beräkningshjälp!$AB$2:$AI$1082,7,FALSE),IF(L23&gt;0,-VLOOKUP((ROW($H22)-ROW($H$1)+1)*10+COLUMN(M$1)-COLUMN($H$1)+1,Beräkningshjälp!$AB$2:$AI$1082,3,FALSE),0)),0),"")</f>
        <v/>
      </c>
      <c r="N23" s="2" t="str">
        <f>IF($E23&lt;&gt;"",IF(AND($E23&lt;&gt;"EJFANGST",$G23&lt;&gt;"INGA"),IF(ISNUMBER(VLOOKUP((ROW($H22)-ROW($H$1)+1)*10+COLUMN(N$1)-COLUMN($H$1)+1,Beräkningshjälp!$AB$2:$AI$1082,7,FALSE)),VLOOKUP((ROW($H22)-ROW($H$1)+1)*10+COLUMN(N$1)-COLUMN($H$1)+1,Beräkningshjälp!$AB$2:$AI$1082,7,FALSE),IF(M23&gt;0,-VLOOKUP((ROW($H22)-ROW($H$1)+1)*10+COLUMN(N$1)-COLUMN($H$1)+1,Beräkningshjälp!$AB$2:$AI$1082,3,FALSE),0)),0),"")</f>
        <v/>
      </c>
      <c r="O23" s="2" t="str">
        <f>IF($E23&lt;&gt;"",IF(AND($E23&lt;&gt;"EJFANGST",$G23&lt;&gt;"INGA"),IF(ISNUMBER(VLOOKUP((ROW($H22)-ROW($H$1)+1)*10+COLUMN(O$1)-COLUMN($H$1)+1,Beräkningshjälp!$AB$2:$AI$1082,7,FALSE)),VLOOKUP((ROW($H22)-ROW($H$1)+1)*10+COLUMN(O$1)-COLUMN($H$1)+1,Beräkningshjälp!$AB$2:$AI$1082,7,FALSE),IF(N23&gt;0,-VLOOKUP((ROW($H22)-ROW($H$1)+1)*10+COLUMN(O$1)-COLUMN($H$1)+1,Beräkningshjälp!$AB$2:$AI$1082,3,FALSE),0)),0),"")</f>
        <v/>
      </c>
      <c r="P23" s="2" t="str">
        <f>IF($E23&lt;&gt;"",IF(AND($E23&lt;&gt;"EJFANGST",$G23&lt;&gt;"INGA"),IF(ISNUMBER(VLOOKUP((ROW($H22)-ROW($H$1)+1)*10+COLUMN(P$1)-COLUMN($H$1)+1,Beräkningshjälp!$AB$2:$AI$1082,7,FALSE)),VLOOKUP((ROW($H22)-ROW($H$1)+1)*10+COLUMN(P$1)-COLUMN($H$1)+1,Beräkningshjälp!$AB$2:$AI$1082,7,FALSE),IF(O23&gt;0,-VLOOKUP((ROW($H22)-ROW($H$1)+1)*10+COLUMN(P$1)-COLUMN($H$1)+1,Beräkningshjälp!$AB$2:$AI$1082,3,FALSE),0)),0),"")</f>
        <v/>
      </c>
      <c r="Q23" s="2" t="str">
        <f>IF($E23&lt;&gt;"",IF(AND($E23&lt;&gt;"EJFANGST",$G23&lt;&gt;"INGA"),IF(ISNUMBER(VLOOKUP((ROW($H22)-ROW($H$1)+1)*10+COLUMN(Q$1)-COLUMN($H$1)+1,Beräkningshjälp!$AB$2:$AI$1082,7,FALSE)),VLOOKUP((ROW($H22)-ROW($H$1)+1)*10+COLUMN(Q$1)-COLUMN($H$1)+1,Beräkningshjälp!$AB$2:$AI$1082,7,FALSE),IF(P23&gt;0,-VLOOKUP((ROW($H22)-ROW($H$1)+1)*10+COLUMN(Q$1)-COLUMN($H$1)+1,Beräkningshjälp!$AB$2:$AI$1082,3,FALSE),0)),0),"")</f>
        <v/>
      </c>
      <c r="R23" s="116" t="str">
        <f>IF(COUNTIF(H23:Q23,"&gt;0")&gt;0,IF($E23&lt;&gt;"",IF(AND($E23&lt;&gt;"EJFANGST",$G23&lt;&gt;"INGA"),IF(ISNUMBER(VLOOKUP((ROW($H22)-ROW($H$1)+1)*10+COLUMN(H$1)-COLUMN($H$1)+1,Beräkningshjälp!$AB$2:$AI$1082,7,FALSE)),VLOOKUP((ROW($H22)-ROW($H$1)+1)*10+COLUMN(H$1)-COLUMN($H$1)+1,Beräkningshjälp!$AB$2:$AI$1082,3,FALSE),""),""),""),"")</f>
        <v/>
      </c>
    </row>
    <row r="24" spans="1:18" x14ac:dyDescent="0.25">
      <c r="A24" s="2" t="str">
        <f t="shared" si="0"/>
        <v/>
      </c>
      <c r="B24" s="2" t="str">
        <f>IF(D24&lt;&gt;"",'DATA TILL SLU'!$J$3,"")</f>
        <v/>
      </c>
      <c r="C24" s="2" t="str">
        <f>IF(D24&lt;&gt;"",'DATA TILL SLU'!$K$3,"")</f>
        <v/>
      </c>
      <c r="D24" s="2" t="str">
        <f>IF(OR(ROW(D23)-ROW(D$1)+1&lt;=MAX(Beräkningshjälp!$F$37:$F$54),ROW(D23)-ROW(D$1)+1&lt;=ROUND((MAX(Beräkningshjälp!AB$3:AB$1082)+4)/10,0)-1),D$2,"")</f>
        <v/>
      </c>
      <c r="E24" s="136" t="str">
        <f>IF(D24&lt;&gt;"",IF(COUNTIF(Beräkningshjälp!F$38:F$49,"&gt;0")&gt;=ROW(E23)-ROW(E$1)+1,VLOOKUP((VLOOKUP(ROW(E23)-ROW(E$1)+1,Beräkningshjälp!$F$37:$H$54,IF(ISNUMBER(VLOOKUP(ROW(E23)-ROW(E$1)+1,Beräkningshjälp!$F$37:$H$54,2,FALSE)),2,3),FALSE)),Beräkningshjälp!$M$2:$O$60,3,FALSE),VLOOKUP((ROW(E23)-ROW(E$1)+1)*10+1,Beräkningshjälp!$AB$2:$AF$1082,5,FALSE)),"")</f>
        <v/>
      </c>
      <c r="F24" s="2" t="str">
        <f>IF(D24&lt;&gt;"",Beräkningshjälp!$AH$1,"")</f>
        <v/>
      </c>
      <c r="G24" s="136" t="str">
        <f>IF(D24&lt;&gt;"",IF(COUNTIF(Beräkningshjälp!F$38:F$49,"&gt;0")&gt;=ROW(E23)-ROW(E$1)+1,"INGA",IF(COUNTIF(Beräkningshjälp!$G$38:$H$49,VLOOKUP(E24,Beräkningshjälp!$AF$2:$AG$1082,2,FALSE))&gt;0,"ENSTAK",IF(VLOOKUP(VLOOKUP(E24,Beräkningshjälp!O$2:U$60,7,FALSE),Artuppgifter!$I$11:$P$22,7,FALSE)=TRUE,"MINMAX","ALLA"))),"")</f>
        <v/>
      </c>
      <c r="H24" s="2" t="str">
        <f>IF($E24&lt;&gt;"",IF(AND($E24&lt;&gt;"EJFANGST",$G24&lt;&gt;"INGA"),IF(ISNUMBER(VLOOKUP((ROW($H23)-ROW($H$1)+1)*10+COLUMN(H$1)-COLUMN($H$1)+1,Beräkningshjälp!$AB$2:$AI$1082,7,FALSE)),VLOOKUP((ROW($H23)-ROW($H$1)+1)*10+COLUMN(H$1)-COLUMN($H$1)+1,Beräkningshjälp!$AB$2:$AI$1082,7,FALSE),IF(E24&gt;0,-VLOOKUP((ROW($H23)-ROW($H$1)+1)*10+COLUMN(H$1)-COLUMN($H$1)+1,Beräkningshjälp!$AB$2:$AI$1082,3,FALSE),0)),0),"")</f>
        <v/>
      </c>
      <c r="I24" s="2" t="str">
        <f>IF($E24&lt;&gt;"",IF(AND($E24&lt;&gt;"EJFANGST",$G24&lt;&gt;"INGA"),IF(ISNUMBER(VLOOKUP((ROW($H23)-ROW($H$1)+1)*10+COLUMN(I$1)-COLUMN($H$1)+1,Beräkningshjälp!$AB$2:$AI$1082,7,FALSE)),VLOOKUP((ROW($H23)-ROW($H$1)+1)*10+COLUMN(I$1)-COLUMN($H$1)+1,Beräkningshjälp!$AB$2:$AI$1082,7,FALSE),IF(H24&gt;0,-VLOOKUP((ROW($H23)-ROW($H$1)+1)*10+COLUMN(I$1)-COLUMN($H$1)+1,Beräkningshjälp!$AB$2:$AI$1082,3,FALSE),0)),0),"")</f>
        <v/>
      </c>
      <c r="J24" s="2" t="str">
        <f>IF($E24&lt;&gt;"",IF(AND($E24&lt;&gt;"EJFANGST",$G24&lt;&gt;"INGA"),IF(ISNUMBER(VLOOKUP((ROW($H23)-ROW($H$1)+1)*10+COLUMN(J$1)-COLUMN($H$1)+1,Beräkningshjälp!$AB$2:$AI$1082,7,FALSE)),VLOOKUP((ROW($H23)-ROW($H$1)+1)*10+COLUMN(J$1)-COLUMN($H$1)+1,Beräkningshjälp!$AB$2:$AI$1082,7,FALSE),IF(I24&gt;0,-VLOOKUP((ROW($H23)-ROW($H$1)+1)*10+COLUMN(J$1)-COLUMN($H$1)+1,Beräkningshjälp!$AB$2:$AI$1082,3,FALSE),0)),0),"")</f>
        <v/>
      </c>
      <c r="K24" s="2" t="str">
        <f>IF($E24&lt;&gt;"",IF(AND($E24&lt;&gt;"EJFANGST",$G24&lt;&gt;"INGA"),IF(ISNUMBER(VLOOKUP((ROW($H23)-ROW($H$1)+1)*10+COLUMN(K$1)-COLUMN($H$1)+1,Beräkningshjälp!$AB$2:$AI$1082,7,FALSE)),VLOOKUP((ROW($H23)-ROW($H$1)+1)*10+COLUMN(K$1)-COLUMN($H$1)+1,Beräkningshjälp!$AB$2:$AI$1082,7,FALSE),IF(J24&gt;0,-VLOOKUP((ROW($H23)-ROW($H$1)+1)*10+COLUMN(K$1)-COLUMN($H$1)+1,Beräkningshjälp!$AB$2:$AI$1082,3,FALSE),0)),0),"")</f>
        <v/>
      </c>
      <c r="L24" s="2" t="str">
        <f>IF($E24&lt;&gt;"",IF(AND($E24&lt;&gt;"EJFANGST",$G24&lt;&gt;"INGA"),IF(ISNUMBER(VLOOKUP((ROW($H23)-ROW($H$1)+1)*10+COLUMN(L$1)-COLUMN($H$1)+1,Beräkningshjälp!$AB$2:$AI$1082,7,FALSE)),VLOOKUP((ROW($H23)-ROW($H$1)+1)*10+COLUMN(L$1)-COLUMN($H$1)+1,Beräkningshjälp!$AB$2:$AI$1082,7,FALSE),IF(K24&gt;0,-VLOOKUP((ROW($H23)-ROW($H$1)+1)*10+COLUMN(L$1)-COLUMN($H$1)+1,Beräkningshjälp!$AB$2:$AI$1082,3,FALSE),0)),0),"")</f>
        <v/>
      </c>
      <c r="M24" s="2" t="str">
        <f>IF($E24&lt;&gt;"",IF(AND($E24&lt;&gt;"EJFANGST",$G24&lt;&gt;"INGA"),IF(ISNUMBER(VLOOKUP((ROW($H23)-ROW($H$1)+1)*10+COLUMN(M$1)-COLUMN($H$1)+1,Beräkningshjälp!$AB$2:$AI$1082,7,FALSE)),VLOOKUP((ROW($H23)-ROW($H$1)+1)*10+COLUMN(M$1)-COLUMN($H$1)+1,Beräkningshjälp!$AB$2:$AI$1082,7,FALSE),IF(L24&gt;0,-VLOOKUP((ROW($H23)-ROW($H$1)+1)*10+COLUMN(M$1)-COLUMN($H$1)+1,Beräkningshjälp!$AB$2:$AI$1082,3,FALSE),0)),0),"")</f>
        <v/>
      </c>
      <c r="N24" s="2" t="str">
        <f>IF($E24&lt;&gt;"",IF(AND($E24&lt;&gt;"EJFANGST",$G24&lt;&gt;"INGA"),IF(ISNUMBER(VLOOKUP((ROW($H23)-ROW($H$1)+1)*10+COLUMN(N$1)-COLUMN($H$1)+1,Beräkningshjälp!$AB$2:$AI$1082,7,FALSE)),VLOOKUP((ROW($H23)-ROW($H$1)+1)*10+COLUMN(N$1)-COLUMN($H$1)+1,Beräkningshjälp!$AB$2:$AI$1082,7,FALSE),IF(M24&gt;0,-VLOOKUP((ROW($H23)-ROW($H$1)+1)*10+COLUMN(N$1)-COLUMN($H$1)+1,Beräkningshjälp!$AB$2:$AI$1082,3,FALSE),0)),0),"")</f>
        <v/>
      </c>
      <c r="O24" s="2" t="str">
        <f>IF($E24&lt;&gt;"",IF(AND($E24&lt;&gt;"EJFANGST",$G24&lt;&gt;"INGA"),IF(ISNUMBER(VLOOKUP((ROW($H23)-ROW($H$1)+1)*10+COLUMN(O$1)-COLUMN($H$1)+1,Beräkningshjälp!$AB$2:$AI$1082,7,FALSE)),VLOOKUP((ROW($H23)-ROW($H$1)+1)*10+COLUMN(O$1)-COLUMN($H$1)+1,Beräkningshjälp!$AB$2:$AI$1082,7,FALSE),IF(N24&gt;0,-VLOOKUP((ROW($H23)-ROW($H$1)+1)*10+COLUMN(O$1)-COLUMN($H$1)+1,Beräkningshjälp!$AB$2:$AI$1082,3,FALSE),0)),0),"")</f>
        <v/>
      </c>
      <c r="P24" s="2" t="str">
        <f>IF($E24&lt;&gt;"",IF(AND($E24&lt;&gt;"EJFANGST",$G24&lt;&gt;"INGA"),IF(ISNUMBER(VLOOKUP((ROW($H23)-ROW($H$1)+1)*10+COLUMN(P$1)-COLUMN($H$1)+1,Beräkningshjälp!$AB$2:$AI$1082,7,FALSE)),VLOOKUP((ROW($H23)-ROW($H$1)+1)*10+COLUMN(P$1)-COLUMN($H$1)+1,Beräkningshjälp!$AB$2:$AI$1082,7,FALSE),IF(O24&gt;0,-VLOOKUP((ROW($H23)-ROW($H$1)+1)*10+COLUMN(P$1)-COLUMN($H$1)+1,Beräkningshjälp!$AB$2:$AI$1082,3,FALSE),0)),0),"")</f>
        <v/>
      </c>
      <c r="Q24" s="2" t="str">
        <f>IF($E24&lt;&gt;"",IF(AND($E24&lt;&gt;"EJFANGST",$G24&lt;&gt;"INGA"),IF(ISNUMBER(VLOOKUP((ROW($H23)-ROW($H$1)+1)*10+COLUMN(Q$1)-COLUMN($H$1)+1,Beräkningshjälp!$AB$2:$AI$1082,7,FALSE)),VLOOKUP((ROW($H23)-ROW($H$1)+1)*10+COLUMN(Q$1)-COLUMN($H$1)+1,Beräkningshjälp!$AB$2:$AI$1082,7,FALSE),IF(P24&gt;0,-VLOOKUP((ROW($H23)-ROW($H$1)+1)*10+COLUMN(Q$1)-COLUMN($H$1)+1,Beräkningshjälp!$AB$2:$AI$1082,3,FALSE),0)),0),"")</f>
        <v/>
      </c>
      <c r="R24" s="116" t="str">
        <f>IF(COUNTIF(H24:Q24,"&gt;0")&gt;0,IF($E24&lt;&gt;"",IF(AND($E24&lt;&gt;"EJFANGST",$G24&lt;&gt;"INGA"),IF(ISNUMBER(VLOOKUP((ROW($H23)-ROW($H$1)+1)*10+COLUMN(H$1)-COLUMN($H$1)+1,Beräkningshjälp!$AB$2:$AI$1082,7,FALSE)),VLOOKUP((ROW($H23)-ROW($H$1)+1)*10+COLUMN(H$1)-COLUMN($H$1)+1,Beräkningshjälp!$AB$2:$AI$1082,3,FALSE),""),""),""),"")</f>
        <v/>
      </c>
    </row>
    <row r="25" spans="1:18" x14ac:dyDescent="0.25">
      <c r="A25" s="2" t="str">
        <f t="shared" si="0"/>
        <v/>
      </c>
      <c r="B25" s="2" t="str">
        <f>IF(D25&lt;&gt;"",'DATA TILL SLU'!$J$3,"")</f>
        <v/>
      </c>
      <c r="C25" s="2" t="str">
        <f>IF(D25&lt;&gt;"",'DATA TILL SLU'!$K$3,"")</f>
        <v/>
      </c>
      <c r="D25" s="2" t="str">
        <f>IF(OR(ROW(D24)-ROW(D$1)+1&lt;=MAX(Beräkningshjälp!$F$37:$F$54),ROW(D24)-ROW(D$1)+1&lt;=ROUND((MAX(Beräkningshjälp!AB$3:AB$1082)+4)/10,0)-1),D$2,"")</f>
        <v/>
      </c>
      <c r="E25" s="136" t="str">
        <f>IF(D25&lt;&gt;"",IF(COUNTIF(Beräkningshjälp!F$38:F$49,"&gt;0")&gt;=ROW(E24)-ROW(E$1)+1,VLOOKUP((VLOOKUP(ROW(E24)-ROW(E$1)+1,Beräkningshjälp!$F$37:$H$54,IF(ISNUMBER(VLOOKUP(ROW(E24)-ROW(E$1)+1,Beräkningshjälp!$F$37:$H$54,2,FALSE)),2,3),FALSE)),Beräkningshjälp!$M$2:$O$60,3,FALSE),VLOOKUP((ROW(E24)-ROW(E$1)+1)*10+1,Beräkningshjälp!$AB$2:$AF$1082,5,FALSE)),"")</f>
        <v/>
      </c>
      <c r="F25" s="2" t="str">
        <f>IF(D25&lt;&gt;"",Beräkningshjälp!$AH$1,"")</f>
        <v/>
      </c>
      <c r="G25" s="136" t="str">
        <f>IF(D25&lt;&gt;"",IF(COUNTIF(Beräkningshjälp!F$38:F$49,"&gt;0")&gt;=ROW(E24)-ROW(E$1)+1,"INGA",IF(COUNTIF(Beräkningshjälp!$G$38:$H$49,VLOOKUP(E25,Beräkningshjälp!$AF$2:$AG$1082,2,FALSE))&gt;0,"ENSTAK",IF(VLOOKUP(VLOOKUP(E25,Beräkningshjälp!O$2:U$60,7,FALSE),Artuppgifter!$I$11:$P$22,7,FALSE)=TRUE,"MINMAX","ALLA"))),"")</f>
        <v/>
      </c>
      <c r="H25" s="2" t="str">
        <f>IF($E25&lt;&gt;"",IF(AND($E25&lt;&gt;"EJFANGST",$G25&lt;&gt;"INGA"),IF(ISNUMBER(VLOOKUP((ROW($H24)-ROW($H$1)+1)*10+COLUMN(H$1)-COLUMN($H$1)+1,Beräkningshjälp!$AB$2:$AI$1082,7,FALSE)),VLOOKUP((ROW($H24)-ROW($H$1)+1)*10+COLUMN(H$1)-COLUMN($H$1)+1,Beräkningshjälp!$AB$2:$AI$1082,7,FALSE),IF(E25&gt;0,-VLOOKUP((ROW($H24)-ROW($H$1)+1)*10+COLUMN(H$1)-COLUMN($H$1)+1,Beräkningshjälp!$AB$2:$AI$1082,3,FALSE),0)),0),"")</f>
        <v/>
      </c>
      <c r="I25" s="2" t="str">
        <f>IF($E25&lt;&gt;"",IF(AND($E25&lt;&gt;"EJFANGST",$G25&lt;&gt;"INGA"),IF(ISNUMBER(VLOOKUP((ROW($H24)-ROW($H$1)+1)*10+COLUMN(I$1)-COLUMN($H$1)+1,Beräkningshjälp!$AB$2:$AI$1082,7,FALSE)),VLOOKUP((ROW($H24)-ROW($H$1)+1)*10+COLUMN(I$1)-COLUMN($H$1)+1,Beräkningshjälp!$AB$2:$AI$1082,7,FALSE),IF(H25&gt;0,-VLOOKUP((ROW($H24)-ROW($H$1)+1)*10+COLUMN(I$1)-COLUMN($H$1)+1,Beräkningshjälp!$AB$2:$AI$1082,3,FALSE),0)),0),"")</f>
        <v/>
      </c>
      <c r="J25" s="2" t="str">
        <f>IF($E25&lt;&gt;"",IF(AND($E25&lt;&gt;"EJFANGST",$G25&lt;&gt;"INGA"),IF(ISNUMBER(VLOOKUP((ROW($H24)-ROW($H$1)+1)*10+COLUMN(J$1)-COLUMN($H$1)+1,Beräkningshjälp!$AB$2:$AI$1082,7,FALSE)),VLOOKUP((ROW($H24)-ROW($H$1)+1)*10+COLUMN(J$1)-COLUMN($H$1)+1,Beräkningshjälp!$AB$2:$AI$1082,7,FALSE),IF(I25&gt;0,-VLOOKUP((ROW($H24)-ROW($H$1)+1)*10+COLUMN(J$1)-COLUMN($H$1)+1,Beräkningshjälp!$AB$2:$AI$1082,3,FALSE),0)),0),"")</f>
        <v/>
      </c>
      <c r="K25" s="2" t="str">
        <f>IF($E25&lt;&gt;"",IF(AND($E25&lt;&gt;"EJFANGST",$G25&lt;&gt;"INGA"),IF(ISNUMBER(VLOOKUP((ROW($H24)-ROW($H$1)+1)*10+COLUMN(K$1)-COLUMN($H$1)+1,Beräkningshjälp!$AB$2:$AI$1082,7,FALSE)),VLOOKUP((ROW($H24)-ROW($H$1)+1)*10+COLUMN(K$1)-COLUMN($H$1)+1,Beräkningshjälp!$AB$2:$AI$1082,7,FALSE),IF(J25&gt;0,-VLOOKUP((ROW($H24)-ROW($H$1)+1)*10+COLUMN(K$1)-COLUMN($H$1)+1,Beräkningshjälp!$AB$2:$AI$1082,3,FALSE),0)),0),"")</f>
        <v/>
      </c>
      <c r="L25" s="2" t="str">
        <f>IF($E25&lt;&gt;"",IF(AND($E25&lt;&gt;"EJFANGST",$G25&lt;&gt;"INGA"),IF(ISNUMBER(VLOOKUP((ROW($H24)-ROW($H$1)+1)*10+COLUMN(L$1)-COLUMN($H$1)+1,Beräkningshjälp!$AB$2:$AI$1082,7,FALSE)),VLOOKUP((ROW($H24)-ROW($H$1)+1)*10+COLUMN(L$1)-COLUMN($H$1)+1,Beräkningshjälp!$AB$2:$AI$1082,7,FALSE),IF(K25&gt;0,-VLOOKUP((ROW($H24)-ROW($H$1)+1)*10+COLUMN(L$1)-COLUMN($H$1)+1,Beräkningshjälp!$AB$2:$AI$1082,3,FALSE),0)),0),"")</f>
        <v/>
      </c>
      <c r="M25" s="2" t="str">
        <f>IF($E25&lt;&gt;"",IF(AND($E25&lt;&gt;"EJFANGST",$G25&lt;&gt;"INGA"),IF(ISNUMBER(VLOOKUP((ROW($H24)-ROW($H$1)+1)*10+COLUMN(M$1)-COLUMN($H$1)+1,Beräkningshjälp!$AB$2:$AI$1082,7,FALSE)),VLOOKUP((ROW($H24)-ROW($H$1)+1)*10+COLUMN(M$1)-COLUMN($H$1)+1,Beräkningshjälp!$AB$2:$AI$1082,7,FALSE),IF(L25&gt;0,-VLOOKUP((ROW($H24)-ROW($H$1)+1)*10+COLUMN(M$1)-COLUMN($H$1)+1,Beräkningshjälp!$AB$2:$AI$1082,3,FALSE),0)),0),"")</f>
        <v/>
      </c>
      <c r="N25" s="2" t="str">
        <f>IF($E25&lt;&gt;"",IF(AND($E25&lt;&gt;"EJFANGST",$G25&lt;&gt;"INGA"),IF(ISNUMBER(VLOOKUP((ROW($H24)-ROW($H$1)+1)*10+COLUMN(N$1)-COLUMN($H$1)+1,Beräkningshjälp!$AB$2:$AI$1082,7,FALSE)),VLOOKUP((ROW($H24)-ROW($H$1)+1)*10+COLUMN(N$1)-COLUMN($H$1)+1,Beräkningshjälp!$AB$2:$AI$1082,7,FALSE),IF(M25&gt;0,-VLOOKUP((ROW($H24)-ROW($H$1)+1)*10+COLUMN(N$1)-COLUMN($H$1)+1,Beräkningshjälp!$AB$2:$AI$1082,3,FALSE),0)),0),"")</f>
        <v/>
      </c>
      <c r="O25" s="2" t="str">
        <f>IF($E25&lt;&gt;"",IF(AND($E25&lt;&gt;"EJFANGST",$G25&lt;&gt;"INGA"),IF(ISNUMBER(VLOOKUP((ROW($H24)-ROW($H$1)+1)*10+COLUMN(O$1)-COLUMN($H$1)+1,Beräkningshjälp!$AB$2:$AI$1082,7,FALSE)),VLOOKUP((ROW($H24)-ROW($H$1)+1)*10+COLUMN(O$1)-COLUMN($H$1)+1,Beräkningshjälp!$AB$2:$AI$1082,7,FALSE),IF(N25&gt;0,-VLOOKUP((ROW($H24)-ROW($H$1)+1)*10+COLUMN(O$1)-COLUMN($H$1)+1,Beräkningshjälp!$AB$2:$AI$1082,3,FALSE),0)),0),"")</f>
        <v/>
      </c>
      <c r="P25" s="2" t="str">
        <f>IF($E25&lt;&gt;"",IF(AND($E25&lt;&gt;"EJFANGST",$G25&lt;&gt;"INGA"),IF(ISNUMBER(VLOOKUP((ROW($H24)-ROW($H$1)+1)*10+COLUMN(P$1)-COLUMN($H$1)+1,Beräkningshjälp!$AB$2:$AI$1082,7,FALSE)),VLOOKUP((ROW($H24)-ROW($H$1)+1)*10+COLUMN(P$1)-COLUMN($H$1)+1,Beräkningshjälp!$AB$2:$AI$1082,7,FALSE),IF(O25&gt;0,-VLOOKUP((ROW($H24)-ROW($H$1)+1)*10+COLUMN(P$1)-COLUMN($H$1)+1,Beräkningshjälp!$AB$2:$AI$1082,3,FALSE),0)),0),"")</f>
        <v/>
      </c>
      <c r="Q25" s="2" t="str">
        <f>IF($E25&lt;&gt;"",IF(AND($E25&lt;&gt;"EJFANGST",$G25&lt;&gt;"INGA"),IF(ISNUMBER(VLOOKUP((ROW($H24)-ROW($H$1)+1)*10+COLUMN(Q$1)-COLUMN($H$1)+1,Beräkningshjälp!$AB$2:$AI$1082,7,FALSE)),VLOOKUP((ROW($H24)-ROW($H$1)+1)*10+COLUMN(Q$1)-COLUMN($H$1)+1,Beräkningshjälp!$AB$2:$AI$1082,7,FALSE),IF(P25&gt;0,-VLOOKUP((ROW($H24)-ROW($H$1)+1)*10+COLUMN(Q$1)-COLUMN($H$1)+1,Beräkningshjälp!$AB$2:$AI$1082,3,FALSE),0)),0),"")</f>
        <v/>
      </c>
      <c r="R25" s="116" t="str">
        <f>IF(COUNTIF(H25:Q25,"&gt;0")&gt;0,IF($E25&lt;&gt;"",IF(AND($E25&lt;&gt;"EJFANGST",$G25&lt;&gt;"INGA"),IF(ISNUMBER(VLOOKUP((ROW($H24)-ROW($H$1)+1)*10+COLUMN(H$1)-COLUMN($H$1)+1,Beräkningshjälp!$AB$2:$AI$1082,7,FALSE)),VLOOKUP((ROW($H24)-ROW($H$1)+1)*10+COLUMN(H$1)-COLUMN($H$1)+1,Beräkningshjälp!$AB$2:$AI$1082,3,FALSE),""),""),""),"")</f>
        <v/>
      </c>
    </row>
    <row r="26" spans="1:18" x14ac:dyDescent="0.25">
      <c r="A26" s="2" t="str">
        <f t="shared" si="0"/>
        <v/>
      </c>
      <c r="B26" s="2" t="str">
        <f>IF(D26&lt;&gt;"",'DATA TILL SLU'!$J$3,"")</f>
        <v/>
      </c>
      <c r="C26" s="2" t="str">
        <f>IF(D26&lt;&gt;"",'DATA TILL SLU'!$K$3,"")</f>
        <v/>
      </c>
      <c r="D26" s="2" t="str">
        <f>IF(OR(ROW(D25)-ROW(D$1)+1&lt;=MAX(Beräkningshjälp!$F$37:$F$54),ROW(D25)-ROW(D$1)+1&lt;=ROUND((MAX(Beräkningshjälp!AB$3:AB$1082)+4)/10,0)-1),D$2,"")</f>
        <v/>
      </c>
      <c r="E26" s="136" t="str">
        <f>IF(D26&lt;&gt;"",IF(COUNTIF(Beräkningshjälp!F$38:F$49,"&gt;0")&gt;=ROW(E25)-ROW(E$1)+1,VLOOKUP((VLOOKUP(ROW(E25)-ROW(E$1)+1,Beräkningshjälp!$F$37:$H$54,IF(ISNUMBER(VLOOKUP(ROW(E25)-ROW(E$1)+1,Beräkningshjälp!$F$37:$H$54,2,FALSE)),2,3),FALSE)),Beräkningshjälp!$M$2:$O$60,3,FALSE),VLOOKUP((ROW(E25)-ROW(E$1)+1)*10+1,Beräkningshjälp!$AB$2:$AF$1082,5,FALSE)),"")</f>
        <v/>
      </c>
      <c r="F26" s="2" t="str">
        <f>IF(D26&lt;&gt;"",Beräkningshjälp!$AH$1,"")</f>
        <v/>
      </c>
      <c r="G26" s="136" t="str">
        <f>IF(D26&lt;&gt;"",IF(COUNTIF(Beräkningshjälp!F$38:F$49,"&gt;0")&gt;=ROW(E25)-ROW(E$1)+1,"INGA",IF(COUNTIF(Beräkningshjälp!$G$38:$H$49,VLOOKUP(E26,Beräkningshjälp!$AF$2:$AG$1082,2,FALSE))&gt;0,"ENSTAK",IF(VLOOKUP(VLOOKUP(E26,Beräkningshjälp!O$2:U$60,7,FALSE),Artuppgifter!$I$11:$P$22,7,FALSE)=TRUE,"MINMAX","ALLA"))),"")</f>
        <v/>
      </c>
      <c r="H26" s="2" t="str">
        <f>IF($E26&lt;&gt;"",IF(AND($E26&lt;&gt;"EJFANGST",$G26&lt;&gt;"INGA"),IF(ISNUMBER(VLOOKUP((ROW($H25)-ROW($H$1)+1)*10+COLUMN(H$1)-COLUMN($H$1)+1,Beräkningshjälp!$AB$2:$AI$1082,7,FALSE)),VLOOKUP((ROW($H25)-ROW($H$1)+1)*10+COLUMN(H$1)-COLUMN($H$1)+1,Beräkningshjälp!$AB$2:$AI$1082,7,FALSE),IF(E26&gt;0,-VLOOKUP((ROW($H25)-ROW($H$1)+1)*10+COLUMN(H$1)-COLUMN($H$1)+1,Beräkningshjälp!$AB$2:$AI$1082,3,FALSE),0)),0),"")</f>
        <v/>
      </c>
      <c r="I26" s="2" t="str">
        <f>IF($E26&lt;&gt;"",IF(AND($E26&lt;&gt;"EJFANGST",$G26&lt;&gt;"INGA"),IF(ISNUMBER(VLOOKUP((ROW($H25)-ROW($H$1)+1)*10+COLUMN(I$1)-COLUMN($H$1)+1,Beräkningshjälp!$AB$2:$AI$1082,7,FALSE)),VLOOKUP((ROW($H25)-ROW($H$1)+1)*10+COLUMN(I$1)-COLUMN($H$1)+1,Beräkningshjälp!$AB$2:$AI$1082,7,FALSE),IF(H26&gt;0,-VLOOKUP((ROW($H25)-ROW($H$1)+1)*10+COLUMN(I$1)-COLUMN($H$1)+1,Beräkningshjälp!$AB$2:$AI$1082,3,FALSE),0)),0),"")</f>
        <v/>
      </c>
      <c r="J26" s="2" t="str">
        <f>IF($E26&lt;&gt;"",IF(AND($E26&lt;&gt;"EJFANGST",$G26&lt;&gt;"INGA"),IF(ISNUMBER(VLOOKUP((ROW($H25)-ROW($H$1)+1)*10+COLUMN(J$1)-COLUMN($H$1)+1,Beräkningshjälp!$AB$2:$AI$1082,7,FALSE)),VLOOKUP((ROW($H25)-ROW($H$1)+1)*10+COLUMN(J$1)-COLUMN($H$1)+1,Beräkningshjälp!$AB$2:$AI$1082,7,FALSE),IF(I26&gt;0,-VLOOKUP((ROW($H25)-ROW($H$1)+1)*10+COLUMN(J$1)-COLUMN($H$1)+1,Beräkningshjälp!$AB$2:$AI$1082,3,FALSE),0)),0),"")</f>
        <v/>
      </c>
      <c r="K26" s="2" t="str">
        <f>IF($E26&lt;&gt;"",IF(AND($E26&lt;&gt;"EJFANGST",$G26&lt;&gt;"INGA"),IF(ISNUMBER(VLOOKUP((ROW($H25)-ROW($H$1)+1)*10+COLUMN(K$1)-COLUMN($H$1)+1,Beräkningshjälp!$AB$2:$AI$1082,7,FALSE)),VLOOKUP((ROW($H25)-ROW($H$1)+1)*10+COLUMN(K$1)-COLUMN($H$1)+1,Beräkningshjälp!$AB$2:$AI$1082,7,FALSE),IF(J26&gt;0,-VLOOKUP((ROW($H25)-ROW($H$1)+1)*10+COLUMN(K$1)-COLUMN($H$1)+1,Beräkningshjälp!$AB$2:$AI$1082,3,FALSE),0)),0),"")</f>
        <v/>
      </c>
      <c r="L26" s="2" t="str">
        <f>IF($E26&lt;&gt;"",IF(AND($E26&lt;&gt;"EJFANGST",$G26&lt;&gt;"INGA"),IF(ISNUMBER(VLOOKUP((ROW($H25)-ROW($H$1)+1)*10+COLUMN(L$1)-COLUMN($H$1)+1,Beräkningshjälp!$AB$2:$AI$1082,7,FALSE)),VLOOKUP((ROW($H25)-ROW($H$1)+1)*10+COLUMN(L$1)-COLUMN($H$1)+1,Beräkningshjälp!$AB$2:$AI$1082,7,FALSE),IF(K26&gt;0,-VLOOKUP((ROW($H25)-ROW($H$1)+1)*10+COLUMN(L$1)-COLUMN($H$1)+1,Beräkningshjälp!$AB$2:$AI$1082,3,FALSE),0)),0),"")</f>
        <v/>
      </c>
      <c r="M26" s="2" t="str">
        <f>IF($E26&lt;&gt;"",IF(AND($E26&lt;&gt;"EJFANGST",$G26&lt;&gt;"INGA"),IF(ISNUMBER(VLOOKUP((ROW($H25)-ROW($H$1)+1)*10+COLUMN(M$1)-COLUMN($H$1)+1,Beräkningshjälp!$AB$2:$AI$1082,7,FALSE)),VLOOKUP((ROW($H25)-ROW($H$1)+1)*10+COLUMN(M$1)-COLUMN($H$1)+1,Beräkningshjälp!$AB$2:$AI$1082,7,FALSE),IF(L26&gt;0,-VLOOKUP((ROW($H25)-ROW($H$1)+1)*10+COLUMN(M$1)-COLUMN($H$1)+1,Beräkningshjälp!$AB$2:$AI$1082,3,FALSE),0)),0),"")</f>
        <v/>
      </c>
      <c r="N26" s="2" t="str">
        <f>IF($E26&lt;&gt;"",IF(AND($E26&lt;&gt;"EJFANGST",$G26&lt;&gt;"INGA"),IF(ISNUMBER(VLOOKUP((ROW($H25)-ROW($H$1)+1)*10+COLUMN(N$1)-COLUMN($H$1)+1,Beräkningshjälp!$AB$2:$AI$1082,7,FALSE)),VLOOKUP((ROW($H25)-ROW($H$1)+1)*10+COLUMN(N$1)-COLUMN($H$1)+1,Beräkningshjälp!$AB$2:$AI$1082,7,FALSE),IF(M26&gt;0,-VLOOKUP((ROW($H25)-ROW($H$1)+1)*10+COLUMN(N$1)-COLUMN($H$1)+1,Beräkningshjälp!$AB$2:$AI$1082,3,FALSE),0)),0),"")</f>
        <v/>
      </c>
      <c r="O26" s="2" t="str">
        <f>IF($E26&lt;&gt;"",IF(AND($E26&lt;&gt;"EJFANGST",$G26&lt;&gt;"INGA"),IF(ISNUMBER(VLOOKUP((ROW($H25)-ROW($H$1)+1)*10+COLUMN(O$1)-COLUMN($H$1)+1,Beräkningshjälp!$AB$2:$AI$1082,7,FALSE)),VLOOKUP((ROW($H25)-ROW($H$1)+1)*10+COLUMN(O$1)-COLUMN($H$1)+1,Beräkningshjälp!$AB$2:$AI$1082,7,FALSE),IF(N26&gt;0,-VLOOKUP((ROW($H25)-ROW($H$1)+1)*10+COLUMN(O$1)-COLUMN($H$1)+1,Beräkningshjälp!$AB$2:$AI$1082,3,FALSE),0)),0),"")</f>
        <v/>
      </c>
      <c r="P26" s="2" t="str">
        <f>IF($E26&lt;&gt;"",IF(AND($E26&lt;&gt;"EJFANGST",$G26&lt;&gt;"INGA"),IF(ISNUMBER(VLOOKUP((ROW($H25)-ROW($H$1)+1)*10+COLUMN(P$1)-COLUMN($H$1)+1,Beräkningshjälp!$AB$2:$AI$1082,7,FALSE)),VLOOKUP((ROW($H25)-ROW($H$1)+1)*10+COLUMN(P$1)-COLUMN($H$1)+1,Beräkningshjälp!$AB$2:$AI$1082,7,FALSE),IF(O26&gt;0,-VLOOKUP((ROW($H25)-ROW($H$1)+1)*10+COLUMN(P$1)-COLUMN($H$1)+1,Beräkningshjälp!$AB$2:$AI$1082,3,FALSE),0)),0),"")</f>
        <v/>
      </c>
      <c r="Q26" s="2" t="str">
        <f>IF($E26&lt;&gt;"",IF(AND($E26&lt;&gt;"EJFANGST",$G26&lt;&gt;"INGA"),IF(ISNUMBER(VLOOKUP((ROW($H25)-ROW($H$1)+1)*10+COLUMN(Q$1)-COLUMN($H$1)+1,Beräkningshjälp!$AB$2:$AI$1082,7,FALSE)),VLOOKUP((ROW($H25)-ROW($H$1)+1)*10+COLUMN(Q$1)-COLUMN($H$1)+1,Beräkningshjälp!$AB$2:$AI$1082,7,FALSE),IF(P26&gt;0,-VLOOKUP((ROW($H25)-ROW($H$1)+1)*10+COLUMN(Q$1)-COLUMN($H$1)+1,Beräkningshjälp!$AB$2:$AI$1082,3,FALSE),0)),0),"")</f>
        <v/>
      </c>
      <c r="R26" s="116" t="str">
        <f>IF(COUNTIF(H26:Q26,"&gt;0")&gt;0,IF($E26&lt;&gt;"",IF(AND($E26&lt;&gt;"EJFANGST",$G26&lt;&gt;"INGA"),IF(ISNUMBER(VLOOKUP((ROW($H25)-ROW($H$1)+1)*10+COLUMN(H$1)-COLUMN($H$1)+1,Beräkningshjälp!$AB$2:$AI$1082,7,FALSE)),VLOOKUP((ROW($H25)-ROW($H$1)+1)*10+COLUMN(H$1)-COLUMN($H$1)+1,Beräkningshjälp!$AB$2:$AI$1082,3,FALSE),""),""),""),"")</f>
        <v/>
      </c>
    </row>
    <row r="27" spans="1:18" x14ac:dyDescent="0.25">
      <c r="A27" s="2" t="str">
        <f t="shared" si="0"/>
        <v/>
      </c>
      <c r="B27" s="2" t="str">
        <f>IF(D27&lt;&gt;"",'DATA TILL SLU'!$J$3,"")</f>
        <v/>
      </c>
      <c r="C27" s="2" t="str">
        <f>IF(D27&lt;&gt;"",'DATA TILL SLU'!$K$3,"")</f>
        <v/>
      </c>
      <c r="D27" s="2" t="str">
        <f>IF(OR(ROW(D26)-ROW(D$1)+1&lt;=MAX(Beräkningshjälp!$F$37:$F$54),ROW(D26)-ROW(D$1)+1&lt;=ROUND((MAX(Beräkningshjälp!AB$3:AB$1082)+4)/10,0)-1),D$2,"")</f>
        <v/>
      </c>
      <c r="E27" s="136" t="str">
        <f>IF(D27&lt;&gt;"",IF(COUNTIF(Beräkningshjälp!F$38:F$49,"&gt;0")&gt;=ROW(E26)-ROW(E$1)+1,VLOOKUP((VLOOKUP(ROW(E26)-ROW(E$1)+1,Beräkningshjälp!$F$37:$H$54,IF(ISNUMBER(VLOOKUP(ROW(E26)-ROW(E$1)+1,Beräkningshjälp!$F$37:$H$54,2,FALSE)),2,3),FALSE)),Beräkningshjälp!$M$2:$O$60,3,FALSE),VLOOKUP((ROW(E26)-ROW(E$1)+1)*10+1,Beräkningshjälp!$AB$2:$AF$1082,5,FALSE)),"")</f>
        <v/>
      </c>
      <c r="F27" s="2" t="str">
        <f>IF(D27&lt;&gt;"",Beräkningshjälp!$AH$1,"")</f>
        <v/>
      </c>
      <c r="G27" s="136" t="str">
        <f>IF(D27&lt;&gt;"",IF(COUNTIF(Beräkningshjälp!F$38:F$49,"&gt;0")&gt;=ROW(E26)-ROW(E$1)+1,"INGA",IF(COUNTIF(Beräkningshjälp!$G$38:$H$49,VLOOKUP(E27,Beräkningshjälp!$AF$2:$AG$1082,2,FALSE))&gt;0,"ENSTAK",IF(VLOOKUP(VLOOKUP(E27,Beräkningshjälp!O$2:U$60,7,FALSE),Artuppgifter!$I$11:$P$22,7,FALSE)=TRUE,"MINMAX","ALLA"))),"")</f>
        <v/>
      </c>
      <c r="H27" s="2" t="str">
        <f>IF($E27&lt;&gt;"",IF(AND($E27&lt;&gt;"EJFANGST",$G27&lt;&gt;"INGA"),IF(ISNUMBER(VLOOKUP((ROW($H26)-ROW($H$1)+1)*10+COLUMN(H$1)-COLUMN($H$1)+1,Beräkningshjälp!$AB$2:$AI$1082,7,FALSE)),VLOOKUP((ROW($H26)-ROW($H$1)+1)*10+COLUMN(H$1)-COLUMN($H$1)+1,Beräkningshjälp!$AB$2:$AI$1082,7,FALSE),IF(E27&gt;0,-VLOOKUP((ROW($H26)-ROW($H$1)+1)*10+COLUMN(H$1)-COLUMN($H$1)+1,Beräkningshjälp!$AB$2:$AI$1082,3,FALSE),0)),0),"")</f>
        <v/>
      </c>
      <c r="I27" s="2" t="str">
        <f>IF($E27&lt;&gt;"",IF(AND($E27&lt;&gt;"EJFANGST",$G27&lt;&gt;"INGA"),IF(ISNUMBER(VLOOKUP((ROW($H26)-ROW($H$1)+1)*10+COLUMN(I$1)-COLUMN($H$1)+1,Beräkningshjälp!$AB$2:$AI$1082,7,FALSE)),VLOOKUP((ROW($H26)-ROW($H$1)+1)*10+COLUMN(I$1)-COLUMN($H$1)+1,Beräkningshjälp!$AB$2:$AI$1082,7,FALSE),IF(H27&gt;0,-VLOOKUP((ROW($H26)-ROW($H$1)+1)*10+COLUMN(I$1)-COLUMN($H$1)+1,Beräkningshjälp!$AB$2:$AI$1082,3,FALSE),0)),0),"")</f>
        <v/>
      </c>
      <c r="J27" s="2" t="str">
        <f>IF($E27&lt;&gt;"",IF(AND($E27&lt;&gt;"EJFANGST",$G27&lt;&gt;"INGA"),IF(ISNUMBER(VLOOKUP((ROW($H26)-ROW($H$1)+1)*10+COLUMN(J$1)-COLUMN($H$1)+1,Beräkningshjälp!$AB$2:$AI$1082,7,FALSE)),VLOOKUP((ROW($H26)-ROW($H$1)+1)*10+COLUMN(J$1)-COLUMN($H$1)+1,Beräkningshjälp!$AB$2:$AI$1082,7,FALSE),IF(I27&gt;0,-VLOOKUP((ROW($H26)-ROW($H$1)+1)*10+COLUMN(J$1)-COLUMN($H$1)+1,Beräkningshjälp!$AB$2:$AI$1082,3,FALSE),0)),0),"")</f>
        <v/>
      </c>
      <c r="K27" s="2" t="str">
        <f>IF($E27&lt;&gt;"",IF(AND($E27&lt;&gt;"EJFANGST",$G27&lt;&gt;"INGA"),IF(ISNUMBER(VLOOKUP((ROW($H26)-ROW($H$1)+1)*10+COLUMN(K$1)-COLUMN($H$1)+1,Beräkningshjälp!$AB$2:$AI$1082,7,FALSE)),VLOOKUP((ROW($H26)-ROW($H$1)+1)*10+COLUMN(K$1)-COLUMN($H$1)+1,Beräkningshjälp!$AB$2:$AI$1082,7,FALSE),IF(J27&gt;0,-VLOOKUP((ROW($H26)-ROW($H$1)+1)*10+COLUMN(K$1)-COLUMN($H$1)+1,Beräkningshjälp!$AB$2:$AI$1082,3,FALSE),0)),0),"")</f>
        <v/>
      </c>
      <c r="L27" s="2" t="str">
        <f>IF($E27&lt;&gt;"",IF(AND($E27&lt;&gt;"EJFANGST",$G27&lt;&gt;"INGA"),IF(ISNUMBER(VLOOKUP((ROW($H26)-ROW($H$1)+1)*10+COLUMN(L$1)-COLUMN($H$1)+1,Beräkningshjälp!$AB$2:$AI$1082,7,FALSE)),VLOOKUP((ROW($H26)-ROW($H$1)+1)*10+COLUMN(L$1)-COLUMN($H$1)+1,Beräkningshjälp!$AB$2:$AI$1082,7,FALSE),IF(K27&gt;0,-VLOOKUP((ROW($H26)-ROW($H$1)+1)*10+COLUMN(L$1)-COLUMN($H$1)+1,Beräkningshjälp!$AB$2:$AI$1082,3,FALSE),0)),0),"")</f>
        <v/>
      </c>
      <c r="M27" s="2" t="str">
        <f>IF($E27&lt;&gt;"",IF(AND($E27&lt;&gt;"EJFANGST",$G27&lt;&gt;"INGA"),IF(ISNUMBER(VLOOKUP((ROW($H26)-ROW($H$1)+1)*10+COLUMN(M$1)-COLUMN($H$1)+1,Beräkningshjälp!$AB$2:$AI$1082,7,FALSE)),VLOOKUP((ROW($H26)-ROW($H$1)+1)*10+COLUMN(M$1)-COLUMN($H$1)+1,Beräkningshjälp!$AB$2:$AI$1082,7,FALSE),IF(L27&gt;0,-VLOOKUP((ROW($H26)-ROW($H$1)+1)*10+COLUMN(M$1)-COLUMN($H$1)+1,Beräkningshjälp!$AB$2:$AI$1082,3,FALSE),0)),0),"")</f>
        <v/>
      </c>
      <c r="N27" s="2" t="str">
        <f>IF($E27&lt;&gt;"",IF(AND($E27&lt;&gt;"EJFANGST",$G27&lt;&gt;"INGA"),IF(ISNUMBER(VLOOKUP((ROW($H26)-ROW($H$1)+1)*10+COLUMN(N$1)-COLUMN($H$1)+1,Beräkningshjälp!$AB$2:$AI$1082,7,FALSE)),VLOOKUP((ROW($H26)-ROW($H$1)+1)*10+COLUMN(N$1)-COLUMN($H$1)+1,Beräkningshjälp!$AB$2:$AI$1082,7,FALSE),IF(M27&gt;0,-VLOOKUP((ROW($H26)-ROW($H$1)+1)*10+COLUMN(N$1)-COLUMN($H$1)+1,Beräkningshjälp!$AB$2:$AI$1082,3,FALSE),0)),0),"")</f>
        <v/>
      </c>
      <c r="O27" s="2" t="str">
        <f>IF($E27&lt;&gt;"",IF(AND($E27&lt;&gt;"EJFANGST",$G27&lt;&gt;"INGA"),IF(ISNUMBER(VLOOKUP((ROW($H26)-ROW($H$1)+1)*10+COLUMN(O$1)-COLUMN($H$1)+1,Beräkningshjälp!$AB$2:$AI$1082,7,FALSE)),VLOOKUP((ROW($H26)-ROW($H$1)+1)*10+COLUMN(O$1)-COLUMN($H$1)+1,Beräkningshjälp!$AB$2:$AI$1082,7,FALSE),IF(N27&gt;0,-VLOOKUP((ROW($H26)-ROW($H$1)+1)*10+COLUMN(O$1)-COLUMN($H$1)+1,Beräkningshjälp!$AB$2:$AI$1082,3,FALSE),0)),0),"")</f>
        <v/>
      </c>
      <c r="P27" s="2" t="str">
        <f>IF($E27&lt;&gt;"",IF(AND($E27&lt;&gt;"EJFANGST",$G27&lt;&gt;"INGA"),IF(ISNUMBER(VLOOKUP((ROW($H26)-ROW($H$1)+1)*10+COLUMN(P$1)-COLUMN($H$1)+1,Beräkningshjälp!$AB$2:$AI$1082,7,FALSE)),VLOOKUP((ROW($H26)-ROW($H$1)+1)*10+COLUMN(P$1)-COLUMN($H$1)+1,Beräkningshjälp!$AB$2:$AI$1082,7,FALSE),IF(O27&gt;0,-VLOOKUP((ROW($H26)-ROW($H$1)+1)*10+COLUMN(P$1)-COLUMN($H$1)+1,Beräkningshjälp!$AB$2:$AI$1082,3,FALSE),0)),0),"")</f>
        <v/>
      </c>
      <c r="Q27" s="2" t="str">
        <f>IF($E27&lt;&gt;"",IF(AND($E27&lt;&gt;"EJFANGST",$G27&lt;&gt;"INGA"),IF(ISNUMBER(VLOOKUP((ROW($H26)-ROW($H$1)+1)*10+COLUMN(Q$1)-COLUMN($H$1)+1,Beräkningshjälp!$AB$2:$AI$1082,7,FALSE)),VLOOKUP((ROW($H26)-ROW($H$1)+1)*10+COLUMN(Q$1)-COLUMN($H$1)+1,Beräkningshjälp!$AB$2:$AI$1082,7,FALSE),IF(P27&gt;0,-VLOOKUP((ROW($H26)-ROW($H$1)+1)*10+COLUMN(Q$1)-COLUMN($H$1)+1,Beräkningshjälp!$AB$2:$AI$1082,3,FALSE),0)),0),"")</f>
        <v/>
      </c>
      <c r="R27" s="116" t="str">
        <f>IF(COUNTIF(H27:Q27,"&gt;0")&gt;0,IF($E27&lt;&gt;"",IF(AND($E27&lt;&gt;"EJFANGST",$G27&lt;&gt;"INGA"),IF(ISNUMBER(VLOOKUP((ROW($H26)-ROW($H$1)+1)*10+COLUMN(H$1)-COLUMN($H$1)+1,Beräkningshjälp!$AB$2:$AI$1082,7,FALSE)),VLOOKUP((ROW($H26)-ROW($H$1)+1)*10+COLUMN(H$1)-COLUMN($H$1)+1,Beräkningshjälp!$AB$2:$AI$1082,3,FALSE),""),""),""),"")</f>
        <v/>
      </c>
    </row>
    <row r="28" spans="1:18" x14ac:dyDescent="0.25">
      <c r="A28" s="2" t="str">
        <f t="shared" si="0"/>
        <v/>
      </c>
      <c r="B28" s="2" t="str">
        <f>IF(D28&lt;&gt;"",'DATA TILL SLU'!$J$3,"")</f>
        <v/>
      </c>
      <c r="C28" s="2" t="str">
        <f>IF(D28&lt;&gt;"",'DATA TILL SLU'!$K$3,"")</f>
        <v/>
      </c>
      <c r="D28" s="2" t="str">
        <f>IF(OR(ROW(D27)-ROW(D$1)+1&lt;=MAX(Beräkningshjälp!$F$37:$F$54),ROW(D27)-ROW(D$1)+1&lt;=ROUND((MAX(Beräkningshjälp!AB$3:AB$1082)+4)/10,0)-1),D$2,"")</f>
        <v/>
      </c>
      <c r="E28" s="136" t="str">
        <f>IF(D28&lt;&gt;"",IF(COUNTIF(Beräkningshjälp!F$38:F$49,"&gt;0")&gt;=ROW(E27)-ROW(E$1)+1,VLOOKUP((VLOOKUP(ROW(E27)-ROW(E$1)+1,Beräkningshjälp!$F$37:$H$54,IF(ISNUMBER(VLOOKUP(ROW(E27)-ROW(E$1)+1,Beräkningshjälp!$F$37:$H$54,2,FALSE)),2,3),FALSE)),Beräkningshjälp!$M$2:$O$60,3,FALSE),VLOOKUP((ROW(E27)-ROW(E$1)+1)*10+1,Beräkningshjälp!$AB$2:$AF$1082,5,FALSE)),"")</f>
        <v/>
      </c>
      <c r="F28" s="2" t="str">
        <f>IF(D28&lt;&gt;"",Beräkningshjälp!$AH$1,"")</f>
        <v/>
      </c>
      <c r="G28" s="136" t="str">
        <f>IF(D28&lt;&gt;"",IF(COUNTIF(Beräkningshjälp!F$38:F$49,"&gt;0")&gt;=ROW(E27)-ROW(E$1)+1,"INGA",IF(COUNTIF(Beräkningshjälp!$G$38:$H$49,VLOOKUP(E28,Beräkningshjälp!$AF$2:$AG$1082,2,FALSE))&gt;0,"ENSTAK",IF(VLOOKUP(VLOOKUP(E28,Beräkningshjälp!O$2:U$60,7,FALSE),Artuppgifter!$I$11:$P$22,7,FALSE)=TRUE,"MINMAX","ALLA"))),"")</f>
        <v/>
      </c>
      <c r="H28" s="2" t="str">
        <f>IF($E28&lt;&gt;"",IF(AND($E28&lt;&gt;"EJFANGST",$G28&lt;&gt;"INGA"),IF(ISNUMBER(VLOOKUP((ROW($H27)-ROW($H$1)+1)*10+COLUMN(H$1)-COLUMN($H$1)+1,Beräkningshjälp!$AB$2:$AI$1082,7,FALSE)),VLOOKUP((ROW($H27)-ROW($H$1)+1)*10+COLUMN(H$1)-COLUMN($H$1)+1,Beräkningshjälp!$AB$2:$AI$1082,7,FALSE),IF(E28&gt;0,-VLOOKUP((ROW($H27)-ROW($H$1)+1)*10+COLUMN(H$1)-COLUMN($H$1)+1,Beräkningshjälp!$AB$2:$AI$1082,3,FALSE),0)),0),"")</f>
        <v/>
      </c>
      <c r="I28" s="2" t="str">
        <f>IF($E28&lt;&gt;"",IF(AND($E28&lt;&gt;"EJFANGST",$G28&lt;&gt;"INGA"),IF(ISNUMBER(VLOOKUP((ROW($H27)-ROW($H$1)+1)*10+COLUMN(I$1)-COLUMN($H$1)+1,Beräkningshjälp!$AB$2:$AI$1082,7,FALSE)),VLOOKUP((ROW($H27)-ROW($H$1)+1)*10+COLUMN(I$1)-COLUMN($H$1)+1,Beräkningshjälp!$AB$2:$AI$1082,7,FALSE),IF(H28&gt;0,-VLOOKUP((ROW($H27)-ROW($H$1)+1)*10+COLUMN(I$1)-COLUMN($H$1)+1,Beräkningshjälp!$AB$2:$AI$1082,3,FALSE),0)),0),"")</f>
        <v/>
      </c>
      <c r="J28" s="2" t="str">
        <f>IF($E28&lt;&gt;"",IF(AND($E28&lt;&gt;"EJFANGST",$G28&lt;&gt;"INGA"),IF(ISNUMBER(VLOOKUP((ROW($H27)-ROW($H$1)+1)*10+COLUMN(J$1)-COLUMN($H$1)+1,Beräkningshjälp!$AB$2:$AI$1082,7,FALSE)),VLOOKUP((ROW($H27)-ROW($H$1)+1)*10+COLUMN(J$1)-COLUMN($H$1)+1,Beräkningshjälp!$AB$2:$AI$1082,7,FALSE),IF(I28&gt;0,-VLOOKUP((ROW($H27)-ROW($H$1)+1)*10+COLUMN(J$1)-COLUMN($H$1)+1,Beräkningshjälp!$AB$2:$AI$1082,3,FALSE),0)),0),"")</f>
        <v/>
      </c>
      <c r="K28" s="2" t="str">
        <f>IF($E28&lt;&gt;"",IF(AND($E28&lt;&gt;"EJFANGST",$G28&lt;&gt;"INGA"),IF(ISNUMBER(VLOOKUP((ROW($H27)-ROW($H$1)+1)*10+COLUMN(K$1)-COLUMN($H$1)+1,Beräkningshjälp!$AB$2:$AI$1082,7,FALSE)),VLOOKUP((ROW($H27)-ROW($H$1)+1)*10+COLUMN(K$1)-COLUMN($H$1)+1,Beräkningshjälp!$AB$2:$AI$1082,7,FALSE),IF(J28&gt;0,-VLOOKUP((ROW($H27)-ROW($H$1)+1)*10+COLUMN(K$1)-COLUMN($H$1)+1,Beräkningshjälp!$AB$2:$AI$1082,3,FALSE),0)),0),"")</f>
        <v/>
      </c>
      <c r="L28" s="2" t="str">
        <f>IF($E28&lt;&gt;"",IF(AND($E28&lt;&gt;"EJFANGST",$G28&lt;&gt;"INGA"),IF(ISNUMBER(VLOOKUP((ROW($H27)-ROW($H$1)+1)*10+COLUMN(L$1)-COLUMN($H$1)+1,Beräkningshjälp!$AB$2:$AI$1082,7,FALSE)),VLOOKUP((ROW($H27)-ROW($H$1)+1)*10+COLUMN(L$1)-COLUMN($H$1)+1,Beräkningshjälp!$AB$2:$AI$1082,7,FALSE),IF(K28&gt;0,-VLOOKUP((ROW($H27)-ROW($H$1)+1)*10+COLUMN(L$1)-COLUMN($H$1)+1,Beräkningshjälp!$AB$2:$AI$1082,3,FALSE),0)),0),"")</f>
        <v/>
      </c>
      <c r="M28" s="2" t="str">
        <f>IF($E28&lt;&gt;"",IF(AND($E28&lt;&gt;"EJFANGST",$G28&lt;&gt;"INGA"),IF(ISNUMBER(VLOOKUP((ROW($H27)-ROW($H$1)+1)*10+COLUMN(M$1)-COLUMN($H$1)+1,Beräkningshjälp!$AB$2:$AI$1082,7,FALSE)),VLOOKUP((ROW($H27)-ROW($H$1)+1)*10+COLUMN(M$1)-COLUMN($H$1)+1,Beräkningshjälp!$AB$2:$AI$1082,7,FALSE),IF(L28&gt;0,-VLOOKUP((ROW($H27)-ROW($H$1)+1)*10+COLUMN(M$1)-COLUMN($H$1)+1,Beräkningshjälp!$AB$2:$AI$1082,3,FALSE),0)),0),"")</f>
        <v/>
      </c>
      <c r="N28" s="2" t="str">
        <f>IF($E28&lt;&gt;"",IF(AND($E28&lt;&gt;"EJFANGST",$G28&lt;&gt;"INGA"),IF(ISNUMBER(VLOOKUP((ROW($H27)-ROW($H$1)+1)*10+COLUMN(N$1)-COLUMN($H$1)+1,Beräkningshjälp!$AB$2:$AI$1082,7,FALSE)),VLOOKUP((ROW($H27)-ROW($H$1)+1)*10+COLUMN(N$1)-COLUMN($H$1)+1,Beräkningshjälp!$AB$2:$AI$1082,7,FALSE),IF(M28&gt;0,-VLOOKUP((ROW($H27)-ROW($H$1)+1)*10+COLUMN(N$1)-COLUMN($H$1)+1,Beräkningshjälp!$AB$2:$AI$1082,3,FALSE),0)),0),"")</f>
        <v/>
      </c>
      <c r="O28" s="2" t="str">
        <f>IF($E28&lt;&gt;"",IF(AND($E28&lt;&gt;"EJFANGST",$G28&lt;&gt;"INGA"),IF(ISNUMBER(VLOOKUP((ROW($H27)-ROW($H$1)+1)*10+COLUMN(O$1)-COLUMN($H$1)+1,Beräkningshjälp!$AB$2:$AI$1082,7,FALSE)),VLOOKUP((ROW($H27)-ROW($H$1)+1)*10+COLUMN(O$1)-COLUMN($H$1)+1,Beräkningshjälp!$AB$2:$AI$1082,7,FALSE),IF(N28&gt;0,-VLOOKUP((ROW($H27)-ROW($H$1)+1)*10+COLUMN(O$1)-COLUMN($H$1)+1,Beräkningshjälp!$AB$2:$AI$1082,3,FALSE),0)),0),"")</f>
        <v/>
      </c>
      <c r="P28" s="2" t="str">
        <f>IF($E28&lt;&gt;"",IF(AND($E28&lt;&gt;"EJFANGST",$G28&lt;&gt;"INGA"),IF(ISNUMBER(VLOOKUP((ROW($H27)-ROW($H$1)+1)*10+COLUMN(P$1)-COLUMN($H$1)+1,Beräkningshjälp!$AB$2:$AI$1082,7,FALSE)),VLOOKUP((ROW($H27)-ROW($H$1)+1)*10+COLUMN(P$1)-COLUMN($H$1)+1,Beräkningshjälp!$AB$2:$AI$1082,7,FALSE),IF(O28&gt;0,-VLOOKUP((ROW($H27)-ROW($H$1)+1)*10+COLUMN(P$1)-COLUMN($H$1)+1,Beräkningshjälp!$AB$2:$AI$1082,3,FALSE),0)),0),"")</f>
        <v/>
      </c>
      <c r="Q28" s="2" t="str">
        <f>IF($E28&lt;&gt;"",IF(AND($E28&lt;&gt;"EJFANGST",$G28&lt;&gt;"INGA"),IF(ISNUMBER(VLOOKUP((ROW($H27)-ROW($H$1)+1)*10+COLUMN(Q$1)-COLUMN($H$1)+1,Beräkningshjälp!$AB$2:$AI$1082,7,FALSE)),VLOOKUP((ROW($H27)-ROW($H$1)+1)*10+COLUMN(Q$1)-COLUMN($H$1)+1,Beräkningshjälp!$AB$2:$AI$1082,7,FALSE),IF(P28&gt;0,-VLOOKUP((ROW($H27)-ROW($H$1)+1)*10+COLUMN(Q$1)-COLUMN($H$1)+1,Beräkningshjälp!$AB$2:$AI$1082,3,FALSE),0)),0),"")</f>
        <v/>
      </c>
      <c r="R28" s="116" t="str">
        <f>IF(COUNTIF(H28:Q28,"&gt;0")&gt;0,IF($E28&lt;&gt;"",IF(AND($E28&lt;&gt;"EJFANGST",$G28&lt;&gt;"INGA"),IF(ISNUMBER(VLOOKUP((ROW($H27)-ROW($H$1)+1)*10+COLUMN(H$1)-COLUMN($H$1)+1,Beräkningshjälp!$AB$2:$AI$1082,7,FALSE)),VLOOKUP((ROW($H27)-ROW($H$1)+1)*10+COLUMN(H$1)-COLUMN($H$1)+1,Beräkningshjälp!$AB$2:$AI$1082,3,FALSE),""),""),""),"")</f>
        <v/>
      </c>
    </row>
    <row r="29" spans="1:18" x14ac:dyDescent="0.25">
      <c r="A29" s="2" t="str">
        <f t="shared" si="0"/>
        <v/>
      </c>
      <c r="B29" s="2" t="str">
        <f>IF(D29&lt;&gt;"",'DATA TILL SLU'!$J$3,"")</f>
        <v/>
      </c>
      <c r="C29" s="2" t="str">
        <f>IF(D29&lt;&gt;"",'DATA TILL SLU'!$K$3,"")</f>
        <v/>
      </c>
      <c r="D29" s="2" t="str">
        <f>IF(OR(ROW(D28)-ROW(D$1)+1&lt;=MAX(Beräkningshjälp!$F$37:$F$54),ROW(D28)-ROW(D$1)+1&lt;=ROUND((MAX(Beräkningshjälp!AB$3:AB$1082)+4)/10,0)-1),D$2,"")</f>
        <v/>
      </c>
      <c r="E29" s="136" t="str">
        <f>IF(D29&lt;&gt;"",IF(COUNTIF(Beräkningshjälp!F$38:F$49,"&gt;0")&gt;=ROW(E28)-ROW(E$1)+1,VLOOKUP((VLOOKUP(ROW(E28)-ROW(E$1)+1,Beräkningshjälp!$F$37:$H$54,IF(ISNUMBER(VLOOKUP(ROW(E28)-ROW(E$1)+1,Beräkningshjälp!$F$37:$H$54,2,FALSE)),2,3),FALSE)),Beräkningshjälp!$M$2:$O$60,3,FALSE),VLOOKUP((ROW(E28)-ROW(E$1)+1)*10+1,Beräkningshjälp!$AB$2:$AF$1082,5,FALSE)),"")</f>
        <v/>
      </c>
      <c r="F29" s="2" t="str">
        <f>IF(D29&lt;&gt;"",Beräkningshjälp!$AH$1,"")</f>
        <v/>
      </c>
      <c r="G29" s="136" t="str">
        <f>IF(D29&lt;&gt;"",IF(COUNTIF(Beräkningshjälp!F$38:F$49,"&gt;0")&gt;=ROW(E28)-ROW(E$1)+1,"INGA",IF(COUNTIF(Beräkningshjälp!$G$38:$H$49,VLOOKUP(E29,Beräkningshjälp!$AF$2:$AG$1082,2,FALSE))&gt;0,"ENSTAK",IF(VLOOKUP(VLOOKUP(E29,Beräkningshjälp!O$2:U$60,7,FALSE),Artuppgifter!$I$11:$P$22,7,FALSE)=TRUE,"MINMAX","ALLA"))),"")</f>
        <v/>
      </c>
      <c r="H29" s="2" t="str">
        <f>IF($E29&lt;&gt;"",IF(AND($E29&lt;&gt;"EJFANGST",$G29&lt;&gt;"INGA"),IF(ISNUMBER(VLOOKUP((ROW($H28)-ROW($H$1)+1)*10+COLUMN(H$1)-COLUMN($H$1)+1,Beräkningshjälp!$AB$2:$AI$1082,7,FALSE)),VLOOKUP((ROW($H28)-ROW($H$1)+1)*10+COLUMN(H$1)-COLUMN($H$1)+1,Beräkningshjälp!$AB$2:$AI$1082,7,FALSE),IF(E29&gt;0,-VLOOKUP((ROW($H28)-ROW($H$1)+1)*10+COLUMN(H$1)-COLUMN($H$1)+1,Beräkningshjälp!$AB$2:$AI$1082,3,FALSE),0)),0),"")</f>
        <v/>
      </c>
      <c r="I29" s="2" t="str">
        <f>IF($E29&lt;&gt;"",IF(AND($E29&lt;&gt;"EJFANGST",$G29&lt;&gt;"INGA"),IF(ISNUMBER(VLOOKUP((ROW($H28)-ROW($H$1)+1)*10+COLUMN(I$1)-COLUMN($H$1)+1,Beräkningshjälp!$AB$2:$AI$1082,7,FALSE)),VLOOKUP((ROW($H28)-ROW($H$1)+1)*10+COLUMN(I$1)-COLUMN($H$1)+1,Beräkningshjälp!$AB$2:$AI$1082,7,FALSE),IF(H29&gt;0,-VLOOKUP((ROW($H28)-ROW($H$1)+1)*10+COLUMN(I$1)-COLUMN($H$1)+1,Beräkningshjälp!$AB$2:$AI$1082,3,FALSE),0)),0),"")</f>
        <v/>
      </c>
      <c r="J29" s="2" t="str">
        <f>IF($E29&lt;&gt;"",IF(AND($E29&lt;&gt;"EJFANGST",$G29&lt;&gt;"INGA"),IF(ISNUMBER(VLOOKUP((ROW($H28)-ROW($H$1)+1)*10+COLUMN(J$1)-COLUMN($H$1)+1,Beräkningshjälp!$AB$2:$AI$1082,7,FALSE)),VLOOKUP((ROW($H28)-ROW($H$1)+1)*10+COLUMN(J$1)-COLUMN($H$1)+1,Beräkningshjälp!$AB$2:$AI$1082,7,FALSE),IF(I29&gt;0,-VLOOKUP((ROW($H28)-ROW($H$1)+1)*10+COLUMN(J$1)-COLUMN($H$1)+1,Beräkningshjälp!$AB$2:$AI$1082,3,FALSE),0)),0),"")</f>
        <v/>
      </c>
      <c r="K29" s="2" t="str">
        <f>IF($E29&lt;&gt;"",IF(AND($E29&lt;&gt;"EJFANGST",$G29&lt;&gt;"INGA"),IF(ISNUMBER(VLOOKUP((ROW($H28)-ROW($H$1)+1)*10+COLUMN(K$1)-COLUMN($H$1)+1,Beräkningshjälp!$AB$2:$AI$1082,7,FALSE)),VLOOKUP((ROW($H28)-ROW($H$1)+1)*10+COLUMN(K$1)-COLUMN($H$1)+1,Beräkningshjälp!$AB$2:$AI$1082,7,FALSE),IF(J29&gt;0,-VLOOKUP((ROW($H28)-ROW($H$1)+1)*10+COLUMN(K$1)-COLUMN($H$1)+1,Beräkningshjälp!$AB$2:$AI$1082,3,FALSE),0)),0),"")</f>
        <v/>
      </c>
      <c r="L29" s="2" t="str">
        <f>IF($E29&lt;&gt;"",IF(AND($E29&lt;&gt;"EJFANGST",$G29&lt;&gt;"INGA"),IF(ISNUMBER(VLOOKUP((ROW($H28)-ROW($H$1)+1)*10+COLUMN(L$1)-COLUMN($H$1)+1,Beräkningshjälp!$AB$2:$AI$1082,7,FALSE)),VLOOKUP((ROW($H28)-ROW($H$1)+1)*10+COLUMN(L$1)-COLUMN($H$1)+1,Beräkningshjälp!$AB$2:$AI$1082,7,FALSE),IF(K29&gt;0,-VLOOKUP((ROW($H28)-ROW($H$1)+1)*10+COLUMN(L$1)-COLUMN($H$1)+1,Beräkningshjälp!$AB$2:$AI$1082,3,FALSE),0)),0),"")</f>
        <v/>
      </c>
      <c r="M29" s="2" t="str">
        <f>IF($E29&lt;&gt;"",IF(AND($E29&lt;&gt;"EJFANGST",$G29&lt;&gt;"INGA"),IF(ISNUMBER(VLOOKUP((ROW($H28)-ROW($H$1)+1)*10+COLUMN(M$1)-COLUMN($H$1)+1,Beräkningshjälp!$AB$2:$AI$1082,7,FALSE)),VLOOKUP((ROW($H28)-ROW($H$1)+1)*10+COLUMN(M$1)-COLUMN($H$1)+1,Beräkningshjälp!$AB$2:$AI$1082,7,FALSE),IF(L29&gt;0,-VLOOKUP((ROW($H28)-ROW($H$1)+1)*10+COLUMN(M$1)-COLUMN($H$1)+1,Beräkningshjälp!$AB$2:$AI$1082,3,FALSE),0)),0),"")</f>
        <v/>
      </c>
      <c r="N29" s="2" t="str">
        <f>IF($E29&lt;&gt;"",IF(AND($E29&lt;&gt;"EJFANGST",$G29&lt;&gt;"INGA"),IF(ISNUMBER(VLOOKUP((ROW($H28)-ROW($H$1)+1)*10+COLUMN(N$1)-COLUMN($H$1)+1,Beräkningshjälp!$AB$2:$AI$1082,7,FALSE)),VLOOKUP((ROW($H28)-ROW($H$1)+1)*10+COLUMN(N$1)-COLUMN($H$1)+1,Beräkningshjälp!$AB$2:$AI$1082,7,FALSE),IF(M29&gt;0,-VLOOKUP((ROW($H28)-ROW($H$1)+1)*10+COLUMN(N$1)-COLUMN($H$1)+1,Beräkningshjälp!$AB$2:$AI$1082,3,FALSE),0)),0),"")</f>
        <v/>
      </c>
      <c r="O29" s="2" t="str">
        <f>IF($E29&lt;&gt;"",IF(AND($E29&lt;&gt;"EJFANGST",$G29&lt;&gt;"INGA"),IF(ISNUMBER(VLOOKUP((ROW($H28)-ROW($H$1)+1)*10+COLUMN(O$1)-COLUMN($H$1)+1,Beräkningshjälp!$AB$2:$AI$1082,7,FALSE)),VLOOKUP((ROW($H28)-ROW($H$1)+1)*10+COLUMN(O$1)-COLUMN($H$1)+1,Beräkningshjälp!$AB$2:$AI$1082,7,FALSE),IF(N29&gt;0,-VLOOKUP((ROW($H28)-ROW($H$1)+1)*10+COLUMN(O$1)-COLUMN($H$1)+1,Beräkningshjälp!$AB$2:$AI$1082,3,FALSE),0)),0),"")</f>
        <v/>
      </c>
      <c r="P29" s="2" t="str">
        <f>IF($E29&lt;&gt;"",IF(AND($E29&lt;&gt;"EJFANGST",$G29&lt;&gt;"INGA"),IF(ISNUMBER(VLOOKUP((ROW($H28)-ROW($H$1)+1)*10+COLUMN(P$1)-COLUMN($H$1)+1,Beräkningshjälp!$AB$2:$AI$1082,7,FALSE)),VLOOKUP((ROW($H28)-ROW($H$1)+1)*10+COLUMN(P$1)-COLUMN($H$1)+1,Beräkningshjälp!$AB$2:$AI$1082,7,FALSE),IF(O29&gt;0,-VLOOKUP((ROW($H28)-ROW($H$1)+1)*10+COLUMN(P$1)-COLUMN($H$1)+1,Beräkningshjälp!$AB$2:$AI$1082,3,FALSE),0)),0),"")</f>
        <v/>
      </c>
      <c r="Q29" s="2" t="str">
        <f>IF($E29&lt;&gt;"",IF(AND($E29&lt;&gt;"EJFANGST",$G29&lt;&gt;"INGA"),IF(ISNUMBER(VLOOKUP((ROW($H28)-ROW($H$1)+1)*10+COLUMN(Q$1)-COLUMN($H$1)+1,Beräkningshjälp!$AB$2:$AI$1082,7,FALSE)),VLOOKUP((ROW($H28)-ROW($H$1)+1)*10+COLUMN(Q$1)-COLUMN($H$1)+1,Beräkningshjälp!$AB$2:$AI$1082,7,FALSE),IF(P29&gt;0,-VLOOKUP((ROW($H28)-ROW($H$1)+1)*10+COLUMN(Q$1)-COLUMN($H$1)+1,Beräkningshjälp!$AB$2:$AI$1082,3,FALSE),0)),0),"")</f>
        <v/>
      </c>
      <c r="R29" s="116" t="str">
        <f>IF(COUNTIF(H29:Q29,"&gt;0")&gt;0,IF($E29&lt;&gt;"",IF(AND($E29&lt;&gt;"EJFANGST",$G29&lt;&gt;"INGA"),IF(ISNUMBER(VLOOKUP((ROW($H28)-ROW($H$1)+1)*10+COLUMN(H$1)-COLUMN($H$1)+1,Beräkningshjälp!$AB$2:$AI$1082,7,FALSE)),VLOOKUP((ROW($H28)-ROW($H$1)+1)*10+COLUMN(H$1)-COLUMN($H$1)+1,Beräkningshjälp!$AB$2:$AI$1082,3,FALSE),""),""),""),"")</f>
        <v/>
      </c>
    </row>
    <row r="30" spans="1:18" x14ac:dyDescent="0.25">
      <c r="A30" s="2" t="str">
        <f t="shared" si="0"/>
        <v/>
      </c>
      <c r="B30" s="2" t="str">
        <f>IF(D30&lt;&gt;"",'DATA TILL SLU'!$J$3,"")</f>
        <v/>
      </c>
      <c r="C30" s="2" t="str">
        <f>IF(D30&lt;&gt;"",'DATA TILL SLU'!$K$3,"")</f>
        <v/>
      </c>
      <c r="D30" s="2" t="str">
        <f>IF(OR(ROW(D29)-ROW(D$1)+1&lt;=MAX(Beräkningshjälp!$F$37:$F$54),ROW(D29)-ROW(D$1)+1&lt;=ROUND((MAX(Beräkningshjälp!AB$3:AB$1082)+4)/10,0)-1),D$2,"")</f>
        <v/>
      </c>
      <c r="E30" s="136" t="str">
        <f>IF(D30&lt;&gt;"",IF(COUNTIF(Beräkningshjälp!F$38:F$49,"&gt;0")&gt;=ROW(E29)-ROW(E$1)+1,VLOOKUP((VLOOKUP(ROW(E29)-ROW(E$1)+1,Beräkningshjälp!$F$37:$H$54,IF(ISNUMBER(VLOOKUP(ROW(E29)-ROW(E$1)+1,Beräkningshjälp!$F$37:$H$54,2,FALSE)),2,3),FALSE)),Beräkningshjälp!$M$2:$O$60,3,FALSE),VLOOKUP((ROW(E29)-ROW(E$1)+1)*10+1,Beräkningshjälp!$AB$2:$AF$1082,5,FALSE)),"")</f>
        <v/>
      </c>
      <c r="F30" s="2" t="str">
        <f>IF(D30&lt;&gt;"",Beräkningshjälp!$AH$1,"")</f>
        <v/>
      </c>
      <c r="G30" s="136" t="str">
        <f>IF(D30&lt;&gt;"",IF(COUNTIF(Beräkningshjälp!F$38:F$49,"&gt;0")&gt;=ROW(E29)-ROW(E$1)+1,"INGA",IF(COUNTIF(Beräkningshjälp!$G$38:$H$49,VLOOKUP(E30,Beräkningshjälp!$AF$2:$AG$1082,2,FALSE))&gt;0,"ENSTAK",IF(VLOOKUP(VLOOKUP(E30,Beräkningshjälp!O$2:U$60,7,FALSE),Artuppgifter!$I$11:$P$22,7,FALSE)=TRUE,"MINMAX","ALLA"))),"")</f>
        <v/>
      </c>
      <c r="H30" s="2" t="str">
        <f>IF($E30&lt;&gt;"",IF(AND($E30&lt;&gt;"EJFANGST",$G30&lt;&gt;"INGA"),IF(ISNUMBER(VLOOKUP((ROW($H29)-ROW($H$1)+1)*10+COLUMN(H$1)-COLUMN($H$1)+1,Beräkningshjälp!$AB$2:$AI$1082,7,FALSE)),VLOOKUP((ROW($H29)-ROW($H$1)+1)*10+COLUMN(H$1)-COLUMN($H$1)+1,Beräkningshjälp!$AB$2:$AI$1082,7,FALSE),IF(E30&gt;0,-VLOOKUP((ROW($H29)-ROW($H$1)+1)*10+COLUMN(H$1)-COLUMN($H$1)+1,Beräkningshjälp!$AB$2:$AI$1082,3,FALSE),0)),0),"")</f>
        <v/>
      </c>
      <c r="I30" s="2" t="str">
        <f>IF($E30&lt;&gt;"",IF(AND($E30&lt;&gt;"EJFANGST",$G30&lt;&gt;"INGA"),IF(ISNUMBER(VLOOKUP((ROW($H29)-ROW($H$1)+1)*10+COLUMN(I$1)-COLUMN($H$1)+1,Beräkningshjälp!$AB$2:$AI$1082,7,FALSE)),VLOOKUP((ROW($H29)-ROW($H$1)+1)*10+COLUMN(I$1)-COLUMN($H$1)+1,Beräkningshjälp!$AB$2:$AI$1082,7,FALSE),IF(H30&gt;0,-VLOOKUP((ROW($H29)-ROW($H$1)+1)*10+COLUMN(I$1)-COLUMN($H$1)+1,Beräkningshjälp!$AB$2:$AI$1082,3,FALSE),0)),0),"")</f>
        <v/>
      </c>
      <c r="J30" s="2" t="str">
        <f>IF($E30&lt;&gt;"",IF(AND($E30&lt;&gt;"EJFANGST",$G30&lt;&gt;"INGA"),IF(ISNUMBER(VLOOKUP((ROW($H29)-ROW($H$1)+1)*10+COLUMN(J$1)-COLUMN($H$1)+1,Beräkningshjälp!$AB$2:$AI$1082,7,FALSE)),VLOOKUP((ROW($H29)-ROW($H$1)+1)*10+COLUMN(J$1)-COLUMN($H$1)+1,Beräkningshjälp!$AB$2:$AI$1082,7,FALSE),IF(I30&gt;0,-VLOOKUP((ROW($H29)-ROW($H$1)+1)*10+COLUMN(J$1)-COLUMN($H$1)+1,Beräkningshjälp!$AB$2:$AI$1082,3,FALSE),0)),0),"")</f>
        <v/>
      </c>
      <c r="K30" s="2" t="str">
        <f>IF($E30&lt;&gt;"",IF(AND($E30&lt;&gt;"EJFANGST",$G30&lt;&gt;"INGA"),IF(ISNUMBER(VLOOKUP((ROW($H29)-ROW($H$1)+1)*10+COLUMN(K$1)-COLUMN($H$1)+1,Beräkningshjälp!$AB$2:$AI$1082,7,FALSE)),VLOOKUP((ROW($H29)-ROW($H$1)+1)*10+COLUMN(K$1)-COLUMN($H$1)+1,Beräkningshjälp!$AB$2:$AI$1082,7,FALSE),IF(J30&gt;0,-VLOOKUP((ROW($H29)-ROW($H$1)+1)*10+COLUMN(K$1)-COLUMN($H$1)+1,Beräkningshjälp!$AB$2:$AI$1082,3,FALSE),0)),0),"")</f>
        <v/>
      </c>
      <c r="L30" s="2" t="str">
        <f>IF($E30&lt;&gt;"",IF(AND($E30&lt;&gt;"EJFANGST",$G30&lt;&gt;"INGA"),IF(ISNUMBER(VLOOKUP((ROW($H29)-ROW($H$1)+1)*10+COLUMN(L$1)-COLUMN($H$1)+1,Beräkningshjälp!$AB$2:$AI$1082,7,FALSE)),VLOOKUP((ROW($H29)-ROW($H$1)+1)*10+COLUMN(L$1)-COLUMN($H$1)+1,Beräkningshjälp!$AB$2:$AI$1082,7,FALSE),IF(K30&gt;0,-VLOOKUP((ROW($H29)-ROW($H$1)+1)*10+COLUMN(L$1)-COLUMN($H$1)+1,Beräkningshjälp!$AB$2:$AI$1082,3,FALSE),0)),0),"")</f>
        <v/>
      </c>
      <c r="M30" s="2" t="str">
        <f>IF($E30&lt;&gt;"",IF(AND($E30&lt;&gt;"EJFANGST",$G30&lt;&gt;"INGA"),IF(ISNUMBER(VLOOKUP((ROW($H29)-ROW($H$1)+1)*10+COLUMN(M$1)-COLUMN($H$1)+1,Beräkningshjälp!$AB$2:$AI$1082,7,FALSE)),VLOOKUP((ROW($H29)-ROW($H$1)+1)*10+COLUMN(M$1)-COLUMN($H$1)+1,Beräkningshjälp!$AB$2:$AI$1082,7,FALSE),IF(L30&gt;0,-VLOOKUP((ROW($H29)-ROW($H$1)+1)*10+COLUMN(M$1)-COLUMN($H$1)+1,Beräkningshjälp!$AB$2:$AI$1082,3,FALSE),0)),0),"")</f>
        <v/>
      </c>
      <c r="N30" s="2" t="str">
        <f>IF($E30&lt;&gt;"",IF(AND($E30&lt;&gt;"EJFANGST",$G30&lt;&gt;"INGA"),IF(ISNUMBER(VLOOKUP((ROW($H29)-ROW($H$1)+1)*10+COLUMN(N$1)-COLUMN($H$1)+1,Beräkningshjälp!$AB$2:$AI$1082,7,FALSE)),VLOOKUP((ROW($H29)-ROW($H$1)+1)*10+COLUMN(N$1)-COLUMN($H$1)+1,Beräkningshjälp!$AB$2:$AI$1082,7,FALSE),IF(M30&gt;0,-VLOOKUP((ROW($H29)-ROW($H$1)+1)*10+COLUMN(N$1)-COLUMN($H$1)+1,Beräkningshjälp!$AB$2:$AI$1082,3,FALSE),0)),0),"")</f>
        <v/>
      </c>
      <c r="O30" s="2" t="str">
        <f>IF($E30&lt;&gt;"",IF(AND($E30&lt;&gt;"EJFANGST",$G30&lt;&gt;"INGA"),IF(ISNUMBER(VLOOKUP((ROW($H29)-ROW($H$1)+1)*10+COLUMN(O$1)-COLUMN($H$1)+1,Beräkningshjälp!$AB$2:$AI$1082,7,FALSE)),VLOOKUP((ROW($H29)-ROW($H$1)+1)*10+COLUMN(O$1)-COLUMN($H$1)+1,Beräkningshjälp!$AB$2:$AI$1082,7,FALSE),IF(N30&gt;0,-VLOOKUP((ROW($H29)-ROW($H$1)+1)*10+COLUMN(O$1)-COLUMN($H$1)+1,Beräkningshjälp!$AB$2:$AI$1082,3,FALSE),0)),0),"")</f>
        <v/>
      </c>
      <c r="P30" s="2" t="str">
        <f>IF($E30&lt;&gt;"",IF(AND($E30&lt;&gt;"EJFANGST",$G30&lt;&gt;"INGA"),IF(ISNUMBER(VLOOKUP((ROW($H29)-ROW($H$1)+1)*10+COLUMN(P$1)-COLUMN($H$1)+1,Beräkningshjälp!$AB$2:$AI$1082,7,FALSE)),VLOOKUP((ROW($H29)-ROW($H$1)+1)*10+COLUMN(P$1)-COLUMN($H$1)+1,Beräkningshjälp!$AB$2:$AI$1082,7,FALSE),IF(O30&gt;0,-VLOOKUP((ROW($H29)-ROW($H$1)+1)*10+COLUMN(P$1)-COLUMN($H$1)+1,Beräkningshjälp!$AB$2:$AI$1082,3,FALSE),0)),0),"")</f>
        <v/>
      </c>
      <c r="Q30" s="2" t="str">
        <f>IF($E30&lt;&gt;"",IF(AND($E30&lt;&gt;"EJFANGST",$G30&lt;&gt;"INGA"),IF(ISNUMBER(VLOOKUP((ROW($H29)-ROW($H$1)+1)*10+COLUMN(Q$1)-COLUMN($H$1)+1,Beräkningshjälp!$AB$2:$AI$1082,7,FALSE)),VLOOKUP((ROW($H29)-ROW($H$1)+1)*10+COLUMN(Q$1)-COLUMN($H$1)+1,Beräkningshjälp!$AB$2:$AI$1082,7,FALSE),IF(P30&gt;0,-VLOOKUP((ROW($H29)-ROW($H$1)+1)*10+COLUMN(Q$1)-COLUMN($H$1)+1,Beräkningshjälp!$AB$2:$AI$1082,3,FALSE),0)),0),"")</f>
        <v/>
      </c>
      <c r="R30" s="116" t="str">
        <f>IF(COUNTIF(H30:Q30,"&gt;0")&gt;0,IF($E30&lt;&gt;"",IF(AND($E30&lt;&gt;"EJFANGST",$G30&lt;&gt;"INGA"),IF(ISNUMBER(VLOOKUP((ROW($H29)-ROW($H$1)+1)*10+COLUMN(H$1)-COLUMN($H$1)+1,Beräkningshjälp!$AB$2:$AI$1082,7,FALSE)),VLOOKUP((ROW($H29)-ROW($H$1)+1)*10+COLUMN(H$1)-COLUMN($H$1)+1,Beräkningshjälp!$AB$2:$AI$1082,3,FALSE),""),""),""),"")</f>
        <v/>
      </c>
    </row>
    <row r="31" spans="1:18" x14ac:dyDescent="0.25">
      <c r="A31" s="2" t="str">
        <f t="shared" si="0"/>
        <v/>
      </c>
      <c r="B31" s="2" t="str">
        <f>IF(D31&lt;&gt;"",'DATA TILL SLU'!$J$3,"")</f>
        <v/>
      </c>
      <c r="C31" s="2" t="str">
        <f>IF(D31&lt;&gt;"",'DATA TILL SLU'!$K$3,"")</f>
        <v/>
      </c>
      <c r="D31" s="2" t="str">
        <f>IF(OR(ROW(D30)-ROW(D$1)+1&lt;=MAX(Beräkningshjälp!$F$37:$F$54),ROW(D30)-ROW(D$1)+1&lt;=ROUND((MAX(Beräkningshjälp!AB$3:AB$1082)+4)/10,0)-1),D$2,"")</f>
        <v/>
      </c>
      <c r="E31" s="136" t="str">
        <f>IF(D31&lt;&gt;"",IF(COUNTIF(Beräkningshjälp!F$38:F$49,"&gt;0")&gt;=ROW(E30)-ROW(E$1)+1,VLOOKUP((VLOOKUP(ROW(E30)-ROW(E$1)+1,Beräkningshjälp!$F$37:$H$54,IF(ISNUMBER(VLOOKUP(ROW(E30)-ROW(E$1)+1,Beräkningshjälp!$F$37:$H$54,2,FALSE)),2,3),FALSE)),Beräkningshjälp!$M$2:$O$60,3,FALSE),VLOOKUP((ROW(E30)-ROW(E$1)+1)*10+1,Beräkningshjälp!$AB$2:$AF$1082,5,FALSE)),"")</f>
        <v/>
      </c>
      <c r="F31" s="2" t="str">
        <f>IF(D31&lt;&gt;"",Beräkningshjälp!$AH$1,"")</f>
        <v/>
      </c>
      <c r="G31" s="136" t="str">
        <f>IF(D31&lt;&gt;"",IF(COUNTIF(Beräkningshjälp!F$38:F$49,"&gt;0")&gt;=ROW(E30)-ROW(E$1)+1,"INGA",IF(COUNTIF(Beräkningshjälp!$G$38:$H$49,VLOOKUP(E31,Beräkningshjälp!$AF$2:$AG$1082,2,FALSE))&gt;0,"ENSTAK",IF(VLOOKUP(VLOOKUP(E31,Beräkningshjälp!O$2:U$60,7,FALSE),Artuppgifter!$I$11:$P$22,7,FALSE)=TRUE,"MINMAX","ALLA"))),"")</f>
        <v/>
      </c>
      <c r="H31" s="2" t="str">
        <f>IF($E31&lt;&gt;"",IF(AND($E31&lt;&gt;"EJFANGST",$G31&lt;&gt;"INGA"),IF(ISNUMBER(VLOOKUP((ROW($H30)-ROW($H$1)+1)*10+COLUMN(H$1)-COLUMN($H$1)+1,Beräkningshjälp!$AB$2:$AI$1082,7,FALSE)),VLOOKUP((ROW($H30)-ROW($H$1)+1)*10+COLUMN(H$1)-COLUMN($H$1)+1,Beräkningshjälp!$AB$2:$AI$1082,7,FALSE),IF(E31&gt;0,-VLOOKUP((ROW($H30)-ROW($H$1)+1)*10+COLUMN(H$1)-COLUMN($H$1)+1,Beräkningshjälp!$AB$2:$AI$1082,3,FALSE),0)),0),"")</f>
        <v/>
      </c>
      <c r="I31" s="2" t="str">
        <f>IF($E31&lt;&gt;"",IF(AND($E31&lt;&gt;"EJFANGST",$G31&lt;&gt;"INGA"),IF(ISNUMBER(VLOOKUP((ROW($H30)-ROW($H$1)+1)*10+COLUMN(I$1)-COLUMN($H$1)+1,Beräkningshjälp!$AB$2:$AI$1082,7,FALSE)),VLOOKUP((ROW($H30)-ROW($H$1)+1)*10+COLUMN(I$1)-COLUMN($H$1)+1,Beräkningshjälp!$AB$2:$AI$1082,7,FALSE),IF(H31&gt;0,-VLOOKUP((ROW($H30)-ROW($H$1)+1)*10+COLUMN(I$1)-COLUMN($H$1)+1,Beräkningshjälp!$AB$2:$AI$1082,3,FALSE),0)),0),"")</f>
        <v/>
      </c>
      <c r="J31" s="2" t="str">
        <f>IF($E31&lt;&gt;"",IF(AND($E31&lt;&gt;"EJFANGST",$G31&lt;&gt;"INGA"),IF(ISNUMBER(VLOOKUP((ROW($H30)-ROW($H$1)+1)*10+COLUMN(J$1)-COLUMN($H$1)+1,Beräkningshjälp!$AB$2:$AI$1082,7,FALSE)),VLOOKUP((ROW($H30)-ROW($H$1)+1)*10+COLUMN(J$1)-COLUMN($H$1)+1,Beräkningshjälp!$AB$2:$AI$1082,7,FALSE),IF(I31&gt;0,-VLOOKUP((ROW($H30)-ROW($H$1)+1)*10+COLUMN(J$1)-COLUMN($H$1)+1,Beräkningshjälp!$AB$2:$AI$1082,3,FALSE),0)),0),"")</f>
        <v/>
      </c>
      <c r="K31" s="2" t="str">
        <f>IF($E31&lt;&gt;"",IF(AND($E31&lt;&gt;"EJFANGST",$G31&lt;&gt;"INGA"),IF(ISNUMBER(VLOOKUP((ROW($H30)-ROW($H$1)+1)*10+COLUMN(K$1)-COLUMN($H$1)+1,Beräkningshjälp!$AB$2:$AI$1082,7,FALSE)),VLOOKUP((ROW($H30)-ROW($H$1)+1)*10+COLUMN(K$1)-COLUMN($H$1)+1,Beräkningshjälp!$AB$2:$AI$1082,7,FALSE),IF(J31&gt;0,-VLOOKUP((ROW($H30)-ROW($H$1)+1)*10+COLUMN(K$1)-COLUMN($H$1)+1,Beräkningshjälp!$AB$2:$AI$1082,3,FALSE),0)),0),"")</f>
        <v/>
      </c>
      <c r="L31" s="2" t="str">
        <f>IF($E31&lt;&gt;"",IF(AND($E31&lt;&gt;"EJFANGST",$G31&lt;&gt;"INGA"),IF(ISNUMBER(VLOOKUP((ROW($H30)-ROW($H$1)+1)*10+COLUMN(L$1)-COLUMN($H$1)+1,Beräkningshjälp!$AB$2:$AI$1082,7,FALSE)),VLOOKUP((ROW($H30)-ROW($H$1)+1)*10+COLUMN(L$1)-COLUMN($H$1)+1,Beräkningshjälp!$AB$2:$AI$1082,7,FALSE),IF(K31&gt;0,-VLOOKUP((ROW($H30)-ROW($H$1)+1)*10+COLUMN(L$1)-COLUMN($H$1)+1,Beräkningshjälp!$AB$2:$AI$1082,3,FALSE),0)),0),"")</f>
        <v/>
      </c>
      <c r="M31" s="2" t="str">
        <f>IF($E31&lt;&gt;"",IF(AND($E31&lt;&gt;"EJFANGST",$G31&lt;&gt;"INGA"),IF(ISNUMBER(VLOOKUP((ROW($H30)-ROW($H$1)+1)*10+COLUMN(M$1)-COLUMN($H$1)+1,Beräkningshjälp!$AB$2:$AI$1082,7,FALSE)),VLOOKUP((ROW($H30)-ROW($H$1)+1)*10+COLUMN(M$1)-COLUMN($H$1)+1,Beräkningshjälp!$AB$2:$AI$1082,7,FALSE),IF(L31&gt;0,-VLOOKUP((ROW($H30)-ROW($H$1)+1)*10+COLUMN(M$1)-COLUMN($H$1)+1,Beräkningshjälp!$AB$2:$AI$1082,3,FALSE),0)),0),"")</f>
        <v/>
      </c>
      <c r="N31" s="2" t="str">
        <f>IF($E31&lt;&gt;"",IF(AND($E31&lt;&gt;"EJFANGST",$G31&lt;&gt;"INGA"),IF(ISNUMBER(VLOOKUP((ROW($H30)-ROW($H$1)+1)*10+COLUMN(N$1)-COLUMN($H$1)+1,Beräkningshjälp!$AB$2:$AI$1082,7,FALSE)),VLOOKUP((ROW($H30)-ROW($H$1)+1)*10+COLUMN(N$1)-COLUMN($H$1)+1,Beräkningshjälp!$AB$2:$AI$1082,7,FALSE),IF(M31&gt;0,-VLOOKUP((ROW($H30)-ROW($H$1)+1)*10+COLUMN(N$1)-COLUMN($H$1)+1,Beräkningshjälp!$AB$2:$AI$1082,3,FALSE),0)),0),"")</f>
        <v/>
      </c>
      <c r="O31" s="2" t="str">
        <f>IF($E31&lt;&gt;"",IF(AND($E31&lt;&gt;"EJFANGST",$G31&lt;&gt;"INGA"),IF(ISNUMBER(VLOOKUP((ROW($H30)-ROW($H$1)+1)*10+COLUMN(O$1)-COLUMN($H$1)+1,Beräkningshjälp!$AB$2:$AI$1082,7,FALSE)),VLOOKUP((ROW($H30)-ROW($H$1)+1)*10+COLUMN(O$1)-COLUMN($H$1)+1,Beräkningshjälp!$AB$2:$AI$1082,7,FALSE),IF(N31&gt;0,-VLOOKUP((ROW($H30)-ROW($H$1)+1)*10+COLUMN(O$1)-COLUMN($H$1)+1,Beräkningshjälp!$AB$2:$AI$1082,3,FALSE),0)),0),"")</f>
        <v/>
      </c>
      <c r="P31" s="2" t="str">
        <f>IF($E31&lt;&gt;"",IF(AND($E31&lt;&gt;"EJFANGST",$G31&lt;&gt;"INGA"),IF(ISNUMBER(VLOOKUP((ROW($H30)-ROW($H$1)+1)*10+COLUMN(P$1)-COLUMN($H$1)+1,Beräkningshjälp!$AB$2:$AI$1082,7,FALSE)),VLOOKUP((ROW($H30)-ROW($H$1)+1)*10+COLUMN(P$1)-COLUMN($H$1)+1,Beräkningshjälp!$AB$2:$AI$1082,7,FALSE),IF(O31&gt;0,-VLOOKUP((ROW($H30)-ROW($H$1)+1)*10+COLUMN(P$1)-COLUMN($H$1)+1,Beräkningshjälp!$AB$2:$AI$1082,3,FALSE),0)),0),"")</f>
        <v/>
      </c>
      <c r="Q31" s="2" t="str">
        <f>IF($E31&lt;&gt;"",IF(AND($E31&lt;&gt;"EJFANGST",$G31&lt;&gt;"INGA"),IF(ISNUMBER(VLOOKUP((ROW($H30)-ROW($H$1)+1)*10+COLUMN(Q$1)-COLUMN($H$1)+1,Beräkningshjälp!$AB$2:$AI$1082,7,FALSE)),VLOOKUP((ROW($H30)-ROW($H$1)+1)*10+COLUMN(Q$1)-COLUMN($H$1)+1,Beräkningshjälp!$AB$2:$AI$1082,7,FALSE),IF(P31&gt;0,-VLOOKUP((ROW($H30)-ROW($H$1)+1)*10+COLUMN(Q$1)-COLUMN($H$1)+1,Beräkningshjälp!$AB$2:$AI$1082,3,FALSE),0)),0),"")</f>
        <v/>
      </c>
      <c r="R31" s="116" t="str">
        <f>IF(COUNTIF(H31:Q31,"&gt;0")&gt;0,IF($E31&lt;&gt;"",IF(AND($E31&lt;&gt;"EJFANGST",$G31&lt;&gt;"INGA"),IF(ISNUMBER(VLOOKUP((ROW($H30)-ROW($H$1)+1)*10+COLUMN(H$1)-COLUMN($H$1)+1,Beräkningshjälp!$AB$2:$AI$1082,7,FALSE)),VLOOKUP((ROW($H30)-ROW($H$1)+1)*10+COLUMN(H$1)-COLUMN($H$1)+1,Beräkningshjälp!$AB$2:$AI$1082,3,FALSE),""),""),""),"")</f>
        <v/>
      </c>
    </row>
    <row r="32" spans="1:18" x14ac:dyDescent="0.25">
      <c r="A32" s="2" t="str">
        <f t="shared" si="0"/>
        <v/>
      </c>
      <c r="B32" s="2" t="str">
        <f>IF(D32&lt;&gt;"",'DATA TILL SLU'!$J$3,"")</f>
        <v/>
      </c>
      <c r="C32" s="2" t="str">
        <f>IF(D32&lt;&gt;"",'DATA TILL SLU'!$K$3,"")</f>
        <v/>
      </c>
      <c r="D32" s="2" t="str">
        <f>IF(OR(ROW(D31)-ROW(D$1)+1&lt;=MAX(Beräkningshjälp!$F$37:$F$54),ROW(D31)-ROW(D$1)+1&lt;=ROUND((MAX(Beräkningshjälp!AB$3:AB$1082)+4)/10,0)-1),D$2,"")</f>
        <v/>
      </c>
      <c r="E32" s="136" t="str">
        <f>IF(D32&lt;&gt;"",IF(COUNTIF(Beräkningshjälp!F$38:F$49,"&gt;0")&gt;=ROW(E31)-ROW(E$1)+1,VLOOKUP((VLOOKUP(ROW(E31)-ROW(E$1)+1,Beräkningshjälp!$F$37:$H$54,IF(ISNUMBER(VLOOKUP(ROW(E31)-ROW(E$1)+1,Beräkningshjälp!$F$37:$H$54,2,FALSE)),2,3),FALSE)),Beräkningshjälp!$M$2:$O$60,3,FALSE),VLOOKUP((ROW(E31)-ROW(E$1)+1)*10+1,Beräkningshjälp!$AB$2:$AF$1082,5,FALSE)),"")</f>
        <v/>
      </c>
      <c r="F32" s="2" t="str">
        <f>IF(D32&lt;&gt;"",Beräkningshjälp!$AH$1,"")</f>
        <v/>
      </c>
      <c r="G32" s="136" t="str">
        <f>IF(D32&lt;&gt;"",IF(COUNTIF(Beräkningshjälp!F$38:F$49,"&gt;0")&gt;=ROW(E31)-ROW(E$1)+1,"INGA",IF(COUNTIF(Beräkningshjälp!$G$38:$H$49,VLOOKUP(E32,Beräkningshjälp!$AF$2:$AG$1082,2,FALSE))&gt;0,"ENSTAK",IF(VLOOKUP(VLOOKUP(E32,Beräkningshjälp!O$2:U$60,7,FALSE),Artuppgifter!$I$11:$P$22,7,FALSE)=TRUE,"MINMAX","ALLA"))),"")</f>
        <v/>
      </c>
      <c r="H32" s="2" t="str">
        <f>IF($E32&lt;&gt;"",IF(AND($E32&lt;&gt;"EJFANGST",$G32&lt;&gt;"INGA"),IF(ISNUMBER(VLOOKUP((ROW($H31)-ROW($H$1)+1)*10+COLUMN(H$1)-COLUMN($H$1)+1,Beräkningshjälp!$AB$2:$AI$1082,7,FALSE)),VLOOKUP((ROW($H31)-ROW($H$1)+1)*10+COLUMN(H$1)-COLUMN($H$1)+1,Beräkningshjälp!$AB$2:$AI$1082,7,FALSE),IF(E32&gt;0,-VLOOKUP((ROW($H31)-ROW($H$1)+1)*10+COLUMN(H$1)-COLUMN($H$1)+1,Beräkningshjälp!$AB$2:$AI$1082,3,FALSE),0)),0),"")</f>
        <v/>
      </c>
      <c r="I32" s="2" t="str">
        <f>IF($E32&lt;&gt;"",IF(AND($E32&lt;&gt;"EJFANGST",$G32&lt;&gt;"INGA"),IF(ISNUMBER(VLOOKUP((ROW($H31)-ROW($H$1)+1)*10+COLUMN(I$1)-COLUMN($H$1)+1,Beräkningshjälp!$AB$2:$AI$1082,7,FALSE)),VLOOKUP((ROW($H31)-ROW($H$1)+1)*10+COLUMN(I$1)-COLUMN($H$1)+1,Beräkningshjälp!$AB$2:$AI$1082,7,FALSE),IF(H32&gt;0,-VLOOKUP((ROW($H31)-ROW($H$1)+1)*10+COLUMN(I$1)-COLUMN($H$1)+1,Beräkningshjälp!$AB$2:$AI$1082,3,FALSE),0)),0),"")</f>
        <v/>
      </c>
      <c r="J32" s="2" t="str">
        <f>IF($E32&lt;&gt;"",IF(AND($E32&lt;&gt;"EJFANGST",$G32&lt;&gt;"INGA"),IF(ISNUMBER(VLOOKUP((ROW($H31)-ROW($H$1)+1)*10+COLUMN(J$1)-COLUMN($H$1)+1,Beräkningshjälp!$AB$2:$AI$1082,7,FALSE)),VLOOKUP((ROW($H31)-ROW($H$1)+1)*10+COLUMN(J$1)-COLUMN($H$1)+1,Beräkningshjälp!$AB$2:$AI$1082,7,FALSE),IF(I32&gt;0,-VLOOKUP((ROW($H31)-ROW($H$1)+1)*10+COLUMN(J$1)-COLUMN($H$1)+1,Beräkningshjälp!$AB$2:$AI$1082,3,FALSE),0)),0),"")</f>
        <v/>
      </c>
      <c r="K32" s="2" t="str">
        <f>IF($E32&lt;&gt;"",IF(AND($E32&lt;&gt;"EJFANGST",$G32&lt;&gt;"INGA"),IF(ISNUMBER(VLOOKUP((ROW($H31)-ROW($H$1)+1)*10+COLUMN(K$1)-COLUMN($H$1)+1,Beräkningshjälp!$AB$2:$AI$1082,7,FALSE)),VLOOKUP((ROW($H31)-ROW($H$1)+1)*10+COLUMN(K$1)-COLUMN($H$1)+1,Beräkningshjälp!$AB$2:$AI$1082,7,FALSE),IF(J32&gt;0,-VLOOKUP((ROW($H31)-ROW($H$1)+1)*10+COLUMN(K$1)-COLUMN($H$1)+1,Beräkningshjälp!$AB$2:$AI$1082,3,FALSE),0)),0),"")</f>
        <v/>
      </c>
      <c r="L32" s="2" t="str">
        <f>IF($E32&lt;&gt;"",IF(AND($E32&lt;&gt;"EJFANGST",$G32&lt;&gt;"INGA"),IF(ISNUMBER(VLOOKUP((ROW($H31)-ROW($H$1)+1)*10+COLUMN(L$1)-COLUMN($H$1)+1,Beräkningshjälp!$AB$2:$AI$1082,7,FALSE)),VLOOKUP((ROW($H31)-ROW($H$1)+1)*10+COLUMN(L$1)-COLUMN($H$1)+1,Beräkningshjälp!$AB$2:$AI$1082,7,FALSE),IF(K32&gt;0,-VLOOKUP((ROW($H31)-ROW($H$1)+1)*10+COLUMN(L$1)-COLUMN($H$1)+1,Beräkningshjälp!$AB$2:$AI$1082,3,FALSE),0)),0),"")</f>
        <v/>
      </c>
      <c r="M32" s="2" t="str">
        <f>IF($E32&lt;&gt;"",IF(AND($E32&lt;&gt;"EJFANGST",$G32&lt;&gt;"INGA"),IF(ISNUMBER(VLOOKUP((ROW($H31)-ROW($H$1)+1)*10+COLUMN(M$1)-COLUMN($H$1)+1,Beräkningshjälp!$AB$2:$AI$1082,7,FALSE)),VLOOKUP((ROW($H31)-ROW($H$1)+1)*10+COLUMN(M$1)-COLUMN($H$1)+1,Beräkningshjälp!$AB$2:$AI$1082,7,FALSE),IF(L32&gt;0,-VLOOKUP((ROW($H31)-ROW($H$1)+1)*10+COLUMN(M$1)-COLUMN($H$1)+1,Beräkningshjälp!$AB$2:$AI$1082,3,FALSE),0)),0),"")</f>
        <v/>
      </c>
      <c r="N32" s="2" t="str">
        <f>IF($E32&lt;&gt;"",IF(AND($E32&lt;&gt;"EJFANGST",$G32&lt;&gt;"INGA"),IF(ISNUMBER(VLOOKUP((ROW($H31)-ROW($H$1)+1)*10+COLUMN(N$1)-COLUMN($H$1)+1,Beräkningshjälp!$AB$2:$AI$1082,7,FALSE)),VLOOKUP((ROW($H31)-ROW($H$1)+1)*10+COLUMN(N$1)-COLUMN($H$1)+1,Beräkningshjälp!$AB$2:$AI$1082,7,FALSE),IF(M32&gt;0,-VLOOKUP((ROW($H31)-ROW($H$1)+1)*10+COLUMN(N$1)-COLUMN($H$1)+1,Beräkningshjälp!$AB$2:$AI$1082,3,FALSE),0)),0),"")</f>
        <v/>
      </c>
      <c r="O32" s="2" t="str">
        <f>IF($E32&lt;&gt;"",IF(AND($E32&lt;&gt;"EJFANGST",$G32&lt;&gt;"INGA"),IF(ISNUMBER(VLOOKUP((ROW($H31)-ROW($H$1)+1)*10+COLUMN(O$1)-COLUMN($H$1)+1,Beräkningshjälp!$AB$2:$AI$1082,7,FALSE)),VLOOKUP((ROW($H31)-ROW($H$1)+1)*10+COLUMN(O$1)-COLUMN($H$1)+1,Beräkningshjälp!$AB$2:$AI$1082,7,FALSE),IF(N32&gt;0,-VLOOKUP((ROW($H31)-ROW($H$1)+1)*10+COLUMN(O$1)-COLUMN($H$1)+1,Beräkningshjälp!$AB$2:$AI$1082,3,FALSE),0)),0),"")</f>
        <v/>
      </c>
      <c r="P32" s="2" t="str">
        <f>IF($E32&lt;&gt;"",IF(AND($E32&lt;&gt;"EJFANGST",$G32&lt;&gt;"INGA"),IF(ISNUMBER(VLOOKUP((ROW($H31)-ROW($H$1)+1)*10+COLUMN(P$1)-COLUMN($H$1)+1,Beräkningshjälp!$AB$2:$AI$1082,7,FALSE)),VLOOKUP((ROW($H31)-ROW($H$1)+1)*10+COLUMN(P$1)-COLUMN($H$1)+1,Beräkningshjälp!$AB$2:$AI$1082,7,FALSE),IF(O32&gt;0,-VLOOKUP((ROW($H31)-ROW($H$1)+1)*10+COLUMN(P$1)-COLUMN($H$1)+1,Beräkningshjälp!$AB$2:$AI$1082,3,FALSE),0)),0),"")</f>
        <v/>
      </c>
      <c r="Q32" s="2" t="str">
        <f>IF($E32&lt;&gt;"",IF(AND($E32&lt;&gt;"EJFANGST",$G32&lt;&gt;"INGA"),IF(ISNUMBER(VLOOKUP((ROW($H31)-ROW($H$1)+1)*10+COLUMN(Q$1)-COLUMN($H$1)+1,Beräkningshjälp!$AB$2:$AI$1082,7,FALSE)),VLOOKUP((ROW($H31)-ROW($H$1)+1)*10+COLUMN(Q$1)-COLUMN($H$1)+1,Beräkningshjälp!$AB$2:$AI$1082,7,FALSE),IF(P32&gt;0,-VLOOKUP((ROW($H31)-ROW($H$1)+1)*10+COLUMN(Q$1)-COLUMN($H$1)+1,Beräkningshjälp!$AB$2:$AI$1082,3,FALSE),0)),0),"")</f>
        <v/>
      </c>
      <c r="R32" s="116" t="str">
        <f>IF(COUNTIF(H32:Q32,"&gt;0")&gt;0,IF($E32&lt;&gt;"",IF(AND($E32&lt;&gt;"EJFANGST",$G32&lt;&gt;"INGA"),IF(ISNUMBER(VLOOKUP((ROW($H31)-ROW($H$1)+1)*10+COLUMN(H$1)-COLUMN($H$1)+1,Beräkningshjälp!$AB$2:$AI$1082,7,FALSE)),VLOOKUP((ROW($H31)-ROW($H$1)+1)*10+COLUMN(H$1)-COLUMN($H$1)+1,Beräkningshjälp!$AB$2:$AI$1082,3,FALSE),""),""),""),"")</f>
        <v/>
      </c>
    </row>
    <row r="33" spans="1:18" x14ac:dyDescent="0.25">
      <c r="A33" s="2" t="str">
        <f t="shared" si="0"/>
        <v/>
      </c>
      <c r="B33" s="2" t="str">
        <f>IF(D33&lt;&gt;"",'DATA TILL SLU'!$J$3,"")</f>
        <v/>
      </c>
      <c r="C33" s="2" t="str">
        <f>IF(D33&lt;&gt;"",'DATA TILL SLU'!$K$3,"")</f>
        <v/>
      </c>
      <c r="D33" s="2" t="str">
        <f>IF(OR(ROW(D32)-ROW(D$1)+1&lt;=MAX(Beräkningshjälp!$F$37:$F$54),ROW(D32)-ROW(D$1)+1&lt;=ROUND((MAX(Beräkningshjälp!AB$3:AB$1082)+4)/10,0)-1),D$2,"")</f>
        <v/>
      </c>
      <c r="E33" s="136" t="str">
        <f>IF(D33&lt;&gt;"",IF(COUNTIF(Beräkningshjälp!F$38:F$49,"&gt;0")&gt;=ROW(E32)-ROW(E$1)+1,VLOOKUP((VLOOKUP(ROW(E32)-ROW(E$1)+1,Beräkningshjälp!$F$37:$H$54,IF(ISNUMBER(VLOOKUP(ROW(E32)-ROW(E$1)+1,Beräkningshjälp!$F$37:$H$54,2,FALSE)),2,3),FALSE)),Beräkningshjälp!$M$2:$O$60,3,FALSE),VLOOKUP((ROW(E32)-ROW(E$1)+1)*10+1,Beräkningshjälp!$AB$2:$AF$1082,5,FALSE)),"")</f>
        <v/>
      </c>
      <c r="F33" s="2" t="str">
        <f>IF(D33&lt;&gt;"",Beräkningshjälp!$AH$1,"")</f>
        <v/>
      </c>
      <c r="G33" s="136" t="str">
        <f>IF(D33&lt;&gt;"",IF(COUNTIF(Beräkningshjälp!F$38:F$49,"&gt;0")&gt;=ROW(E32)-ROW(E$1)+1,"INGA",IF(COUNTIF(Beräkningshjälp!$G$38:$H$49,VLOOKUP(E33,Beräkningshjälp!$AF$2:$AG$1082,2,FALSE))&gt;0,"ENSTAK",IF(VLOOKUP(VLOOKUP(E33,Beräkningshjälp!O$2:U$60,7,FALSE),Artuppgifter!$I$11:$P$22,7,FALSE)=TRUE,"MINMAX","ALLA"))),"")</f>
        <v/>
      </c>
      <c r="H33" s="2" t="str">
        <f>IF($E33&lt;&gt;"",IF(AND($E33&lt;&gt;"EJFANGST",$G33&lt;&gt;"INGA"),IF(ISNUMBER(VLOOKUP((ROW($H32)-ROW($H$1)+1)*10+COLUMN(H$1)-COLUMN($H$1)+1,Beräkningshjälp!$AB$2:$AI$1082,7,FALSE)),VLOOKUP((ROW($H32)-ROW($H$1)+1)*10+COLUMN(H$1)-COLUMN($H$1)+1,Beräkningshjälp!$AB$2:$AI$1082,7,FALSE),IF(E33&gt;0,-VLOOKUP((ROW($H32)-ROW($H$1)+1)*10+COLUMN(H$1)-COLUMN($H$1)+1,Beräkningshjälp!$AB$2:$AI$1082,3,FALSE),0)),0),"")</f>
        <v/>
      </c>
      <c r="I33" s="2" t="str">
        <f>IF($E33&lt;&gt;"",IF(AND($E33&lt;&gt;"EJFANGST",$G33&lt;&gt;"INGA"),IF(ISNUMBER(VLOOKUP((ROW($H32)-ROW($H$1)+1)*10+COLUMN(I$1)-COLUMN($H$1)+1,Beräkningshjälp!$AB$2:$AI$1082,7,FALSE)),VLOOKUP((ROW($H32)-ROW($H$1)+1)*10+COLUMN(I$1)-COLUMN($H$1)+1,Beräkningshjälp!$AB$2:$AI$1082,7,FALSE),IF(H33&gt;0,-VLOOKUP((ROW($H32)-ROW($H$1)+1)*10+COLUMN(I$1)-COLUMN($H$1)+1,Beräkningshjälp!$AB$2:$AI$1082,3,FALSE),0)),0),"")</f>
        <v/>
      </c>
      <c r="J33" s="2" t="str">
        <f>IF($E33&lt;&gt;"",IF(AND($E33&lt;&gt;"EJFANGST",$G33&lt;&gt;"INGA"),IF(ISNUMBER(VLOOKUP((ROW($H32)-ROW($H$1)+1)*10+COLUMN(J$1)-COLUMN($H$1)+1,Beräkningshjälp!$AB$2:$AI$1082,7,FALSE)),VLOOKUP((ROW($H32)-ROW($H$1)+1)*10+COLUMN(J$1)-COLUMN($H$1)+1,Beräkningshjälp!$AB$2:$AI$1082,7,FALSE),IF(I33&gt;0,-VLOOKUP((ROW($H32)-ROW($H$1)+1)*10+COLUMN(J$1)-COLUMN($H$1)+1,Beräkningshjälp!$AB$2:$AI$1082,3,FALSE),0)),0),"")</f>
        <v/>
      </c>
      <c r="K33" s="2" t="str">
        <f>IF($E33&lt;&gt;"",IF(AND($E33&lt;&gt;"EJFANGST",$G33&lt;&gt;"INGA"),IF(ISNUMBER(VLOOKUP((ROW($H32)-ROW($H$1)+1)*10+COLUMN(K$1)-COLUMN($H$1)+1,Beräkningshjälp!$AB$2:$AI$1082,7,FALSE)),VLOOKUP((ROW($H32)-ROW($H$1)+1)*10+COLUMN(K$1)-COLUMN($H$1)+1,Beräkningshjälp!$AB$2:$AI$1082,7,FALSE),IF(J33&gt;0,-VLOOKUP((ROW($H32)-ROW($H$1)+1)*10+COLUMN(K$1)-COLUMN($H$1)+1,Beräkningshjälp!$AB$2:$AI$1082,3,FALSE),0)),0),"")</f>
        <v/>
      </c>
      <c r="L33" s="2" t="str">
        <f>IF($E33&lt;&gt;"",IF(AND($E33&lt;&gt;"EJFANGST",$G33&lt;&gt;"INGA"),IF(ISNUMBER(VLOOKUP((ROW($H32)-ROW($H$1)+1)*10+COLUMN(L$1)-COLUMN($H$1)+1,Beräkningshjälp!$AB$2:$AI$1082,7,FALSE)),VLOOKUP((ROW($H32)-ROW($H$1)+1)*10+COLUMN(L$1)-COLUMN($H$1)+1,Beräkningshjälp!$AB$2:$AI$1082,7,FALSE),IF(K33&gt;0,-VLOOKUP((ROW($H32)-ROW($H$1)+1)*10+COLUMN(L$1)-COLUMN($H$1)+1,Beräkningshjälp!$AB$2:$AI$1082,3,FALSE),0)),0),"")</f>
        <v/>
      </c>
      <c r="M33" s="2" t="str">
        <f>IF($E33&lt;&gt;"",IF(AND($E33&lt;&gt;"EJFANGST",$G33&lt;&gt;"INGA"),IF(ISNUMBER(VLOOKUP((ROW($H32)-ROW($H$1)+1)*10+COLUMN(M$1)-COLUMN($H$1)+1,Beräkningshjälp!$AB$2:$AI$1082,7,FALSE)),VLOOKUP((ROW($H32)-ROW($H$1)+1)*10+COLUMN(M$1)-COLUMN($H$1)+1,Beräkningshjälp!$AB$2:$AI$1082,7,FALSE),IF(L33&gt;0,-VLOOKUP((ROW($H32)-ROW($H$1)+1)*10+COLUMN(M$1)-COLUMN($H$1)+1,Beräkningshjälp!$AB$2:$AI$1082,3,FALSE),0)),0),"")</f>
        <v/>
      </c>
      <c r="N33" s="2" t="str">
        <f>IF($E33&lt;&gt;"",IF(AND($E33&lt;&gt;"EJFANGST",$G33&lt;&gt;"INGA"),IF(ISNUMBER(VLOOKUP((ROW($H32)-ROW($H$1)+1)*10+COLUMN(N$1)-COLUMN($H$1)+1,Beräkningshjälp!$AB$2:$AI$1082,7,FALSE)),VLOOKUP((ROW($H32)-ROW($H$1)+1)*10+COLUMN(N$1)-COLUMN($H$1)+1,Beräkningshjälp!$AB$2:$AI$1082,7,FALSE),IF(M33&gt;0,-VLOOKUP((ROW($H32)-ROW($H$1)+1)*10+COLUMN(N$1)-COLUMN($H$1)+1,Beräkningshjälp!$AB$2:$AI$1082,3,FALSE),0)),0),"")</f>
        <v/>
      </c>
      <c r="O33" s="2" t="str">
        <f>IF($E33&lt;&gt;"",IF(AND($E33&lt;&gt;"EJFANGST",$G33&lt;&gt;"INGA"),IF(ISNUMBER(VLOOKUP((ROW($H32)-ROW($H$1)+1)*10+COLUMN(O$1)-COLUMN($H$1)+1,Beräkningshjälp!$AB$2:$AI$1082,7,FALSE)),VLOOKUP((ROW($H32)-ROW($H$1)+1)*10+COLUMN(O$1)-COLUMN($H$1)+1,Beräkningshjälp!$AB$2:$AI$1082,7,FALSE),IF(N33&gt;0,-VLOOKUP((ROW($H32)-ROW($H$1)+1)*10+COLUMN(O$1)-COLUMN($H$1)+1,Beräkningshjälp!$AB$2:$AI$1082,3,FALSE),0)),0),"")</f>
        <v/>
      </c>
      <c r="P33" s="2" t="str">
        <f>IF($E33&lt;&gt;"",IF(AND($E33&lt;&gt;"EJFANGST",$G33&lt;&gt;"INGA"),IF(ISNUMBER(VLOOKUP((ROW($H32)-ROW($H$1)+1)*10+COLUMN(P$1)-COLUMN($H$1)+1,Beräkningshjälp!$AB$2:$AI$1082,7,FALSE)),VLOOKUP((ROW($H32)-ROW($H$1)+1)*10+COLUMN(P$1)-COLUMN($H$1)+1,Beräkningshjälp!$AB$2:$AI$1082,7,FALSE),IF(O33&gt;0,-VLOOKUP((ROW($H32)-ROW($H$1)+1)*10+COLUMN(P$1)-COLUMN($H$1)+1,Beräkningshjälp!$AB$2:$AI$1082,3,FALSE),0)),0),"")</f>
        <v/>
      </c>
      <c r="Q33" s="2" t="str">
        <f>IF($E33&lt;&gt;"",IF(AND($E33&lt;&gt;"EJFANGST",$G33&lt;&gt;"INGA"),IF(ISNUMBER(VLOOKUP((ROW($H32)-ROW($H$1)+1)*10+COLUMN(Q$1)-COLUMN($H$1)+1,Beräkningshjälp!$AB$2:$AI$1082,7,FALSE)),VLOOKUP((ROW($H32)-ROW($H$1)+1)*10+COLUMN(Q$1)-COLUMN($H$1)+1,Beräkningshjälp!$AB$2:$AI$1082,7,FALSE),IF(P33&gt;0,-VLOOKUP((ROW($H32)-ROW($H$1)+1)*10+COLUMN(Q$1)-COLUMN($H$1)+1,Beräkningshjälp!$AB$2:$AI$1082,3,FALSE),0)),0),"")</f>
        <v/>
      </c>
      <c r="R33" s="116" t="str">
        <f>IF(COUNTIF(H33:Q33,"&gt;0")&gt;0,IF($E33&lt;&gt;"",IF(AND($E33&lt;&gt;"EJFANGST",$G33&lt;&gt;"INGA"),IF(ISNUMBER(VLOOKUP((ROW($H32)-ROW($H$1)+1)*10+COLUMN(H$1)-COLUMN($H$1)+1,Beräkningshjälp!$AB$2:$AI$1082,7,FALSE)),VLOOKUP((ROW($H32)-ROW($H$1)+1)*10+COLUMN(H$1)-COLUMN($H$1)+1,Beräkningshjälp!$AB$2:$AI$1082,3,FALSE),""),""),""),"")</f>
        <v/>
      </c>
    </row>
    <row r="34" spans="1:18" x14ac:dyDescent="0.25">
      <c r="A34" s="2" t="str">
        <f t="shared" si="0"/>
        <v/>
      </c>
      <c r="B34" s="2" t="str">
        <f>IF(D34&lt;&gt;"",'DATA TILL SLU'!$J$3,"")</f>
        <v/>
      </c>
      <c r="C34" s="2" t="str">
        <f>IF(D34&lt;&gt;"",'DATA TILL SLU'!$K$3,"")</f>
        <v/>
      </c>
      <c r="D34" s="2" t="str">
        <f>IF(OR(ROW(D33)-ROW(D$1)+1&lt;=MAX(Beräkningshjälp!$F$37:$F$54),ROW(D33)-ROW(D$1)+1&lt;=ROUND((MAX(Beräkningshjälp!AB$3:AB$1082)+4)/10,0)-1),D$2,"")</f>
        <v/>
      </c>
      <c r="E34" s="136" t="str">
        <f>IF(D34&lt;&gt;"",IF(COUNTIF(Beräkningshjälp!F$38:F$49,"&gt;0")&gt;=ROW(E33)-ROW(E$1)+1,VLOOKUP((VLOOKUP(ROW(E33)-ROW(E$1)+1,Beräkningshjälp!$F$37:$H$54,IF(ISNUMBER(VLOOKUP(ROW(E33)-ROW(E$1)+1,Beräkningshjälp!$F$37:$H$54,2,FALSE)),2,3),FALSE)),Beräkningshjälp!$M$2:$O$60,3,FALSE),VLOOKUP((ROW(E33)-ROW(E$1)+1)*10+1,Beräkningshjälp!$AB$2:$AF$1082,5,FALSE)),"")</f>
        <v/>
      </c>
      <c r="F34" s="2" t="str">
        <f>IF(D34&lt;&gt;"",Beräkningshjälp!$AH$1,"")</f>
        <v/>
      </c>
      <c r="G34" s="136" t="str">
        <f>IF(D34&lt;&gt;"",IF(COUNTIF(Beräkningshjälp!F$38:F$49,"&gt;0")&gt;=ROW(E33)-ROW(E$1)+1,"INGA",IF(COUNTIF(Beräkningshjälp!$G$38:$H$49,VLOOKUP(E34,Beräkningshjälp!$AF$2:$AG$1082,2,FALSE))&gt;0,"ENSTAK",IF(VLOOKUP(VLOOKUP(E34,Beräkningshjälp!O$2:U$60,7,FALSE),Artuppgifter!$I$11:$P$22,7,FALSE)=TRUE,"MINMAX","ALLA"))),"")</f>
        <v/>
      </c>
      <c r="H34" s="2" t="str">
        <f>IF($E34&lt;&gt;"",IF(AND($E34&lt;&gt;"EJFANGST",$G34&lt;&gt;"INGA"),IF(ISNUMBER(VLOOKUP((ROW($H33)-ROW($H$1)+1)*10+COLUMN(H$1)-COLUMN($H$1)+1,Beräkningshjälp!$AB$2:$AI$1082,7,FALSE)),VLOOKUP((ROW($H33)-ROW($H$1)+1)*10+COLUMN(H$1)-COLUMN($H$1)+1,Beräkningshjälp!$AB$2:$AI$1082,7,FALSE),IF(E34&gt;0,-VLOOKUP((ROW($H33)-ROW($H$1)+1)*10+COLUMN(H$1)-COLUMN($H$1)+1,Beräkningshjälp!$AB$2:$AI$1082,3,FALSE),0)),0),"")</f>
        <v/>
      </c>
      <c r="I34" s="2" t="str">
        <f>IF($E34&lt;&gt;"",IF(AND($E34&lt;&gt;"EJFANGST",$G34&lt;&gt;"INGA"),IF(ISNUMBER(VLOOKUP((ROW($H33)-ROW($H$1)+1)*10+COLUMN(I$1)-COLUMN($H$1)+1,Beräkningshjälp!$AB$2:$AI$1082,7,FALSE)),VLOOKUP((ROW($H33)-ROW($H$1)+1)*10+COLUMN(I$1)-COLUMN($H$1)+1,Beräkningshjälp!$AB$2:$AI$1082,7,FALSE),IF(H34&gt;0,-VLOOKUP((ROW($H33)-ROW($H$1)+1)*10+COLUMN(I$1)-COLUMN($H$1)+1,Beräkningshjälp!$AB$2:$AI$1082,3,FALSE),0)),0),"")</f>
        <v/>
      </c>
      <c r="J34" s="2" t="str">
        <f>IF($E34&lt;&gt;"",IF(AND($E34&lt;&gt;"EJFANGST",$G34&lt;&gt;"INGA"),IF(ISNUMBER(VLOOKUP((ROW($H33)-ROW($H$1)+1)*10+COLUMN(J$1)-COLUMN($H$1)+1,Beräkningshjälp!$AB$2:$AI$1082,7,FALSE)),VLOOKUP((ROW($H33)-ROW($H$1)+1)*10+COLUMN(J$1)-COLUMN($H$1)+1,Beräkningshjälp!$AB$2:$AI$1082,7,FALSE),IF(I34&gt;0,-VLOOKUP((ROW($H33)-ROW($H$1)+1)*10+COLUMN(J$1)-COLUMN($H$1)+1,Beräkningshjälp!$AB$2:$AI$1082,3,FALSE),0)),0),"")</f>
        <v/>
      </c>
      <c r="K34" s="2" t="str">
        <f>IF($E34&lt;&gt;"",IF(AND($E34&lt;&gt;"EJFANGST",$G34&lt;&gt;"INGA"),IF(ISNUMBER(VLOOKUP((ROW($H33)-ROW($H$1)+1)*10+COLUMN(K$1)-COLUMN($H$1)+1,Beräkningshjälp!$AB$2:$AI$1082,7,FALSE)),VLOOKUP((ROW($H33)-ROW($H$1)+1)*10+COLUMN(K$1)-COLUMN($H$1)+1,Beräkningshjälp!$AB$2:$AI$1082,7,FALSE),IF(J34&gt;0,-VLOOKUP((ROW($H33)-ROW($H$1)+1)*10+COLUMN(K$1)-COLUMN($H$1)+1,Beräkningshjälp!$AB$2:$AI$1082,3,FALSE),0)),0),"")</f>
        <v/>
      </c>
      <c r="L34" s="2" t="str">
        <f>IF($E34&lt;&gt;"",IF(AND($E34&lt;&gt;"EJFANGST",$G34&lt;&gt;"INGA"),IF(ISNUMBER(VLOOKUP((ROW($H33)-ROW($H$1)+1)*10+COLUMN(L$1)-COLUMN($H$1)+1,Beräkningshjälp!$AB$2:$AI$1082,7,FALSE)),VLOOKUP((ROW($H33)-ROW($H$1)+1)*10+COLUMN(L$1)-COLUMN($H$1)+1,Beräkningshjälp!$AB$2:$AI$1082,7,FALSE),IF(K34&gt;0,-VLOOKUP((ROW($H33)-ROW($H$1)+1)*10+COLUMN(L$1)-COLUMN($H$1)+1,Beräkningshjälp!$AB$2:$AI$1082,3,FALSE),0)),0),"")</f>
        <v/>
      </c>
      <c r="M34" s="2" t="str">
        <f>IF($E34&lt;&gt;"",IF(AND($E34&lt;&gt;"EJFANGST",$G34&lt;&gt;"INGA"),IF(ISNUMBER(VLOOKUP((ROW($H33)-ROW($H$1)+1)*10+COLUMN(M$1)-COLUMN($H$1)+1,Beräkningshjälp!$AB$2:$AI$1082,7,FALSE)),VLOOKUP((ROW($H33)-ROW($H$1)+1)*10+COLUMN(M$1)-COLUMN($H$1)+1,Beräkningshjälp!$AB$2:$AI$1082,7,FALSE),IF(L34&gt;0,-VLOOKUP((ROW($H33)-ROW($H$1)+1)*10+COLUMN(M$1)-COLUMN($H$1)+1,Beräkningshjälp!$AB$2:$AI$1082,3,FALSE),0)),0),"")</f>
        <v/>
      </c>
      <c r="N34" s="2" t="str">
        <f>IF($E34&lt;&gt;"",IF(AND($E34&lt;&gt;"EJFANGST",$G34&lt;&gt;"INGA"),IF(ISNUMBER(VLOOKUP((ROW($H33)-ROW($H$1)+1)*10+COLUMN(N$1)-COLUMN($H$1)+1,Beräkningshjälp!$AB$2:$AI$1082,7,FALSE)),VLOOKUP((ROW($H33)-ROW($H$1)+1)*10+COLUMN(N$1)-COLUMN($H$1)+1,Beräkningshjälp!$AB$2:$AI$1082,7,FALSE),IF(M34&gt;0,-VLOOKUP((ROW($H33)-ROW($H$1)+1)*10+COLUMN(N$1)-COLUMN($H$1)+1,Beräkningshjälp!$AB$2:$AI$1082,3,FALSE),0)),0),"")</f>
        <v/>
      </c>
      <c r="O34" s="2" t="str">
        <f>IF($E34&lt;&gt;"",IF(AND($E34&lt;&gt;"EJFANGST",$G34&lt;&gt;"INGA"),IF(ISNUMBER(VLOOKUP((ROW($H33)-ROW($H$1)+1)*10+COLUMN(O$1)-COLUMN($H$1)+1,Beräkningshjälp!$AB$2:$AI$1082,7,FALSE)),VLOOKUP((ROW($H33)-ROW($H$1)+1)*10+COLUMN(O$1)-COLUMN($H$1)+1,Beräkningshjälp!$AB$2:$AI$1082,7,FALSE),IF(N34&gt;0,-VLOOKUP((ROW($H33)-ROW($H$1)+1)*10+COLUMN(O$1)-COLUMN($H$1)+1,Beräkningshjälp!$AB$2:$AI$1082,3,FALSE),0)),0),"")</f>
        <v/>
      </c>
      <c r="P34" s="2" t="str">
        <f>IF($E34&lt;&gt;"",IF(AND($E34&lt;&gt;"EJFANGST",$G34&lt;&gt;"INGA"),IF(ISNUMBER(VLOOKUP((ROW($H33)-ROW($H$1)+1)*10+COLUMN(P$1)-COLUMN($H$1)+1,Beräkningshjälp!$AB$2:$AI$1082,7,FALSE)),VLOOKUP((ROW($H33)-ROW($H$1)+1)*10+COLUMN(P$1)-COLUMN($H$1)+1,Beräkningshjälp!$AB$2:$AI$1082,7,FALSE),IF(O34&gt;0,-VLOOKUP((ROW($H33)-ROW($H$1)+1)*10+COLUMN(P$1)-COLUMN($H$1)+1,Beräkningshjälp!$AB$2:$AI$1082,3,FALSE),0)),0),"")</f>
        <v/>
      </c>
      <c r="Q34" s="2" t="str">
        <f>IF($E34&lt;&gt;"",IF(AND($E34&lt;&gt;"EJFANGST",$G34&lt;&gt;"INGA"),IF(ISNUMBER(VLOOKUP((ROW($H33)-ROW($H$1)+1)*10+COLUMN(Q$1)-COLUMN($H$1)+1,Beräkningshjälp!$AB$2:$AI$1082,7,FALSE)),VLOOKUP((ROW($H33)-ROW($H$1)+1)*10+COLUMN(Q$1)-COLUMN($H$1)+1,Beräkningshjälp!$AB$2:$AI$1082,7,FALSE),IF(P34&gt;0,-VLOOKUP((ROW($H33)-ROW($H$1)+1)*10+COLUMN(Q$1)-COLUMN($H$1)+1,Beräkningshjälp!$AB$2:$AI$1082,3,FALSE),0)),0),"")</f>
        <v/>
      </c>
      <c r="R34" s="116" t="str">
        <f>IF(COUNTIF(H34:Q34,"&gt;0")&gt;0,IF($E34&lt;&gt;"",IF(AND($E34&lt;&gt;"EJFANGST",$G34&lt;&gt;"INGA"),IF(ISNUMBER(VLOOKUP((ROW($H33)-ROW($H$1)+1)*10+COLUMN(H$1)-COLUMN($H$1)+1,Beräkningshjälp!$AB$2:$AI$1082,7,FALSE)),VLOOKUP((ROW($H33)-ROW($H$1)+1)*10+COLUMN(H$1)-COLUMN($H$1)+1,Beräkningshjälp!$AB$2:$AI$1082,3,FALSE),""),""),""),"")</f>
        <v/>
      </c>
    </row>
    <row r="35" spans="1:18" x14ac:dyDescent="0.25">
      <c r="A35" s="2" t="str">
        <f t="shared" si="0"/>
        <v/>
      </c>
      <c r="B35" s="2" t="str">
        <f>IF(D35&lt;&gt;"",'DATA TILL SLU'!$J$3,"")</f>
        <v/>
      </c>
      <c r="C35" s="2" t="str">
        <f>IF(D35&lt;&gt;"",'DATA TILL SLU'!$K$3,"")</f>
        <v/>
      </c>
      <c r="D35" s="2" t="str">
        <f>IF(OR(ROW(D34)-ROW(D$1)+1&lt;=MAX(Beräkningshjälp!$F$37:$F$54),ROW(D34)-ROW(D$1)+1&lt;=ROUND((MAX(Beräkningshjälp!AB$3:AB$1082)+4)/10,0)-1),D$2,"")</f>
        <v/>
      </c>
      <c r="E35" s="136" t="str">
        <f>IF(D35&lt;&gt;"",IF(COUNTIF(Beräkningshjälp!F$38:F$49,"&gt;0")&gt;=ROW(E34)-ROW(E$1)+1,VLOOKUP((VLOOKUP(ROW(E34)-ROW(E$1)+1,Beräkningshjälp!$F$37:$H$54,IF(ISNUMBER(VLOOKUP(ROW(E34)-ROW(E$1)+1,Beräkningshjälp!$F$37:$H$54,2,FALSE)),2,3),FALSE)),Beräkningshjälp!$M$2:$O$60,3,FALSE),VLOOKUP((ROW(E34)-ROW(E$1)+1)*10+1,Beräkningshjälp!$AB$2:$AF$1082,5,FALSE)),"")</f>
        <v/>
      </c>
      <c r="F35" s="2" t="str">
        <f>IF(D35&lt;&gt;"",Beräkningshjälp!$AH$1,"")</f>
        <v/>
      </c>
      <c r="G35" s="136" t="str">
        <f>IF(D35&lt;&gt;"",IF(COUNTIF(Beräkningshjälp!F$38:F$49,"&gt;0")&gt;=ROW(E34)-ROW(E$1)+1,"INGA",IF(COUNTIF(Beräkningshjälp!$G$38:$H$49,VLOOKUP(E35,Beräkningshjälp!$AF$2:$AG$1082,2,FALSE))&gt;0,"ENSTAK",IF(VLOOKUP(VLOOKUP(E35,Beräkningshjälp!O$2:U$60,7,FALSE),Artuppgifter!$I$11:$P$22,7,FALSE)=TRUE,"MINMAX","ALLA"))),"")</f>
        <v/>
      </c>
      <c r="H35" s="2" t="str">
        <f>IF($E35&lt;&gt;"",IF(AND($E35&lt;&gt;"EJFANGST",$G35&lt;&gt;"INGA"),IF(ISNUMBER(VLOOKUP((ROW($H34)-ROW($H$1)+1)*10+COLUMN(H$1)-COLUMN($H$1)+1,Beräkningshjälp!$AB$2:$AI$1082,7,FALSE)),VLOOKUP((ROW($H34)-ROW($H$1)+1)*10+COLUMN(H$1)-COLUMN($H$1)+1,Beräkningshjälp!$AB$2:$AI$1082,7,FALSE),IF(E35&gt;0,-VLOOKUP((ROW($H34)-ROW($H$1)+1)*10+COLUMN(H$1)-COLUMN($H$1)+1,Beräkningshjälp!$AB$2:$AI$1082,3,FALSE),0)),0),"")</f>
        <v/>
      </c>
      <c r="I35" s="2" t="str">
        <f>IF($E35&lt;&gt;"",IF(AND($E35&lt;&gt;"EJFANGST",$G35&lt;&gt;"INGA"),IF(ISNUMBER(VLOOKUP((ROW($H34)-ROW($H$1)+1)*10+COLUMN(I$1)-COLUMN($H$1)+1,Beräkningshjälp!$AB$2:$AI$1082,7,FALSE)),VLOOKUP((ROW($H34)-ROW($H$1)+1)*10+COLUMN(I$1)-COLUMN($H$1)+1,Beräkningshjälp!$AB$2:$AI$1082,7,FALSE),IF(H35&gt;0,-VLOOKUP((ROW($H34)-ROW($H$1)+1)*10+COLUMN(I$1)-COLUMN($H$1)+1,Beräkningshjälp!$AB$2:$AI$1082,3,FALSE),0)),0),"")</f>
        <v/>
      </c>
      <c r="J35" s="2" t="str">
        <f>IF($E35&lt;&gt;"",IF(AND($E35&lt;&gt;"EJFANGST",$G35&lt;&gt;"INGA"),IF(ISNUMBER(VLOOKUP((ROW($H34)-ROW($H$1)+1)*10+COLUMN(J$1)-COLUMN($H$1)+1,Beräkningshjälp!$AB$2:$AI$1082,7,FALSE)),VLOOKUP((ROW($H34)-ROW($H$1)+1)*10+COLUMN(J$1)-COLUMN($H$1)+1,Beräkningshjälp!$AB$2:$AI$1082,7,FALSE),IF(I35&gt;0,-VLOOKUP((ROW($H34)-ROW($H$1)+1)*10+COLUMN(J$1)-COLUMN($H$1)+1,Beräkningshjälp!$AB$2:$AI$1082,3,FALSE),0)),0),"")</f>
        <v/>
      </c>
      <c r="K35" s="2" t="str">
        <f>IF($E35&lt;&gt;"",IF(AND($E35&lt;&gt;"EJFANGST",$G35&lt;&gt;"INGA"),IF(ISNUMBER(VLOOKUP((ROW($H34)-ROW($H$1)+1)*10+COLUMN(K$1)-COLUMN($H$1)+1,Beräkningshjälp!$AB$2:$AI$1082,7,FALSE)),VLOOKUP((ROW($H34)-ROW($H$1)+1)*10+COLUMN(K$1)-COLUMN($H$1)+1,Beräkningshjälp!$AB$2:$AI$1082,7,FALSE),IF(J35&gt;0,-VLOOKUP((ROW($H34)-ROW($H$1)+1)*10+COLUMN(K$1)-COLUMN($H$1)+1,Beräkningshjälp!$AB$2:$AI$1082,3,FALSE),0)),0),"")</f>
        <v/>
      </c>
      <c r="L35" s="2" t="str">
        <f>IF($E35&lt;&gt;"",IF(AND($E35&lt;&gt;"EJFANGST",$G35&lt;&gt;"INGA"),IF(ISNUMBER(VLOOKUP((ROW($H34)-ROW($H$1)+1)*10+COLUMN(L$1)-COLUMN($H$1)+1,Beräkningshjälp!$AB$2:$AI$1082,7,FALSE)),VLOOKUP((ROW($H34)-ROW($H$1)+1)*10+COLUMN(L$1)-COLUMN($H$1)+1,Beräkningshjälp!$AB$2:$AI$1082,7,FALSE),IF(K35&gt;0,-VLOOKUP((ROW($H34)-ROW($H$1)+1)*10+COLUMN(L$1)-COLUMN($H$1)+1,Beräkningshjälp!$AB$2:$AI$1082,3,FALSE),0)),0),"")</f>
        <v/>
      </c>
      <c r="M35" s="2" t="str">
        <f>IF($E35&lt;&gt;"",IF(AND($E35&lt;&gt;"EJFANGST",$G35&lt;&gt;"INGA"),IF(ISNUMBER(VLOOKUP((ROW($H34)-ROW($H$1)+1)*10+COLUMN(M$1)-COLUMN($H$1)+1,Beräkningshjälp!$AB$2:$AI$1082,7,FALSE)),VLOOKUP((ROW($H34)-ROW($H$1)+1)*10+COLUMN(M$1)-COLUMN($H$1)+1,Beräkningshjälp!$AB$2:$AI$1082,7,FALSE),IF(L35&gt;0,-VLOOKUP((ROW($H34)-ROW($H$1)+1)*10+COLUMN(M$1)-COLUMN($H$1)+1,Beräkningshjälp!$AB$2:$AI$1082,3,FALSE),0)),0),"")</f>
        <v/>
      </c>
      <c r="N35" s="2" t="str">
        <f>IF($E35&lt;&gt;"",IF(AND($E35&lt;&gt;"EJFANGST",$G35&lt;&gt;"INGA"),IF(ISNUMBER(VLOOKUP((ROW($H34)-ROW($H$1)+1)*10+COLUMN(N$1)-COLUMN($H$1)+1,Beräkningshjälp!$AB$2:$AI$1082,7,FALSE)),VLOOKUP((ROW($H34)-ROW($H$1)+1)*10+COLUMN(N$1)-COLUMN($H$1)+1,Beräkningshjälp!$AB$2:$AI$1082,7,FALSE),IF(M35&gt;0,-VLOOKUP((ROW($H34)-ROW($H$1)+1)*10+COLUMN(N$1)-COLUMN($H$1)+1,Beräkningshjälp!$AB$2:$AI$1082,3,FALSE),0)),0),"")</f>
        <v/>
      </c>
      <c r="O35" s="2" t="str">
        <f>IF($E35&lt;&gt;"",IF(AND($E35&lt;&gt;"EJFANGST",$G35&lt;&gt;"INGA"),IF(ISNUMBER(VLOOKUP((ROW($H34)-ROW($H$1)+1)*10+COLUMN(O$1)-COLUMN($H$1)+1,Beräkningshjälp!$AB$2:$AI$1082,7,FALSE)),VLOOKUP((ROW($H34)-ROW($H$1)+1)*10+COLUMN(O$1)-COLUMN($H$1)+1,Beräkningshjälp!$AB$2:$AI$1082,7,FALSE),IF(N35&gt;0,-VLOOKUP((ROW($H34)-ROW($H$1)+1)*10+COLUMN(O$1)-COLUMN($H$1)+1,Beräkningshjälp!$AB$2:$AI$1082,3,FALSE),0)),0),"")</f>
        <v/>
      </c>
      <c r="P35" s="2" t="str">
        <f>IF($E35&lt;&gt;"",IF(AND($E35&lt;&gt;"EJFANGST",$G35&lt;&gt;"INGA"),IF(ISNUMBER(VLOOKUP((ROW($H34)-ROW($H$1)+1)*10+COLUMN(P$1)-COLUMN($H$1)+1,Beräkningshjälp!$AB$2:$AI$1082,7,FALSE)),VLOOKUP((ROW($H34)-ROW($H$1)+1)*10+COLUMN(P$1)-COLUMN($H$1)+1,Beräkningshjälp!$AB$2:$AI$1082,7,FALSE),IF(O35&gt;0,-VLOOKUP((ROW($H34)-ROW($H$1)+1)*10+COLUMN(P$1)-COLUMN($H$1)+1,Beräkningshjälp!$AB$2:$AI$1082,3,FALSE),0)),0),"")</f>
        <v/>
      </c>
      <c r="Q35" s="2" t="str">
        <f>IF($E35&lt;&gt;"",IF(AND($E35&lt;&gt;"EJFANGST",$G35&lt;&gt;"INGA"),IF(ISNUMBER(VLOOKUP((ROW($H34)-ROW($H$1)+1)*10+COLUMN(Q$1)-COLUMN($H$1)+1,Beräkningshjälp!$AB$2:$AI$1082,7,FALSE)),VLOOKUP((ROW($H34)-ROW($H$1)+1)*10+COLUMN(Q$1)-COLUMN($H$1)+1,Beräkningshjälp!$AB$2:$AI$1082,7,FALSE),IF(P35&gt;0,-VLOOKUP((ROW($H34)-ROW($H$1)+1)*10+COLUMN(Q$1)-COLUMN($H$1)+1,Beräkningshjälp!$AB$2:$AI$1082,3,FALSE),0)),0),"")</f>
        <v/>
      </c>
      <c r="R35" s="116" t="str">
        <f>IF(COUNTIF(H35:Q35,"&gt;0")&gt;0,IF($E35&lt;&gt;"",IF(AND($E35&lt;&gt;"EJFANGST",$G35&lt;&gt;"INGA"),IF(ISNUMBER(VLOOKUP((ROW($H34)-ROW($H$1)+1)*10+COLUMN(H$1)-COLUMN($H$1)+1,Beräkningshjälp!$AB$2:$AI$1082,7,FALSE)),VLOOKUP((ROW($H34)-ROW($H$1)+1)*10+COLUMN(H$1)-COLUMN($H$1)+1,Beräkningshjälp!$AB$2:$AI$1082,3,FALSE),""),""),""),"")</f>
        <v/>
      </c>
    </row>
    <row r="36" spans="1:18" x14ac:dyDescent="0.25">
      <c r="A36" s="2" t="str">
        <f t="shared" si="0"/>
        <v/>
      </c>
      <c r="B36" s="2" t="str">
        <f>IF(D36&lt;&gt;"",'DATA TILL SLU'!$J$3,"")</f>
        <v/>
      </c>
      <c r="C36" s="2" t="str">
        <f>IF(D36&lt;&gt;"",'DATA TILL SLU'!$K$3,"")</f>
        <v/>
      </c>
      <c r="D36" s="2" t="str">
        <f>IF(OR(ROW(D35)-ROW(D$1)+1&lt;=MAX(Beräkningshjälp!$F$37:$F$54),ROW(D35)-ROW(D$1)+1&lt;=ROUND((MAX(Beräkningshjälp!AB$3:AB$1082)+4)/10,0)-1),D$2,"")</f>
        <v/>
      </c>
      <c r="E36" s="136" t="str">
        <f>IF(D36&lt;&gt;"",IF(COUNTIF(Beräkningshjälp!F$38:F$49,"&gt;0")&gt;=ROW(E35)-ROW(E$1)+1,VLOOKUP((VLOOKUP(ROW(E35)-ROW(E$1)+1,Beräkningshjälp!$F$37:$H$54,IF(ISNUMBER(VLOOKUP(ROW(E35)-ROW(E$1)+1,Beräkningshjälp!$F$37:$H$54,2,FALSE)),2,3),FALSE)),Beräkningshjälp!$M$2:$O$60,3,FALSE),VLOOKUP((ROW(E35)-ROW(E$1)+1)*10+1,Beräkningshjälp!$AB$2:$AF$1082,5,FALSE)),"")</f>
        <v/>
      </c>
      <c r="F36" s="2" t="str">
        <f>IF(D36&lt;&gt;"",Beräkningshjälp!$AH$1,"")</f>
        <v/>
      </c>
      <c r="G36" s="136" t="str">
        <f>IF(D36&lt;&gt;"",IF(COUNTIF(Beräkningshjälp!F$38:F$49,"&gt;0")&gt;=ROW(E35)-ROW(E$1)+1,"INGA",IF(COUNTIF(Beräkningshjälp!$G$38:$H$49,VLOOKUP(E36,Beräkningshjälp!$AF$2:$AG$1082,2,FALSE))&gt;0,"ENSTAK",IF(VLOOKUP(VLOOKUP(E36,Beräkningshjälp!O$2:U$60,7,FALSE),Artuppgifter!$I$11:$P$22,7,FALSE)=TRUE,"MINMAX","ALLA"))),"")</f>
        <v/>
      </c>
      <c r="H36" s="2" t="str">
        <f>IF($E36&lt;&gt;"",IF(AND($E36&lt;&gt;"EJFANGST",$G36&lt;&gt;"INGA"),IF(ISNUMBER(VLOOKUP((ROW($H35)-ROW($H$1)+1)*10+COLUMN(H$1)-COLUMN($H$1)+1,Beräkningshjälp!$AB$2:$AI$1082,7,FALSE)),VLOOKUP((ROW($H35)-ROW($H$1)+1)*10+COLUMN(H$1)-COLUMN($H$1)+1,Beräkningshjälp!$AB$2:$AI$1082,7,FALSE),IF(E36&gt;0,-VLOOKUP((ROW($H35)-ROW($H$1)+1)*10+COLUMN(H$1)-COLUMN($H$1)+1,Beräkningshjälp!$AB$2:$AI$1082,3,FALSE),0)),0),"")</f>
        <v/>
      </c>
      <c r="I36" s="2" t="str">
        <f>IF($E36&lt;&gt;"",IF(AND($E36&lt;&gt;"EJFANGST",$G36&lt;&gt;"INGA"),IF(ISNUMBER(VLOOKUP((ROW($H35)-ROW($H$1)+1)*10+COLUMN(I$1)-COLUMN($H$1)+1,Beräkningshjälp!$AB$2:$AI$1082,7,FALSE)),VLOOKUP((ROW($H35)-ROW($H$1)+1)*10+COLUMN(I$1)-COLUMN($H$1)+1,Beräkningshjälp!$AB$2:$AI$1082,7,FALSE),IF(H36&gt;0,-VLOOKUP((ROW($H35)-ROW($H$1)+1)*10+COLUMN(I$1)-COLUMN($H$1)+1,Beräkningshjälp!$AB$2:$AI$1082,3,FALSE),0)),0),"")</f>
        <v/>
      </c>
      <c r="J36" s="2" t="str">
        <f>IF($E36&lt;&gt;"",IF(AND($E36&lt;&gt;"EJFANGST",$G36&lt;&gt;"INGA"),IF(ISNUMBER(VLOOKUP((ROW($H35)-ROW($H$1)+1)*10+COLUMN(J$1)-COLUMN($H$1)+1,Beräkningshjälp!$AB$2:$AI$1082,7,FALSE)),VLOOKUP((ROW($H35)-ROW($H$1)+1)*10+COLUMN(J$1)-COLUMN($H$1)+1,Beräkningshjälp!$AB$2:$AI$1082,7,FALSE),IF(I36&gt;0,-VLOOKUP((ROW($H35)-ROW($H$1)+1)*10+COLUMN(J$1)-COLUMN($H$1)+1,Beräkningshjälp!$AB$2:$AI$1082,3,FALSE),0)),0),"")</f>
        <v/>
      </c>
      <c r="K36" s="2" t="str">
        <f>IF($E36&lt;&gt;"",IF(AND($E36&lt;&gt;"EJFANGST",$G36&lt;&gt;"INGA"),IF(ISNUMBER(VLOOKUP((ROW($H35)-ROW($H$1)+1)*10+COLUMN(K$1)-COLUMN($H$1)+1,Beräkningshjälp!$AB$2:$AI$1082,7,FALSE)),VLOOKUP((ROW($H35)-ROW($H$1)+1)*10+COLUMN(K$1)-COLUMN($H$1)+1,Beräkningshjälp!$AB$2:$AI$1082,7,FALSE),IF(J36&gt;0,-VLOOKUP((ROW($H35)-ROW($H$1)+1)*10+COLUMN(K$1)-COLUMN($H$1)+1,Beräkningshjälp!$AB$2:$AI$1082,3,FALSE),0)),0),"")</f>
        <v/>
      </c>
      <c r="L36" s="2" t="str">
        <f>IF($E36&lt;&gt;"",IF(AND($E36&lt;&gt;"EJFANGST",$G36&lt;&gt;"INGA"),IF(ISNUMBER(VLOOKUP((ROW($H35)-ROW($H$1)+1)*10+COLUMN(L$1)-COLUMN($H$1)+1,Beräkningshjälp!$AB$2:$AI$1082,7,FALSE)),VLOOKUP((ROW($H35)-ROW($H$1)+1)*10+COLUMN(L$1)-COLUMN($H$1)+1,Beräkningshjälp!$AB$2:$AI$1082,7,FALSE),IF(K36&gt;0,-VLOOKUP((ROW($H35)-ROW($H$1)+1)*10+COLUMN(L$1)-COLUMN($H$1)+1,Beräkningshjälp!$AB$2:$AI$1082,3,FALSE),0)),0),"")</f>
        <v/>
      </c>
      <c r="M36" s="2" t="str">
        <f>IF($E36&lt;&gt;"",IF(AND($E36&lt;&gt;"EJFANGST",$G36&lt;&gt;"INGA"),IF(ISNUMBER(VLOOKUP((ROW($H35)-ROW($H$1)+1)*10+COLUMN(M$1)-COLUMN($H$1)+1,Beräkningshjälp!$AB$2:$AI$1082,7,FALSE)),VLOOKUP((ROW($H35)-ROW($H$1)+1)*10+COLUMN(M$1)-COLUMN($H$1)+1,Beräkningshjälp!$AB$2:$AI$1082,7,FALSE),IF(L36&gt;0,-VLOOKUP((ROW($H35)-ROW($H$1)+1)*10+COLUMN(M$1)-COLUMN($H$1)+1,Beräkningshjälp!$AB$2:$AI$1082,3,FALSE),0)),0),"")</f>
        <v/>
      </c>
      <c r="N36" s="2" t="str">
        <f>IF($E36&lt;&gt;"",IF(AND($E36&lt;&gt;"EJFANGST",$G36&lt;&gt;"INGA"),IF(ISNUMBER(VLOOKUP((ROW($H35)-ROW($H$1)+1)*10+COLUMN(N$1)-COLUMN($H$1)+1,Beräkningshjälp!$AB$2:$AI$1082,7,FALSE)),VLOOKUP((ROW($H35)-ROW($H$1)+1)*10+COLUMN(N$1)-COLUMN($H$1)+1,Beräkningshjälp!$AB$2:$AI$1082,7,FALSE),IF(M36&gt;0,-VLOOKUP((ROW($H35)-ROW($H$1)+1)*10+COLUMN(N$1)-COLUMN($H$1)+1,Beräkningshjälp!$AB$2:$AI$1082,3,FALSE),0)),0),"")</f>
        <v/>
      </c>
      <c r="O36" s="2" t="str">
        <f>IF($E36&lt;&gt;"",IF(AND($E36&lt;&gt;"EJFANGST",$G36&lt;&gt;"INGA"),IF(ISNUMBER(VLOOKUP((ROW($H35)-ROW($H$1)+1)*10+COLUMN(O$1)-COLUMN($H$1)+1,Beräkningshjälp!$AB$2:$AI$1082,7,FALSE)),VLOOKUP((ROW($H35)-ROW($H$1)+1)*10+COLUMN(O$1)-COLUMN($H$1)+1,Beräkningshjälp!$AB$2:$AI$1082,7,FALSE),IF(N36&gt;0,-VLOOKUP((ROW($H35)-ROW($H$1)+1)*10+COLUMN(O$1)-COLUMN($H$1)+1,Beräkningshjälp!$AB$2:$AI$1082,3,FALSE),0)),0),"")</f>
        <v/>
      </c>
      <c r="P36" s="2" t="str">
        <f>IF($E36&lt;&gt;"",IF(AND($E36&lt;&gt;"EJFANGST",$G36&lt;&gt;"INGA"),IF(ISNUMBER(VLOOKUP((ROW($H35)-ROW($H$1)+1)*10+COLUMN(P$1)-COLUMN($H$1)+1,Beräkningshjälp!$AB$2:$AI$1082,7,FALSE)),VLOOKUP((ROW($H35)-ROW($H$1)+1)*10+COLUMN(P$1)-COLUMN($H$1)+1,Beräkningshjälp!$AB$2:$AI$1082,7,FALSE),IF(O36&gt;0,-VLOOKUP((ROW($H35)-ROW($H$1)+1)*10+COLUMN(P$1)-COLUMN($H$1)+1,Beräkningshjälp!$AB$2:$AI$1082,3,FALSE),0)),0),"")</f>
        <v/>
      </c>
      <c r="Q36" s="2" t="str">
        <f>IF($E36&lt;&gt;"",IF(AND($E36&lt;&gt;"EJFANGST",$G36&lt;&gt;"INGA"),IF(ISNUMBER(VLOOKUP((ROW($H35)-ROW($H$1)+1)*10+COLUMN(Q$1)-COLUMN($H$1)+1,Beräkningshjälp!$AB$2:$AI$1082,7,FALSE)),VLOOKUP((ROW($H35)-ROW($H$1)+1)*10+COLUMN(Q$1)-COLUMN($H$1)+1,Beräkningshjälp!$AB$2:$AI$1082,7,FALSE),IF(P36&gt;0,-VLOOKUP((ROW($H35)-ROW($H$1)+1)*10+COLUMN(Q$1)-COLUMN($H$1)+1,Beräkningshjälp!$AB$2:$AI$1082,3,FALSE),0)),0),"")</f>
        <v/>
      </c>
      <c r="R36" s="116" t="str">
        <f>IF(COUNTIF(H36:Q36,"&gt;0")&gt;0,IF($E36&lt;&gt;"",IF(AND($E36&lt;&gt;"EJFANGST",$G36&lt;&gt;"INGA"),IF(ISNUMBER(VLOOKUP((ROW($H35)-ROW($H$1)+1)*10+COLUMN(H$1)-COLUMN($H$1)+1,Beräkningshjälp!$AB$2:$AI$1082,7,FALSE)),VLOOKUP((ROW($H35)-ROW($H$1)+1)*10+COLUMN(H$1)-COLUMN($H$1)+1,Beräkningshjälp!$AB$2:$AI$1082,3,FALSE),""),""),""),"")</f>
        <v/>
      </c>
    </row>
    <row r="37" spans="1:18" x14ac:dyDescent="0.25">
      <c r="A37" s="2" t="str">
        <f t="shared" si="0"/>
        <v/>
      </c>
      <c r="B37" s="2" t="str">
        <f>IF(D37&lt;&gt;"",'DATA TILL SLU'!$J$3,"")</f>
        <v/>
      </c>
      <c r="C37" s="2" t="str">
        <f>IF(D37&lt;&gt;"",'DATA TILL SLU'!$K$3,"")</f>
        <v/>
      </c>
      <c r="D37" s="2" t="str">
        <f>IF(OR(ROW(D36)-ROW(D$1)+1&lt;=MAX(Beräkningshjälp!$F$37:$F$54),ROW(D36)-ROW(D$1)+1&lt;=ROUND((MAX(Beräkningshjälp!AB$3:AB$1082)+4)/10,0)-1),D$2,"")</f>
        <v/>
      </c>
      <c r="E37" s="136" t="str">
        <f>IF(D37&lt;&gt;"",IF(COUNTIF(Beräkningshjälp!F$38:F$49,"&gt;0")&gt;=ROW(E36)-ROW(E$1)+1,VLOOKUP((VLOOKUP(ROW(E36)-ROW(E$1)+1,Beräkningshjälp!$F$37:$H$54,IF(ISNUMBER(VLOOKUP(ROW(E36)-ROW(E$1)+1,Beräkningshjälp!$F$37:$H$54,2,FALSE)),2,3),FALSE)),Beräkningshjälp!$M$2:$O$60,3,FALSE),VLOOKUP((ROW(E36)-ROW(E$1)+1)*10+1,Beräkningshjälp!$AB$2:$AF$1082,5,FALSE)),"")</f>
        <v/>
      </c>
      <c r="F37" s="2" t="str">
        <f>IF(D37&lt;&gt;"",Beräkningshjälp!$AH$1,"")</f>
        <v/>
      </c>
      <c r="G37" s="136" t="str">
        <f>IF(D37&lt;&gt;"",IF(COUNTIF(Beräkningshjälp!F$38:F$49,"&gt;0")&gt;=ROW(E36)-ROW(E$1)+1,"INGA",IF(COUNTIF(Beräkningshjälp!$G$38:$H$49,VLOOKUP(E37,Beräkningshjälp!$AF$2:$AG$1082,2,FALSE))&gt;0,"ENSTAK",IF(VLOOKUP(VLOOKUP(E37,Beräkningshjälp!O$2:U$60,7,FALSE),Artuppgifter!$I$11:$P$22,7,FALSE)=TRUE,"MINMAX","ALLA"))),"")</f>
        <v/>
      </c>
      <c r="H37" s="2" t="str">
        <f>IF($E37&lt;&gt;"",IF(AND($E37&lt;&gt;"EJFANGST",$G37&lt;&gt;"INGA"),IF(ISNUMBER(VLOOKUP((ROW($H36)-ROW($H$1)+1)*10+COLUMN(H$1)-COLUMN($H$1)+1,Beräkningshjälp!$AB$2:$AI$1082,7,FALSE)),VLOOKUP((ROW($H36)-ROW($H$1)+1)*10+COLUMN(H$1)-COLUMN($H$1)+1,Beräkningshjälp!$AB$2:$AI$1082,7,FALSE),IF(E37&gt;0,-VLOOKUP((ROW($H36)-ROW($H$1)+1)*10+COLUMN(H$1)-COLUMN($H$1)+1,Beräkningshjälp!$AB$2:$AI$1082,3,FALSE),0)),0),"")</f>
        <v/>
      </c>
      <c r="I37" s="2" t="str">
        <f>IF($E37&lt;&gt;"",IF(AND($E37&lt;&gt;"EJFANGST",$G37&lt;&gt;"INGA"),IF(ISNUMBER(VLOOKUP((ROW($H36)-ROW($H$1)+1)*10+COLUMN(I$1)-COLUMN($H$1)+1,Beräkningshjälp!$AB$2:$AI$1082,7,FALSE)),VLOOKUP((ROW($H36)-ROW($H$1)+1)*10+COLUMN(I$1)-COLUMN($H$1)+1,Beräkningshjälp!$AB$2:$AI$1082,7,FALSE),IF(H37&gt;0,-VLOOKUP((ROW($H36)-ROW($H$1)+1)*10+COLUMN(I$1)-COLUMN($H$1)+1,Beräkningshjälp!$AB$2:$AI$1082,3,FALSE),0)),0),"")</f>
        <v/>
      </c>
      <c r="J37" s="2" t="str">
        <f>IF($E37&lt;&gt;"",IF(AND($E37&lt;&gt;"EJFANGST",$G37&lt;&gt;"INGA"),IF(ISNUMBER(VLOOKUP((ROW($H36)-ROW($H$1)+1)*10+COLUMN(J$1)-COLUMN($H$1)+1,Beräkningshjälp!$AB$2:$AI$1082,7,FALSE)),VLOOKUP((ROW($H36)-ROW($H$1)+1)*10+COLUMN(J$1)-COLUMN($H$1)+1,Beräkningshjälp!$AB$2:$AI$1082,7,FALSE),IF(I37&gt;0,-VLOOKUP((ROW($H36)-ROW($H$1)+1)*10+COLUMN(J$1)-COLUMN($H$1)+1,Beräkningshjälp!$AB$2:$AI$1082,3,FALSE),0)),0),"")</f>
        <v/>
      </c>
      <c r="K37" s="2" t="str">
        <f>IF($E37&lt;&gt;"",IF(AND($E37&lt;&gt;"EJFANGST",$G37&lt;&gt;"INGA"),IF(ISNUMBER(VLOOKUP((ROW($H36)-ROW($H$1)+1)*10+COLUMN(K$1)-COLUMN($H$1)+1,Beräkningshjälp!$AB$2:$AI$1082,7,FALSE)),VLOOKUP((ROW($H36)-ROW($H$1)+1)*10+COLUMN(K$1)-COLUMN($H$1)+1,Beräkningshjälp!$AB$2:$AI$1082,7,FALSE),IF(J37&gt;0,-VLOOKUP((ROW($H36)-ROW($H$1)+1)*10+COLUMN(K$1)-COLUMN($H$1)+1,Beräkningshjälp!$AB$2:$AI$1082,3,FALSE),0)),0),"")</f>
        <v/>
      </c>
      <c r="L37" s="2" t="str">
        <f>IF($E37&lt;&gt;"",IF(AND($E37&lt;&gt;"EJFANGST",$G37&lt;&gt;"INGA"),IF(ISNUMBER(VLOOKUP((ROW($H36)-ROW($H$1)+1)*10+COLUMN(L$1)-COLUMN($H$1)+1,Beräkningshjälp!$AB$2:$AI$1082,7,FALSE)),VLOOKUP((ROW($H36)-ROW($H$1)+1)*10+COLUMN(L$1)-COLUMN($H$1)+1,Beräkningshjälp!$AB$2:$AI$1082,7,FALSE),IF(K37&gt;0,-VLOOKUP((ROW($H36)-ROW($H$1)+1)*10+COLUMN(L$1)-COLUMN($H$1)+1,Beräkningshjälp!$AB$2:$AI$1082,3,FALSE),0)),0),"")</f>
        <v/>
      </c>
      <c r="M37" s="2" t="str">
        <f>IF($E37&lt;&gt;"",IF(AND($E37&lt;&gt;"EJFANGST",$G37&lt;&gt;"INGA"),IF(ISNUMBER(VLOOKUP((ROW($H36)-ROW($H$1)+1)*10+COLUMN(M$1)-COLUMN($H$1)+1,Beräkningshjälp!$AB$2:$AI$1082,7,FALSE)),VLOOKUP((ROW($H36)-ROW($H$1)+1)*10+COLUMN(M$1)-COLUMN($H$1)+1,Beräkningshjälp!$AB$2:$AI$1082,7,FALSE),IF(L37&gt;0,-VLOOKUP((ROW($H36)-ROW($H$1)+1)*10+COLUMN(M$1)-COLUMN($H$1)+1,Beräkningshjälp!$AB$2:$AI$1082,3,FALSE),0)),0),"")</f>
        <v/>
      </c>
      <c r="N37" s="2" t="str">
        <f>IF($E37&lt;&gt;"",IF(AND($E37&lt;&gt;"EJFANGST",$G37&lt;&gt;"INGA"),IF(ISNUMBER(VLOOKUP((ROW($H36)-ROW($H$1)+1)*10+COLUMN(N$1)-COLUMN($H$1)+1,Beräkningshjälp!$AB$2:$AI$1082,7,FALSE)),VLOOKUP((ROW($H36)-ROW($H$1)+1)*10+COLUMN(N$1)-COLUMN($H$1)+1,Beräkningshjälp!$AB$2:$AI$1082,7,FALSE),IF(M37&gt;0,-VLOOKUP((ROW($H36)-ROW($H$1)+1)*10+COLUMN(N$1)-COLUMN($H$1)+1,Beräkningshjälp!$AB$2:$AI$1082,3,FALSE),0)),0),"")</f>
        <v/>
      </c>
      <c r="O37" s="2" t="str">
        <f>IF($E37&lt;&gt;"",IF(AND($E37&lt;&gt;"EJFANGST",$G37&lt;&gt;"INGA"),IF(ISNUMBER(VLOOKUP((ROW($H36)-ROW($H$1)+1)*10+COLUMN(O$1)-COLUMN($H$1)+1,Beräkningshjälp!$AB$2:$AI$1082,7,FALSE)),VLOOKUP((ROW($H36)-ROW($H$1)+1)*10+COLUMN(O$1)-COLUMN($H$1)+1,Beräkningshjälp!$AB$2:$AI$1082,7,FALSE),IF(N37&gt;0,-VLOOKUP((ROW($H36)-ROW($H$1)+1)*10+COLUMN(O$1)-COLUMN($H$1)+1,Beräkningshjälp!$AB$2:$AI$1082,3,FALSE),0)),0),"")</f>
        <v/>
      </c>
      <c r="P37" s="2" t="str">
        <f>IF($E37&lt;&gt;"",IF(AND($E37&lt;&gt;"EJFANGST",$G37&lt;&gt;"INGA"),IF(ISNUMBER(VLOOKUP((ROW($H36)-ROW($H$1)+1)*10+COLUMN(P$1)-COLUMN($H$1)+1,Beräkningshjälp!$AB$2:$AI$1082,7,FALSE)),VLOOKUP((ROW($H36)-ROW($H$1)+1)*10+COLUMN(P$1)-COLUMN($H$1)+1,Beräkningshjälp!$AB$2:$AI$1082,7,FALSE),IF(O37&gt;0,-VLOOKUP((ROW($H36)-ROW($H$1)+1)*10+COLUMN(P$1)-COLUMN($H$1)+1,Beräkningshjälp!$AB$2:$AI$1082,3,FALSE),0)),0),"")</f>
        <v/>
      </c>
      <c r="Q37" s="2" t="str">
        <f>IF($E37&lt;&gt;"",IF(AND($E37&lt;&gt;"EJFANGST",$G37&lt;&gt;"INGA"),IF(ISNUMBER(VLOOKUP((ROW($H36)-ROW($H$1)+1)*10+COLUMN(Q$1)-COLUMN($H$1)+1,Beräkningshjälp!$AB$2:$AI$1082,7,FALSE)),VLOOKUP((ROW($H36)-ROW($H$1)+1)*10+COLUMN(Q$1)-COLUMN($H$1)+1,Beräkningshjälp!$AB$2:$AI$1082,7,FALSE),IF(P37&gt;0,-VLOOKUP((ROW($H36)-ROW($H$1)+1)*10+COLUMN(Q$1)-COLUMN($H$1)+1,Beräkningshjälp!$AB$2:$AI$1082,3,FALSE),0)),0),"")</f>
        <v/>
      </c>
      <c r="R37" s="116" t="str">
        <f>IF(COUNTIF(H37:Q37,"&gt;0")&gt;0,IF($E37&lt;&gt;"",IF(AND($E37&lt;&gt;"EJFANGST",$G37&lt;&gt;"INGA"),IF(ISNUMBER(VLOOKUP((ROW($H36)-ROW($H$1)+1)*10+COLUMN(H$1)-COLUMN($H$1)+1,Beräkningshjälp!$AB$2:$AI$1082,7,FALSE)),VLOOKUP((ROW($H36)-ROW($H$1)+1)*10+COLUMN(H$1)-COLUMN($H$1)+1,Beräkningshjälp!$AB$2:$AI$1082,3,FALSE),""),""),""),"")</f>
        <v/>
      </c>
    </row>
    <row r="38" spans="1:18" x14ac:dyDescent="0.25">
      <c r="A38" s="2" t="str">
        <f t="shared" si="0"/>
        <v/>
      </c>
      <c r="B38" s="2" t="str">
        <f>IF(D38&lt;&gt;"",'DATA TILL SLU'!$J$3,"")</f>
        <v/>
      </c>
      <c r="C38" s="2" t="str">
        <f>IF(D38&lt;&gt;"",'DATA TILL SLU'!$K$3,"")</f>
        <v/>
      </c>
      <c r="D38" s="2" t="str">
        <f>IF(OR(ROW(D37)-ROW(D$1)+1&lt;=MAX(Beräkningshjälp!$F$37:$F$54),ROW(D37)-ROW(D$1)+1&lt;=ROUND((MAX(Beräkningshjälp!AB$3:AB$1082)+4)/10,0)-1),D$2,"")</f>
        <v/>
      </c>
      <c r="E38" s="136" t="str">
        <f>IF(D38&lt;&gt;"",IF(COUNTIF(Beräkningshjälp!F$38:F$49,"&gt;0")&gt;=ROW(E37)-ROW(E$1)+1,VLOOKUP((VLOOKUP(ROW(E37)-ROW(E$1)+1,Beräkningshjälp!$F$37:$H$54,IF(ISNUMBER(VLOOKUP(ROW(E37)-ROW(E$1)+1,Beräkningshjälp!$F$37:$H$54,2,FALSE)),2,3),FALSE)),Beräkningshjälp!$M$2:$O$60,3,FALSE),VLOOKUP((ROW(E37)-ROW(E$1)+1)*10+1,Beräkningshjälp!$AB$2:$AF$1082,5,FALSE)),"")</f>
        <v/>
      </c>
      <c r="F38" s="2" t="str">
        <f>IF(D38&lt;&gt;"",Beräkningshjälp!$AH$1,"")</f>
        <v/>
      </c>
      <c r="G38" s="136" t="str">
        <f>IF(D38&lt;&gt;"",IF(COUNTIF(Beräkningshjälp!F$38:F$49,"&gt;0")&gt;=ROW(E37)-ROW(E$1)+1,"INGA",IF(COUNTIF(Beräkningshjälp!$G$38:$H$49,VLOOKUP(E38,Beräkningshjälp!$AF$2:$AG$1082,2,FALSE))&gt;0,"ENSTAK",IF(VLOOKUP(VLOOKUP(E38,Beräkningshjälp!O$2:U$60,7,FALSE),Artuppgifter!$I$11:$P$22,7,FALSE)=TRUE,"MINMAX","ALLA"))),"")</f>
        <v/>
      </c>
      <c r="H38" s="2" t="str">
        <f>IF($E38&lt;&gt;"",IF(AND($E38&lt;&gt;"EJFANGST",$G38&lt;&gt;"INGA"),IF(ISNUMBER(VLOOKUP((ROW($H37)-ROW($H$1)+1)*10+COLUMN(H$1)-COLUMN($H$1)+1,Beräkningshjälp!$AB$2:$AI$1082,7,FALSE)),VLOOKUP((ROW($H37)-ROW($H$1)+1)*10+COLUMN(H$1)-COLUMN($H$1)+1,Beräkningshjälp!$AB$2:$AI$1082,7,FALSE),IF(E38&gt;0,-VLOOKUP((ROW($H37)-ROW($H$1)+1)*10+COLUMN(H$1)-COLUMN($H$1)+1,Beräkningshjälp!$AB$2:$AI$1082,3,FALSE),0)),0),"")</f>
        <v/>
      </c>
      <c r="I38" s="2" t="str">
        <f>IF($E38&lt;&gt;"",IF(AND($E38&lt;&gt;"EJFANGST",$G38&lt;&gt;"INGA"),IF(ISNUMBER(VLOOKUP((ROW($H37)-ROW($H$1)+1)*10+COLUMN(I$1)-COLUMN($H$1)+1,Beräkningshjälp!$AB$2:$AI$1082,7,FALSE)),VLOOKUP((ROW($H37)-ROW($H$1)+1)*10+COLUMN(I$1)-COLUMN($H$1)+1,Beräkningshjälp!$AB$2:$AI$1082,7,FALSE),IF(H38&gt;0,-VLOOKUP((ROW($H37)-ROW($H$1)+1)*10+COLUMN(I$1)-COLUMN($H$1)+1,Beräkningshjälp!$AB$2:$AI$1082,3,FALSE),0)),0),"")</f>
        <v/>
      </c>
      <c r="J38" s="2" t="str">
        <f>IF($E38&lt;&gt;"",IF(AND($E38&lt;&gt;"EJFANGST",$G38&lt;&gt;"INGA"),IF(ISNUMBER(VLOOKUP((ROW($H37)-ROW($H$1)+1)*10+COLUMN(J$1)-COLUMN($H$1)+1,Beräkningshjälp!$AB$2:$AI$1082,7,FALSE)),VLOOKUP((ROW($H37)-ROW($H$1)+1)*10+COLUMN(J$1)-COLUMN($H$1)+1,Beräkningshjälp!$AB$2:$AI$1082,7,FALSE),IF(I38&gt;0,-VLOOKUP((ROW($H37)-ROW($H$1)+1)*10+COLUMN(J$1)-COLUMN($H$1)+1,Beräkningshjälp!$AB$2:$AI$1082,3,FALSE),0)),0),"")</f>
        <v/>
      </c>
      <c r="K38" s="2" t="str">
        <f>IF($E38&lt;&gt;"",IF(AND($E38&lt;&gt;"EJFANGST",$G38&lt;&gt;"INGA"),IF(ISNUMBER(VLOOKUP((ROW($H37)-ROW($H$1)+1)*10+COLUMN(K$1)-COLUMN($H$1)+1,Beräkningshjälp!$AB$2:$AI$1082,7,FALSE)),VLOOKUP((ROW($H37)-ROW($H$1)+1)*10+COLUMN(K$1)-COLUMN($H$1)+1,Beräkningshjälp!$AB$2:$AI$1082,7,FALSE),IF(J38&gt;0,-VLOOKUP((ROW($H37)-ROW($H$1)+1)*10+COLUMN(K$1)-COLUMN($H$1)+1,Beräkningshjälp!$AB$2:$AI$1082,3,FALSE),0)),0),"")</f>
        <v/>
      </c>
      <c r="L38" s="2" t="str">
        <f>IF($E38&lt;&gt;"",IF(AND($E38&lt;&gt;"EJFANGST",$G38&lt;&gt;"INGA"),IF(ISNUMBER(VLOOKUP((ROW($H37)-ROW($H$1)+1)*10+COLUMN(L$1)-COLUMN($H$1)+1,Beräkningshjälp!$AB$2:$AI$1082,7,FALSE)),VLOOKUP((ROW($H37)-ROW($H$1)+1)*10+COLUMN(L$1)-COLUMN($H$1)+1,Beräkningshjälp!$AB$2:$AI$1082,7,FALSE),IF(K38&gt;0,-VLOOKUP((ROW($H37)-ROW($H$1)+1)*10+COLUMN(L$1)-COLUMN($H$1)+1,Beräkningshjälp!$AB$2:$AI$1082,3,FALSE),0)),0),"")</f>
        <v/>
      </c>
      <c r="M38" s="2" t="str">
        <f>IF($E38&lt;&gt;"",IF(AND($E38&lt;&gt;"EJFANGST",$G38&lt;&gt;"INGA"),IF(ISNUMBER(VLOOKUP((ROW($H37)-ROW($H$1)+1)*10+COLUMN(M$1)-COLUMN($H$1)+1,Beräkningshjälp!$AB$2:$AI$1082,7,FALSE)),VLOOKUP((ROW($H37)-ROW($H$1)+1)*10+COLUMN(M$1)-COLUMN($H$1)+1,Beräkningshjälp!$AB$2:$AI$1082,7,FALSE),IF(L38&gt;0,-VLOOKUP((ROW($H37)-ROW($H$1)+1)*10+COLUMN(M$1)-COLUMN($H$1)+1,Beräkningshjälp!$AB$2:$AI$1082,3,FALSE),0)),0),"")</f>
        <v/>
      </c>
      <c r="N38" s="2" t="str">
        <f>IF($E38&lt;&gt;"",IF(AND($E38&lt;&gt;"EJFANGST",$G38&lt;&gt;"INGA"),IF(ISNUMBER(VLOOKUP((ROW($H37)-ROW($H$1)+1)*10+COLUMN(N$1)-COLUMN($H$1)+1,Beräkningshjälp!$AB$2:$AI$1082,7,FALSE)),VLOOKUP((ROW($H37)-ROW($H$1)+1)*10+COLUMN(N$1)-COLUMN($H$1)+1,Beräkningshjälp!$AB$2:$AI$1082,7,FALSE),IF(M38&gt;0,-VLOOKUP((ROW($H37)-ROW($H$1)+1)*10+COLUMN(N$1)-COLUMN($H$1)+1,Beräkningshjälp!$AB$2:$AI$1082,3,FALSE),0)),0),"")</f>
        <v/>
      </c>
      <c r="O38" s="2" t="str">
        <f>IF($E38&lt;&gt;"",IF(AND($E38&lt;&gt;"EJFANGST",$G38&lt;&gt;"INGA"),IF(ISNUMBER(VLOOKUP((ROW($H37)-ROW($H$1)+1)*10+COLUMN(O$1)-COLUMN($H$1)+1,Beräkningshjälp!$AB$2:$AI$1082,7,FALSE)),VLOOKUP((ROW($H37)-ROW($H$1)+1)*10+COLUMN(O$1)-COLUMN($H$1)+1,Beräkningshjälp!$AB$2:$AI$1082,7,FALSE),IF(N38&gt;0,-VLOOKUP((ROW($H37)-ROW($H$1)+1)*10+COLUMN(O$1)-COLUMN($H$1)+1,Beräkningshjälp!$AB$2:$AI$1082,3,FALSE),0)),0),"")</f>
        <v/>
      </c>
      <c r="P38" s="2" t="str">
        <f>IF($E38&lt;&gt;"",IF(AND($E38&lt;&gt;"EJFANGST",$G38&lt;&gt;"INGA"),IF(ISNUMBER(VLOOKUP((ROW($H37)-ROW($H$1)+1)*10+COLUMN(P$1)-COLUMN($H$1)+1,Beräkningshjälp!$AB$2:$AI$1082,7,FALSE)),VLOOKUP((ROW($H37)-ROW($H$1)+1)*10+COLUMN(P$1)-COLUMN($H$1)+1,Beräkningshjälp!$AB$2:$AI$1082,7,FALSE),IF(O38&gt;0,-VLOOKUP((ROW($H37)-ROW($H$1)+1)*10+COLUMN(P$1)-COLUMN($H$1)+1,Beräkningshjälp!$AB$2:$AI$1082,3,FALSE),0)),0),"")</f>
        <v/>
      </c>
      <c r="Q38" s="2" t="str">
        <f>IF($E38&lt;&gt;"",IF(AND($E38&lt;&gt;"EJFANGST",$G38&lt;&gt;"INGA"),IF(ISNUMBER(VLOOKUP((ROW($H37)-ROW($H$1)+1)*10+COLUMN(Q$1)-COLUMN($H$1)+1,Beräkningshjälp!$AB$2:$AI$1082,7,FALSE)),VLOOKUP((ROW($H37)-ROW($H$1)+1)*10+COLUMN(Q$1)-COLUMN($H$1)+1,Beräkningshjälp!$AB$2:$AI$1082,7,FALSE),IF(P38&gt;0,-VLOOKUP((ROW($H37)-ROW($H$1)+1)*10+COLUMN(Q$1)-COLUMN($H$1)+1,Beräkningshjälp!$AB$2:$AI$1082,3,FALSE),0)),0),"")</f>
        <v/>
      </c>
      <c r="R38" s="116" t="str">
        <f>IF(COUNTIF(H38:Q38,"&gt;0")&gt;0,IF($E38&lt;&gt;"",IF(AND($E38&lt;&gt;"EJFANGST",$G38&lt;&gt;"INGA"),IF(ISNUMBER(VLOOKUP((ROW($H37)-ROW($H$1)+1)*10+COLUMN(H$1)-COLUMN($H$1)+1,Beräkningshjälp!$AB$2:$AI$1082,7,FALSE)),VLOOKUP((ROW($H37)-ROW($H$1)+1)*10+COLUMN(H$1)-COLUMN($H$1)+1,Beräkningshjälp!$AB$2:$AI$1082,3,FALSE),""),""),""),"")</f>
        <v/>
      </c>
    </row>
    <row r="39" spans="1:18" x14ac:dyDescent="0.25">
      <c r="A39" s="2" t="str">
        <f t="shared" si="0"/>
        <v/>
      </c>
      <c r="B39" s="2" t="str">
        <f>IF(D39&lt;&gt;"",'DATA TILL SLU'!$J$3,"")</f>
        <v/>
      </c>
      <c r="C39" s="2" t="str">
        <f>IF(D39&lt;&gt;"",'DATA TILL SLU'!$K$3,"")</f>
        <v/>
      </c>
      <c r="D39" s="2" t="str">
        <f>IF(OR(ROW(D38)-ROW(D$1)+1&lt;=MAX(Beräkningshjälp!$F$37:$F$54),ROW(D38)-ROW(D$1)+1&lt;=ROUND((MAX(Beräkningshjälp!AB$3:AB$1082)+4)/10,0)-1),D$2,"")</f>
        <v/>
      </c>
      <c r="E39" s="136" t="str">
        <f>IF(D39&lt;&gt;"",IF(COUNTIF(Beräkningshjälp!F$38:F$49,"&gt;0")&gt;=ROW(E38)-ROW(E$1)+1,VLOOKUP((VLOOKUP(ROW(E38)-ROW(E$1)+1,Beräkningshjälp!$F$37:$H$54,IF(ISNUMBER(VLOOKUP(ROW(E38)-ROW(E$1)+1,Beräkningshjälp!$F$37:$H$54,2,FALSE)),2,3),FALSE)),Beräkningshjälp!$M$2:$O$60,3,FALSE),VLOOKUP((ROW(E38)-ROW(E$1)+1)*10+1,Beräkningshjälp!$AB$2:$AF$1082,5,FALSE)),"")</f>
        <v/>
      </c>
      <c r="F39" s="2" t="str">
        <f>IF(D39&lt;&gt;"",Beräkningshjälp!$AH$1,"")</f>
        <v/>
      </c>
      <c r="G39" s="136" t="str">
        <f>IF(D39&lt;&gt;"",IF(COUNTIF(Beräkningshjälp!F$38:F$49,"&gt;0")&gt;=ROW(E38)-ROW(E$1)+1,"INGA",IF(COUNTIF(Beräkningshjälp!$G$38:$H$49,VLOOKUP(E39,Beräkningshjälp!$AF$2:$AG$1082,2,FALSE))&gt;0,"ENSTAK",IF(VLOOKUP(VLOOKUP(E39,Beräkningshjälp!O$2:U$60,7,FALSE),Artuppgifter!$I$11:$P$22,7,FALSE)=TRUE,"MINMAX","ALLA"))),"")</f>
        <v/>
      </c>
      <c r="H39" s="2" t="str">
        <f>IF($E39&lt;&gt;"",IF(AND($E39&lt;&gt;"EJFANGST",$G39&lt;&gt;"INGA"),IF(ISNUMBER(VLOOKUP((ROW($H38)-ROW($H$1)+1)*10+COLUMN(H$1)-COLUMN($H$1)+1,Beräkningshjälp!$AB$2:$AI$1082,7,FALSE)),VLOOKUP((ROW($H38)-ROW($H$1)+1)*10+COLUMN(H$1)-COLUMN($H$1)+1,Beräkningshjälp!$AB$2:$AI$1082,7,FALSE),IF(E39&gt;0,-VLOOKUP((ROW($H38)-ROW($H$1)+1)*10+COLUMN(H$1)-COLUMN($H$1)+1,Beräkningshjälp!$AB$2:$AI$1082,3,FALSE),0)),0),"")</f>
        <v/>
      </c>
      <c r="I39" s="2" t="str">
        <f>IF($E39&lt;&gt;"",IF(AND($E39&lt;&gt;"EJFANGST",$G39&lt;&gt;"INGA"),IF(ISNUMBER(VLOOKUP((ROW($H38)-ROW($H$1)+1)*10+COLUMN(I$1)-COLUMN($H$1)+1,Beräkningshjälp!$AB$2:$AI$1082,7,FALSE)),VLOOKUP((ROW($H38)-ROW($H$1)+1)*10+COLUMN(I$1)-COLUMN($H$1)+1,Beräkningshjälp!$AB$2:$AI$1082,7,FALSE),IF(H39&gt;0,-VLOOKUP((ROW($H38)-ROW($H$1)+1)*10+COLUMN(I$1)-COLUMN($H$1)+1,Beräkningshjälp!$AB$2:$AI$1082,3,FALSE),0)),0),"")</f>
        <v/>
      </c>
      <c r="J39" s="2" t="str">
        <f>IF($E39&lt;&gt;"",IF(AND($E39&lt;&gt;"EJFANGST",$G39&lt;&gt;"INGA"),IF(ISNUMBER(VLOOKUP((ROW($H38)-ROW($H$1)+1)*10+COLUMN(J$1)-COLUMN($H$1)+1,Beräkningshjälp!$AB$2:$AI$1082,7,FALSE)),VLOOKUP((ROW($H38)-ROW($H$1)+1)*10+COLUMN(J$1)-COLUMN($H$1)+1,Beräkningshjälp!$AB$2:$AI$1082,7,FALSE),IF(I39&gt;0,-VLOOKUP((ROW($H38)-ROW($H$1)+1)*10+COLUMN(J$1)-COLUMN($H$1)+1,Beräkningshjälp!$AB$2:$AI$1082,3,FALSE),0)),0),"")</f>
        <v/>
      </c>
      <c r="K39" s="2" t="str">
        <f>IF($E39&lt;&gt;"",IF(AND($E39&lt;&gt;"EJFANGST",$G39&lt;&gt;"INGA"),IF(ISNUMBER(VLOOKUP((ROW($H38)-ROW($H$1)+1)*10+COLUMN(K$1)-COLUMN($H$1)+1,Beräkningshjälp!$AB$2:$AI$1082,7,FALSE)),VLOOKUP((ROW($H38)-ROW($H$1)+1)*10+COLUMN(K$1)-COLUMN($H$1)+1,Beräkningshjälp!$AB$2:$AI$1082,7,FALSE),IF(J39&gt;0,-VLOOKUP((ROW($H38)-ROW($H$1)+1)*10+COLUMN(K$1)-COLUMN($H$1)+1,Beräkningshjälp!$AB$2:$AI$1082,3,FALSE),0)),0),"")</f>
        <v/>
      </c>
      <c r="L39" s="2" t="str">
        <f>IF($E39&lt;&gt;"",IF(AND($E39&lt;&gt;"EJFANGST",$G39&lt;&gt;"INGA"),IF(ISNUMBER(VLOOKUP((ROW($H38)-ROW($H$1)+1)*10+COLUMN(L$1)-COLUMN($H$1)+1,Beräkningshjälp!$AB$2:$AI$1082,7,FALSE)),VLOOKUP((ROW($H38)-ROW($H$1)+1)*10+COLUMN(L$1)-COLUMN($H$1)+1,Beräkningshjälp!$AB$2:$AI$1082,7,FALSE),IF(K39&gt;0,-VLOOKUP((ROW($H38)-ROW($H$1)+1)*10+COLUMN(L$1)-COLUMN($H$1)+1,Beräkningshjälp!$AB$2:$AI$1082,3,FALSE),0)),0),"")</f>
        <v/>
      </c>
      <c r="M39" s="2" t="str">
        <f>IF($E39&lt;&gt;"",IF(AND($E39&lt;&gt;"EJFANGST",$G39&lt;&gt;"INGA"),IF(ISNUMBER(VLOOKUP((ROW($H38)-ROW($H$1)+1)*10+COLUMN(M$1)-COLUMN($H$1)+1,Beräkningshjälp!$AB$2:$AI$1082,7,FALSE)),VLOOKUP((ROW($H38)-ROW($H$1)+1)*10+COLUMN(M$1)-COLUMN($H$1)+1,Beräkningshjälp!$AB$2:$AI$1082,7,FALSE),IF(L39&gt;0,-VLOOKUP((ROW($H38)-ROW($H$1)+1)*10+COLUMN(M$1)-COLUMN($H$1)+1,Beräkningshjälp!$AB$2:$AI$1082,3,FALSE),0)),0),"")</f>
        <v/>
      </c>
      <c r="N39" s="2" t="str">
        <f>IF($E39&lt;&gt;"",IF(AND($E39&lt;&gt;"EJFANGST",$G39&lt;&gt;"INGA"),IF(ISNUMBER(VLOOKUP((ROW($H38)-ROW($H$1)+1)*10+COLUMN(N$1)-COLUMN($H$1)+1,Beräkningshjälp!$AB$2:$AI$1082,7,FALSE)),VLOOKUP((ROW($H38)-ROW($H$1)+1)*10+COLUMN(N$1)-COLUMN($H$1)+1,Beräkningshjälp!$AB$2:$AI$1082,7,FALSE),IF(M39&gt;0,-VLOOKUP((ROW($H38)-ROW($H$1)+1)*10+COLUMN(N$1)-COLUMN($H$1)+1,Beräkningshjälp!$AB$2:$AI$1082,3,FALSE),0)),0),"")</f>
        <v/>
      </c>
      <c r="O39" s="2" t="str">
        <f>IF($E39&lt;&gt;"",IF(AND($E39&lt;&gt;"EJFANGST",$G39&lt;&gt;"INGA"),IF(ISNUMBER(VLOOKUP((ROW($H38)-ROW($H$1)+1)*10+COLUMN(O$1)-COLUMN($H$1)+1,Beräkningshjälp!$AB$2:$AI$1082,7,FALSE)),VLOOKUP((ROW($H38)-ROW($H$1)+1)*10+COLUMN(O$1)-COLUMN($H$1)+1,Beräkningshjälp!$AB$2:$AI$1082,7,FALSE),IF(N39&gt;0,-VLOOKUP((ROW($H38)-ROW($H$1)+1)*10+COLUMN(O$1)-COLUMN($H$1)+1,Beräkningshjälp!$AB$2:$AI$1082,3,FALSE),0)),0),"")</f>
        <v/>
      </c>
      <c r="P39" s="2" t="str">
        <f>IF($E39&lt;&gt;"",IF(AND($E39&lt;&gt;"EJFANGST",$G39&lt;&gt;"INGA"),IF(ISNUMBER(VLOOKUP((ROW($H38)-ROW($H$1)+1)*10+COLUMN(P$1)-COLUMN($H$1)+1,Beräkningshjälp!$AB$2:$AI$1082,7,FALSE)),VLOOKUP((ROW($H38)-ROW($H$1)+1)*10+COLUMN(P$1)-COLUMN($H$1)+1,Beräkningshjälp!$AB$2:$AI$1082,7,FALSE),IF(O39&gt;0,-VLOOKUP((ROW($H38)-ROW($H$1)+1)*10+COLUMN(P$1)-COLUMN($H$1)+1,Beräkningshjälp!$AB$2:$AI$1082,3,FALSE),0)),0),"")</f>
        <v/>
      </c>
      <c r="Q39" s="2" t="str">
        <f>IF($E39&lt;&gt;"",IF(AND($E39&lt;&gt;"EJFANGST",$G39&lt;&gt;"INGA"),IF(ISNUMBER(VLOOKUP((ROW($H38)-ROW($H$1)+1)*10+COLUMN(Q$1)-COLUMN($H$1)+1,Beräkningshjälp!$AB$2:$AI$1082,7,FALSE)),VLOOKUP((ROW($H38)-ROW($H$1)+1)*10+COLUMN(Q$1)-COLUMN($H$1)+1,Beräkningshjälp!$AB$2:$AI$1082,7,FALSE),IF(P39&gt;0,-VLOOKUP((ROW($H38)-ROW($H$1)+1)*10+COLUMN(Q$1)-COLUMN($H$1)+1,Beräkningshjälp!$AB$2:$AI$1082,3,FALSE),0)),0),"")</f>
        <v/>
      </c>
      <c r="R39" s="116" t="str">
        <f>IF(COUNTIF(H39:Q39,"&gt;0")&gt;0,IF($E39&lt;&gt;"",IF(AND($E39&lt;&gt;"EJFANGST",$G39&lt;&gt;"INGA"),IF(ISNUMBER(VLOOKUP((ROW($H38)-ROW($H$1)+1)*10+COLUMN(H$1)-COLUMN($H$1)+1,Beräkningshjälp!$AB$2:$AI$1082,7,FALSE)),VLOOKUP((ROW($H38)-ROW($H$1)+1)*10+COLUMN(H$1)-COLUMN($H$1)+1,Beräkningshjälp!$AB$2:$AI$1082,3,FALSE),""),""),""),"")</f>
        <v/>
      </c>
    </row>
    <row r="40" spans="1:18" x14ac:dyDescent="0.25">
      <c r="A40" s="2" t="str">
        <f t="shared" si="0"/>
        <v/>
      </c>
      <c r="B40" s="2" t="str">
        <f>IF(D40&lt;&gt;"",'DATA TILL SLU'!$J$3,"")</f>
        <v/>
      </c>
      <c r="C40" s="2" t="str">
        <f>IF(D40&lt;&gt;"",'DATA TILL SLU'!$K$3,"")</f>
        <v/>
      </c>
      <c r="D40" s="2" t="str">
        <f>IF(OR(ROW(D39)-ROW(D$1)+1&lt;=MAX(Beräkningshjälp!$F$37:$F$54),ROW(D39)-ROW(D$1)+1&lt;=ROUND((MAX(Beräkningshjälp!AB$3:AB$1082)+4)/10,0)-1),D$2,"")</f>
        <v/>
      </c>
      <c r="E40" s="136" t="str">
        <f>IF(D40&lt;&gt;"",IF(COUNTIF(Beräkningshjälp!F$38:F$49,"&gt;0")&gt;=ROW(E39)-ROW(E$1)+1,VLOOKUP((VLOOKUP(ROW(E39)-ROW(E$1)+1,Beräkningshjälp!$F$37:$H$54,IF(ISNUMBER(VLOOKUP(ROW(E39)-ROW(E$1)+1,Beräkningshjälp!$F$37:$H$54,2,FALSE)),2,3),FALSE)),Beräkningshjälp!$M$2:$O$60,3,FALSE),VLOOKUP((ROW(E39)-ROW(E$1)+1)*10+1,Beräkningshjälp!$AB$2:$AF$1082,5,FALSE)),"")</f>
        <v/>
      </c>
      <c r="F40" s="2" t="str">
        <f>IF(D40&lt;&gt;"",Beräkningshjälp!$AH$1,"")</f>
        <v/>
      </c>
      <c r="G40" s="136" t="str">
        <f>IF(D40&lt;&gt;"",IF(COUNTIF(Beräkningshjälp!F$38:F$49,"&gt;0")&gt;=ROW(E39)-ROW(E$1)+1,"INGA",IF(COUNTIF(Beräkningshjälp!$G$38:$H$49,VLOOKUP(E40,Beräkningshjälp!$AF$2:$AG$1082,2,FALSE))&gt;0,"ENSTAK",IF(VLOOKUP(VLOOKUP(E40,Beräkningshjälp!O$2:U$60,7,FALSE),Artuppgifter!$I$11:$P$22,7,FALSE)=TRUE,"MINMAX","ALLA"))),"")</f>
        <v/>
      </c>
      <c r="H40" s="2" t="str">
        <f>IF($E40&lt;&gt;"",IF(AND($E40&lt;&gt;"EJFANGST",$G40&lt;&gt;"INGA"),IF(ISNUMBER(VLOOKUP((ROW($H39)-ROW($H$1)+1)*10+COLUMN(H$1)-COLUMN($H$1)+1,Beräkningshjälp!$AB$2:$AI$1082,7,FALSE)),VLOOKUP((ROW($H39)-ROW($H$1)+1)*10+COLUMN(H$1)-COLUMN($H$1)+1,Beräkningshjälp!$AB$2:$AI$1082,7,FALSE),IF(E40&gt;0,-VLOOKUP((ROW($H39)-ROW($H$1)+1)*10+COLUMN(H$1)-COLUMN($H$1)+1,Beräkningshjälp!$AB$2:$AI$1082,3,FALSE),0)),0),"")</f>
        <v/>
      </c>
      <c r="I40" s="2" t="str">
        <f>IF($E40&lt;&gt;"",IF(AND($E40&lt;&gt;"EJFANGST",$G40&lt;&gt;"INGA"),IF(ISNUMBER(VLOOKUP((ROW($H39)-ROW($H$1)+1)*10+COLUMN(I$1)-COLUMN($H$1)+1,Beräkningshjälp!$AB$2:$AI$1082,7,FALSE)),VLOOKUP((ROW($H39)-ROW($H$1)+1)*10+COLUMN(I$1)-COLUMN($H$1)+1,Beräkningshjälp!$AB$2:$AI$1082,7,FALSE),IF(H40&gt;0,-VLOOKUP((ROW($H39)-ROW($H$1)+1)*10+COLUMN(I$1)-COLUMN($H$1)+1,Beräkningshjälp!$AB$2:$AI$1082,3,FALSE),0)),0),"")</f>
        <v/>
      </c>
      <c r="J40" s="2" t="str">
        <f>IF($E40&lt;&gt;"",IF(AND($E40&lt;&gt;"EJFANGST",$G40&lt;&gt;"INGA"),IF(ISNUMBER(VLOOKUP((ROW($H39)-ROW($H$1)+1)*10+COLUMN(J$1)-COLUMN($H$1)+1,Beräkningshjälp!$AB$2:$AI$1082,7,FALSE)),VLOOKUP((ROW($H39)-ROW($H$1)+1)*10+COLUMN(J$1)-COLUMN($H$1)+1,Beräkningshjälp!$AB$2:$AI$1082,7,FALSE),IF(I40&gt;0,-VLOOKUP((ROW($H39)-ROW($H$1)+1)*10+COLUMN(J$1)-COLUMN($H$1)+1,Beräkningshjälp!$AB$2:$AI$1082,3,FALSE),0)),0),"")</f>
        <v/>
      </c>
      <c r="K40" s="2" t="str">
        <f>IF($E40&lt;&gt;"",IF(AND($E40&lt;&gt;"EJFANGST",$G40&lt;&gt;"INGA"),IF(ISNUMBER(VLOOKUP((ROW($H39)-ROW($H$1)+1)*10+COLUMN(K$1)-COLUMN($H$1)+1,Beräkningshjälp!$AB$2:$AI$1082,7,FALSE)),VLOOKUP((ROW($H39)-ROW($H$1)+1)*10+COLUMN(K$1)-COLUMN($H$1)+1,Beräkningshjälp!$AB$2:$AI$1082,7,FALSE),IF(J40&gt;0,-VLOOKUP((ROW($H39)-ROW($H$1)+1)*10+COLUMN(K$1)-COLUMN($H$1)+1,Beräkningshjälp!$AB$2:$AI$1082,3,FALSE),0)),0),"")</f>
        <v/>
      </c>
      <c r="L40" s="2" t="str">
        <f>IF($E40&lt;&gt;"",IF(AND($E40&lt;&gt;"EJFANGST",$G40&lt;&gt;"INGA"),IF(ISNUMBER(VLOOKUP((ROW($H39)-ROW($H$1)+1)*10+COLUMN(L$1)-COLUMN($H$1)+1,Beräkningshjälp!$AB$2:$AI$1082,7,FALSE)),VLOOKUP((ROW($H39)-ROW($H$1)+1)*10+COLUMN(L$1)-COLUMN($H$1)+1,Beräkningshjälp!$AB$2:$AI$1082,7,FALSE),IF(K40&gt;0,-VLOOKUP((ROW($H39)-ROW($H$1)+1)*10+COLUMN(L$1)-COLUMN($H$1)+1,Beräkningshjälp!$AB$2:$AI$1082,3,FALSE),0)),0),"")</f>
        <v/>
      </c>
      <c r="M40" s="2" t="str">
        <f>IF($E40&lt;&gt;"",IF(AND($E40&lt;&gt;"EJFANGST",$G40&lt;&gt;"INGA"),IF(ISNUMBER(VLOOKUP((ROW($H39)-ROW($H$1)+1)*10+COLUMN(M$1)-COLUMN($H$1)+1,Beräkningshjälp!$AB$2:$AI$1082,7,FALSE)),VLOOKUP((ROW($H39)-ROW($H$1)+1)*10+COLUMN(M$1)-COLUMN($H$1)+1,Beräkningshjälp!$AB$2:$AI$1082,7,FALSE),IF(L40&gt;0,-VLOOKUP((ROW($H39)-ROW($H$1)+1)*10+COLUMN(M$1)-COLUMN($H$1)+1,Beräkningshjälp!$AB$2:$AI$1082,3,FALSE),0)),0),"")</f>
        <v/>
      </c>
      <c r="N40" s="2" t="str">
        <f>IF($E40&lt;&gt;"",IF(AND($E40&lt;&gt;"EJFANGST",$G40&lt;&gt;"INGA"),IF(ISNUMBER(VLOOKUP((ROW($H39)-ROW($H$1)+1)*10+COLUMN(N$1)-COLUMN($H$1)+1,Beräkningshjälp!$AB$2:$AI$1082,7,FALSE)),VLOOKUP((ROW($H39)-ROW($H$1)+1)*10+COLUMN(N$1)-COLUMN($H$1)+1,Beräkningshjälp!$AB$2:$AI$1082,7,FALSE),IF(M40&gt;0,-VLOOKUP((ROW($H39)-ROW($H$1)+1)*10+COLUMN(N$1)-COLUMN($H$1)+1,Beräkningshjälp!$AB$2:$AI$1082,3,FALSE),0)),0),"")</f>
        <v/>
      </c>
      <c r="O40" s="2" t="str">
        <f>IF($E40&lt;&gt;"",IF(AND($E40&lt;&gt;"EJFANGST",$G40&lt;&gt;"INGA"),IF(ISNUMBER(VLOOKUP((ROW($H39)-ROW($H$1)+1)*10+COLUMN(O$1)-COLUMN($H$1)+1,Beräkningshjälp!$AB$2:$AI$1082,7,FALSE)),VLOOKUP((ROW($H39)-ROW($H$1)+1)*10+COLUMN(O$1)-COLUMN($H$1)+1,Beräkningshjälp!$AB$2:$AI$1082,7,FALSE),IF(N40&gt;0,-VLOOKUP((ROW($H39)-ROW($H$1)+1)*10+COLUMN(O$1)-COLUMN($H$1)+1,Beräkningshjälp!$AB$2:$AI$1082,3,FALSE),0)),0),"")</f>
        <v/>
      </c>
      <c r="P40" s="2" t="str">
        <f>IF($E40&lt;&gt;"",IF(AND($E40&lt;&gt;"EJFANGST",$G40&lt;&gt;"INGA"),IF(ISNUMBER(VLOOKUP((ROW($H39)-ROW($H$1)+1)*10+COLUMN(P$1)-COLUMN($H$1)+1,Beräkningshjälp!$AB$2:$AI$1082,7,FALSE)),VLOOKUP((ROW($H39)-ROW($H$1)+1)*10+COLUMN(P$1)-COLUMN($H$1)+1,Beräkningshjälp!$AB$2:$AI$1082,7,FALSE),IF(O40&gt;0,-VLOOKUP((ROW($H39)-ROW($H$1)+1)*10+COLUMN(P$1)-COLUMN($H$1)+1,Beräkningshjälp!$AB$2:$AI$1082,3,FALSE),0)),0),"")</f>
        <v/>
      </c>
      <c r="Q40" s="2" t="str">
        <f>IF($E40&lt;&gt;"",IF(AND($E40&lt;&gt;"EJFANGST",$G40&lt;&gt;"INGA"),IF(ISNUMBER(VLOOKUP((ROW($H39)-ROW($H$1)+1)*10+COLUMN(Q$1)-COLUMN($H$1)+1,Beräkningshjälp!$AB$2:$AI$1082,7,FALSE)),VLOOKUP((ROW($H39)-ROW($H$1)+1)*10+COLUMN(Q$1)-COLUMN($H$1)+1,Beräkningshjälp!$AB$2:$AI$1082,7,FALSE),IF(P40&gt;0,-VLOOKUP((ROW($H39)-ROW($H$1)+1)*10+COLUMN(Q$1)-COLUMN($H$1)+1,Beräkningshjälp!$AB$2:$AI$1082,3,FALSE),0)),0),"")</f>
        <v/>
      </c>
      <c r="R40" s="116" t="str">
        <f>IF(COUNTIF(H40:Q40,"&gt;0")&gt;0,IF($E40&lt;&gt;"",IF(AND($E40&lt;&gt;"EJFANGST",$G40&lt;&gt;"INGA"),IF(ISNUMBER(VLOOKUP((ROW($H39)-ROW($H$1)+1)*10+COLUMN(H$1)-COLUMN($H$1)+1,Beräkningshjälp!$AB$2:$AI$1082,7,FALSE)),VLOOKUP((ROW($H39)-ROW($H$1)+1)*10+COLUMN(H$1)-COLUMN($H$1)+1,Beräkningshjälp!$AB$2:$AI$1082,3,FALSE),""),""),""),"")</f>
        <v/>
      </c>
    </row>
    <row r="41" spans="1:18" x14ac:dyDescent="0.25">
      <c r="A41" s="2" t="str">
        <f t="shared" si="0"/>
        <v/>
      </c>
      <c r="B41" s="2" t="str">
        <f>IF(D41&lt;&gt;"",'DATA TILL SLU'!$J$3,"")</f>
        <v/>
      </c>
      <c r="C41" s="2" t="str">
        <f>IF(D41&lt;&gt;"",'DATA TILL SLU'!$K$3,"")</f>
        <v/>
      </c>
      <c r="D41" s="2" t="str">
        <f>IF(OR(ROW(D40)-ROW(D$1)+1&lt;=MAX(Beräkningshjälp!$F$37:$F$54),ROW(D40)-ROW(D$1)+1&lt;=ROUND((MAX(Beräkningshjälp!AB$3:AB$1082)+4)/10,0)-1),D$2,"")</f>
        <v/>
      </c>
      <c r="E41" s="136" t="str">
        <f>IF(D41&lt;&gt;"",IF(COUNTIF(Beräkningshjälp!F$38:F$49,"&gt;0")&gt;=ROW(E40)-ROW(E$1)+1,VLOOKUP((VLOOKUP(ROW(E40)-ROW(E$1)+1,Beräkningshjälp!$F$37:$H$54,IF(ISNUMBER(VLOOKUP(ROW(E40)-ROW(E$1)+1,Beräkningshjälp!$F$37:$H$54,2,FALSE)),2,3),FALSE)),Beräkningshjälp!$M$2:$O$60,3,FALSE),VLOOKUP((ROW(E40)-ROW(E$1)+1)*10+1,Beräkningshjälp!$AB$2:$AF$1082,5,FALSE)),"")</f>
        <v/>
      </c>
      <c r="F41" s="2" t="str">
        <f>IF(D41&lt;&gt;"",Beräkningshjälp!$AH$1,"")</f>
        <v/>
      </c>
      <c r="G41" s="136" t="str">
        <f>IF(D41&lt;&gt;"",IF(COUNTIF(Beräkningshjälp!F$38:F$49,"&gt;0")&gt;=ROW(E40)-ROW(E$1)+1,"INGA",IF(COUNTIF(Beräkningshjälp!$G$38:$H$49,VLOOKUP(E41,Beräkningshjälp!$AF$2:$AG$1082,2,FALSE))&gt;0,"ENSTAK",IF(VLOOKUP(VLOOKUP(E41,Beräkningshjälp!O$2:U$60,7,FALSE),Artuppgifter!$I$11:$P$22,7,FALSE)=TRUE,"MINMAX","ALLA"))),"")</f>
        <v/>
      </c>
      <c r="H41" s="2" t="str">
        <f>IF($E41&lt;&gt;"",IF(AND($E41&lt;&gt;"EJFANGST",$G41&lt;&gt;"INGA"),IF(ISNUMBER(VLOOKUP((ROW($H40)-ROW($H$1)+1)*10+COLUMN(H$1)-COLUMN($H$1)+1,Beräkningshjälp!$AB$2:$AI$1082,7,FALSE)),VLOOKUP((ROW($H40)-ROW($H$1)+1)*10+COLUMN(H$1)-COLUMN($H$1)+1,Beräkningshjälp!$AB$2:$AI$1082,7,FALSE),IF(E41&gt;0,-VLOOKUP((ROW($H40)-ROW($H$1)+1)*10+COLUMN(H$1)-COLUMN($H$1)+1,Beräkningshjälp!$AB$2:$AI$1082,3,FALSE),0)),0),"")</f>
        <v/>
      </c>
      <c r="I41" s="2" t="str">
        <f>IF($E41&lt;&gt;"",IF(AND($E41&lt;&gt;"EJFANGST",$G41&lt;&gt;"INGA"),IF(ISNUMBER(VLOOKUP((ROW($H40)-ROW($H$1)+1)*10+COLUMN(I$1)-COLUMN($H$1)+1,Beräkningshjälp!$AB$2:$AI$1082,7,FALSE)),VLOOKUP((ROW($H40)-ROW($H$1)+1)*10+COLUMN(I$1)-COLUMN($H$1)+1,Beräkningshjälp!$AB$2:$AI$1082,7,FALSE),IF(H41&gt;0,-VLOOKUP((ROW($H40)-ROW($H$1)+1)*10+COLUMN(I$1)-COLUMN($H$1)+1,Beräkningshjälp!$AB$2:$AI$1082,3,FALSE),0)),0),"")</f>
        <v/>
      </c>
      <c r="J41" s="2" t="str">
        <f>IF($E41&lt;&gt;"",IF(AND($E41&lt;&gt;"EJFANGST",$G41&lt;&gt;"INGA"),IF(ISNUMBER(VLOOKUP((ROW($H40)-ROW($H$1)+1)*10+COLUMN(J$1)-COLUMN($H$1)+1,Beräkningshjälp!$AB$2:$AI$1082,7,FALSE)),VLOOKUP((ROW($H40)-ROW($H$1)+1)*10+COLUMN(J$1)-COLUMN($H$1)+1,Beräkningshjälp!$AB$2:$AI$1082,7,FALSE),IF(I41&gt;0,-VLOOKUP((ROW($H40)-ROW($H$1)+1)*10+COLUMN(J$1)-COLUMN($H$1)+1,Beräkningshjälp!$AB$2:$AI$1082,3,FALSE),0)),0),"")</f>
        <v/>
      </c>
      <c r="K41" s="2" t="str">
        <f>IF($E41&lt;&gt;"",IF(AND($E41&lt;&gt;"EJFANGST",$G41&lt;&gt;"INGA"),IF(ISNUMBER(VLOOKUP((ROW($H40)-ROW($H$1)+1)*10+COLUMN(K$1)-COLUMN($H$1)+1,Beräkningshjälp!$AB$2:$AI$1082,7,FALSE)),VLOOKUP((ROW($H40)-ROW($H$1)+1)*10+COLUMN(K$1)-COLUMN($H$1)+1,Beräkningshjälp!$AB$2:$AI$1082,7,FALSE),IF(J41&gt;0,-VLOOKUP((ROW($H40)-ROW($H$1)+1)*10+COLUMN(K$1)-COLUMN($H$1)+1,Beräkningshjälp!$AB$2:$AI$1082,3,FALSE),0)),0),"")</f>
        <v/>
      </c>
      <c r="L41" s="2" t="str">
        <f>IF($E41&lt;&gt;"",IF(AND($E41&lt;&gt;"EJFANGST",$G41&lt;&gt;"INGA"),IF(ISNUMBER(VLOOKUP((ROW($H40)-ROW($H$1)+1)*10+COLUMN(L$1)-COLUMN($H$1)+1,Beräkningshjälp!$AB$2:$AI$1082,7,FALSE)),VLOOKUP((ROW($H40)-ROW($H$1)+1)*10+COLUMN(L$1)-COLUMN($H$1)+1,Beräkningshjälp!$AB$2:$AI$1082,7,FALSE),IF(K41&gt;0,-VLOOKUP((ROW($H40)-ROW($H$1)+1)*10+COLUMN(L$1)-COLUMN($H$1)+1,Beräkningshjälp!$AB$2:$AI$1082,3,FALSE),0)),0),"")</f>
        <v/>
      </c>
      <c r="M41" s="2" t="str">
        <f>IF($E41&lt;&gt;"",IF(AND($E41&lt;&gt;"EJFANGST",$G41&lt;&gt;"INGA"),IF(ISNUMBER(VLOOKUP((ROW($H40)-ROW($H$1)+1)*10+COLUMN(M$1)-COLUMN($H$1)+1,Beräkningshjälp!$AB$2:$AI$1082,7,FALSE)),VLOOKUP((ROW($H40)-ROW($H$1)+1)*10+COLUMN(M$1)-COLUMN($H$1)+1,Beräkningshjälp!$AB$2:$AI$1082,7,FALSE),IF(L41&gt;0,-VLOOKUP((ROW($H40)-ROW($H$1)+1)*10+COLUMN(M$1)-COLUMN($H$1)+1,Beräkningshjälp!$AB$2:$AI$1082,3,FALSE),0)),0),"")</f>
        <v/>
      </c>
      <c r="N41" s="2" t="str">
        <f>IF($E41&lt;&gt;"",IF(AND($E41&lt;&gt;"EJFANGST",$G41&lt;&gt;"INGA"),IF(ISNUMBER(VLOOKUP((ROW($H40)-ROW($H$1)+1)*10+COLUMN(N$1)-COLUMN($H$1)+1,Beräkningshjälp!$AB$2:$AI$1082,7,FALSE)),VLOOKUP((ROW($H40)-ROW($H$1)+1)*10+COLUMN(N$1)-COLUMN($H$1)+1,Beräkningshjälp!$AB$2:$AI$1082,7,FALSE),IF(M41&gt;0,-VLOOKUP((ROW($H40)-ROW($H$1)+1)*10+COLUMN(N$1)-COLUMN($H$1)+1,Beräkningshjälp!$AB$2:$AI$1082,3,FALSE),0)),0),"")</f>
        <v/>
      </c>
      <c r="O41" s="2" t="str">
        <f>IF($E41&lt;&gt;"",IF(AND($E41&lt;&gt;"EJFANGST",$G41&lt;&gt;"INGA"),IF(ISNUMBER(VLOOKUP((ROW($H40)-ROW($H$1)+1)*10+COLUMN(O$1)-COLUMN($H$1)+1,Beräkningshjälp!$AB$2:$AI$1082,7,FALSE)),VLOOKUP((ROW($H40)-ROW($H$1)+1)*10+COLUMN(O$1)-COLUMN($H$1)+1,Beräkningshjälp!$AB$2:$AI$1082,7,FALSE),IF(N41&gt;0,-VLOOKUP((ROW($H40)-ROW($H$1)+1)*10+COLUMN(O$1)-COLUMN($H$1)+1,Beräkningshjälp!$AB$2:$AI$1082,3,FALSE),0)),0),"")</f>
        <v/>
      </c>
      <c r="P41" s="2" t="str">
        <f>IF($E41&lt;&gt;"",IF(AND($E41&lt;&gt;"EJFANGST",$G41&lt;&gt;"INGA"),IF(ISNUMBER(VLOOKUP((ROW($H40)-ROW($H$1)+1)*10+COLUMN(P$1)-COLUMN($H$1)+1,Beräkningshjälp!$AB$2:$AI$1082,7,FALSE)),VLOOKUP((ROW($H40)-ROW($H$1)+1)*10+COLUMN(P$1)-COLUMN($H$1)+1,Beräkningshjälp!$AB$2:$AI$1082,7,FALSE),IF(O41&gt;0,-VLOOKUP((ROW($H40)-ROW($H$1)+1)*10+COLUMN(P$1)-COLUMN($H$1)+1,Beräkningshjälp!$AB$2:$AI$1082,3,FALSE),0)),0),"")</f>
        <v/>
      </c>
      <c r="Q41" s="2" t="str">
        <f>IF($E41&lt;&gt;"",IF(AND($E41&lt;&gt;"EJFANGST",$G41&lt;&gt;"INGA"),IF(ISNUMBER(VLOOKUP((ROW($H40)-ROW($H$1)+1)*10+COLUMN(Q$1)-COLUMN($H$1)+1,Beräkningshjälp!$AB$2:$AI$1082,7,FALSE)),VLOOKUP((ROW($H40)-ROW($H$1)+1)*10+COLUMN(Q$1)-COLUMN($H$1)+1,Beräkningshjälp!$AB$2:$AI$1082,7,FALSE),IF(P41&gt;0,-VLOOKUP((ROW($H40)-ROW($H$1)+1)*10+COLUMN(Q$1)-COLUMN($H$1)+1,Beräkningshjälp!$AB$2:$AI$1082,3,FALSE),0)),0),"")</f>
        <v/>
      </c>
      <c r="R41" s="116" t="str">
        <f>IF(COUNTIF(H41:Q41,"&gt;0")&gt;0,IF($E41&lt;&gt;"",IF(AND($E41&lt;&gt;"EJFANGST",$G41&lt;&gt;"INGA"),IF(ISNUMBER(VLOOKUP((ROW($H40)-ROW($H$1)+1)*10+COLUMN(H$1)-COLUMN($H$1)+1,Beräkningshjälp!$AB$2:$AI$1082,7,FALSE)),VLOOKUP((ROW($H40)-ROW($H$1)+1)*10+COLUMN(H$1)-COLUMN($H$1)+1,Beräkningshjälp!$AB$2:$AI$1082,3,FALSE),""),""),""),"")</f>
        <v/>
      </c>
    </row>
    <row r="42" spans="1:18" x14ac:dyDescent="0.25">
      <c r="A42" s="2" t="str">
        <f t="shared" si="0"/>
        <v/>
      </c>
      <c r="B42" s="2" t="str">
        <f>IF(D42&lt;&gt;"",'DATA TILL SLU'!$J$3,"")</f>
        <v/>
      </c>
      <c r="C42" s="2" t="str">
        <f>IF(D42&lt;&gt;"",'DATA TILL SLU'!$K$3,"")</f>
        <v/>
      </c>
      <c r="D42" s="2" t="str">
        <f>IF(OR(ROW(D41)-ROW(D$1)+1&lt;=MAX(Beräkningshjälp!$F$37:$F$54),ROW(D41)-ROW(D$1)+1&lt;=ROUND((MAX(Beräkningshjälp!AB$3:AB$1082)+4)/10,0)-1),D$2,"")</f>
        <v/>
      </c>
      <c r="E42" s="136" t="str">
        <f>IF(D42&lt;&gt;"",IF(COUNTIF(Beräkningshjälp!F$38:F$49,"&gt;0")&gt;=ROW(E41)-ROW(E$1)+1,VLOOKUP((VLOOKUP(ROW(E41)-ROW(E$1)+1,Beräkningshjälp!$F$37:$H$54,IF(ISNUMBER(VLOOKUP(ROW(E41)-ROW(E$1)+1,Beräkningshjälp!$F$37:$H$54,2,FALSE)),2,3),FALSE)),Beräkningshjälp!$M$2:$O$60,3,FALSE),VLOOKUP((ROW(E41)-ROW(E$1)+1)*10+1,Beräkningshjälp!$AB$2:$AF$1082,5,FALSE)),"")</f>
        <v/>
      </c>
      <c r="F42" s="2" t="str">
        <f>IF(D42&lt;&gt;"",Beräkningshjälp!$AH$1,"")</f>
        <v/>
      </c>
      <c r="G42" s="136" t="str">
        <f>IF(D42&lt;&gt;"",IF(COUNTIF(Beräkningshjälp!F$38:F$49,"&gt;0")&gt;=ROW(E41)-ROW(E$1)+1,"INGA",IF(COUNTIF(Beräkningshjälp!$G$38:$H$49,VLOOKUP(E42,Beräkningshjälp!$AF$2:$AG$1082,2,FALSE))&gt;0,"ENSTAK",IF(VLOOKUP(VLOOKUP(E42,Beräkningshjälp!O$2:U$60,7,FALSE),Artuppgifter!$I$11:$P$22,7,FALSE)=TRUE,"MINMAX","ALLA"))),"")</f>
        <v/>
      </c>
      <c r="H42" s="2" t="str">
        <f>IF($E42&lt;&gt;"",IF(AND($E42&lt;&gt;"EJFANGST",$G42&lt;&gt;"INGA"),IF(ISNUMBER(VLOOKUP((ROW($H41)-ROW($H$1)+1)*10+COLUMN(H$1)-COLUMN($H$1)+1,Beräkningshjälp!$AB$2:$AI$1082,7,FALSE)),VLOOKUP((ROW($H41)-ROW($H$1)+1)*10+COLUMN(H$1)-COLUMN($H$1)+1,Beräkningshjälp!$AB$2:$AI$1082,7,FALSE),IF(E42&gt;0,-VLOOKUP((ROW($H41)-ROW($H$1)+1)*10+COLUMN(H$1)-COLUMN($H$1)+1,Beräkningshjälp!$AB$2:$AI$1082,3,FALSE),0)),0),"")</f>
        <v/>
      </c>
      <c r="I42" s="2" t="str">
        <f>IF($E42&lt;&gt;"",IF(AND($E42&lt;&gt;"EJFANGST",$G42&lt;&gt;"INGA"),IF(ISNUMBER(VLOOKUP((ROW($H41)-ROW($H$1)+1)*10+COLUMN(I$1)-COLUMN($H$1)+1,Beräkningshjälp!$AB$2:$AI$1082,7,FALSE)),VLOOKUP((ROW($H41)-ROW($H$1)+1)*10+COLUMN(I$1)-COLUMN($H$1)+1,Beräkningshjälp!$AB$2:$AI$1082,7,FALSE),IF(H42&gt;0,-VLOOKUP((ROW($H41)-ROW($H$1)+1)*10+COLUMN(I$1)-COLUMN($H$1)+1,Beräkningshjälp!$AB$2:$AI$1082,3,FALSE),0)),0),"")</f>
        <v/>
      </c>
      <c r="J42" s="2" t="str">
        <f>IF($E42&lt;&gt;"",IF(AND($E42&lt;&gt;"EJFANGST",$G42&lt;&gt;"INGA"),IF(ISNUMBER(VLOOKUP((ROW($H41)-ROW($H$1)+1)*10+COLUMN(J$1)-COLUMN($H$1)+1,Beräkningshjälp!$AB$2:$AI$1082,7,FALSE)),VLOOKUP((ROW($H41)-ROW($H$1)+1)*10+COLUMN(J$1)-COLUMN($H$1)+1,Beräkningshjälp!$AB$2:$AI$1082,7,FALSE),IF(I42&gt;0,-VLOOKUP((ROW($H41)-ROW($H$1)+1)*10+COLUMN(J$1)-COLUMN($H$1)+1,Beräkningshjälp!$AB$2:$AI$1082,3,FALSE),0)),0),"")</f>
        <v/>
      </c>
      <c r="K42" s="2" t="str">
        <f>IF($E42&lt;&gt;"",IF(AND($E42&lt;&gt;"EJFANGST",$G42&lt;&gt;"INGA"),IF(ISNUMBER(VLOOKUP((ROW($H41)-ROW($H$1)+1)*10+COLUMN(K$1)-COLUMN($H$1)+1,Beräkningshjälp!$AB$2:$AI$1082,7,FALSE)),VLOOKUP((ROW($H41)-ROW($H$1)+1)*10+COLUMN(K$1)-COLUMN($H$1)+1,Beräkningshjälp!$AB$2:$AI$1082,7,FALSE),IF(J42&gt;0,-VLOOKUP((ROW($H41)-ROW($H$1)+1)*10+COLUMN(K$1)-COLUMN($H$1)+1,Beräkningshjälp!$AB$2:$AI$1082,3,FALSE),0)),0),"")</f>
        <v/>
      </c>
      <c r="L42" s="2" t="str">
        <f>IF($E42&lt;&gt;"",IF(AND($E42&lt;&gt;"EJFANGST",$G42&lt;&gt;"INGA"),IF(ISNUMBER(VLOOKUP((ROW($H41)-ROW($H$1)+1)*10+COLUMN(L$1)-COLUMN($H$1)+1,Beräkningshjälp!$AB$2:$AI$1082,7,FALSE)),VLOOKUP((ROW($H41)-ROW($H$1)+1)*10+COLUMN(L$1)-COLUMN($H$1)+1,Beräkningshjälp!$AB$2:$AI$1082,7,FALSE),IF(K42&gt;0,-VLOOKUP((ROW($H41)-ROW($H$1)+1)*10+COLUMN(L$1)-COLUMN($H$1)+1,Beräkningshjälp!$AB$2:$AI$1082,3,FALSE),0)),0),"")</f>
        <v/>
      </c>
      <c r="M42" s="2" t="str">
        <f>IF($E42&lt;&gt;"",IF(AND($E42&lt;&gt;"EJFANGST",$G42&lt;&gt;"INGA"),IF(ISNUMBER(VLOOKUP((ROW($H41)-ROW($H$1)+1)*10+COLUMN(M$1)-COLUMN($H$1)+1,Beräkningshjälp!$AB$2:$AI$1082,7,FALSE)),VLOOKUP((ROW($H41)-ROW($H$1)+1)*10+COLUMN(M$1)-COLUMN($H$1)+1,Beräkningshjälp!$AB$2:$AI$1082,7,FALSE),IF(L42&gt;0,-VLOOKUP((ROW($H41)-ROW($H$1)+1)*10+COLUMN(M$1)-COLUMN($H$1)+1,Beräkningshjälp!$AB$2:$AI$1082,3,FALSE),0)),0),"")</f>
        <v/>
      </c>
      <c r="N42" s="2" t="str">
        <f>IF($E42&lt;&gt;"",IF(AND($E42&lt;&gt;"EJFANGST",$G42&lt;&gt;"INGA"),IF(ISNUMBER(VLOOKUP((ROW($H41)-ROW($H$1)+1)*10+COLUMN(N$1)-COLUMN($H$1)+1,Beräkningshjälp!$AB$2:$AI$1082,7,FALSE)),VLOOKUP((ROW($H41)-ROW($H$1)+1)*10+COLUMN(N$1)-COLUMN($H$1)+1,Beräkningshjälp!$AB$2:$AI$1082,7,FALSE),IF(M42&gt;0,-VLOOKUP((ROW($H41)-ROW($H$1)+1)*10+COLUMN(N$1)-COLUMN($H$1)+1,Beräkningshjälp!$AB$2:$AI$1082,3,FALSE),0)),0),"")</f>
        <v/>
      </c>
      <c r="O42" s="2" t="str">
        <f>IF($E42&lt;&gt;"",IF(AND($E42&lt;&gt;"EJFANGST",$G42&lt;&gt;"INGA"),IF(ISNUMBER(VLOOKUP((ROW($H41)-ROW($H$1)+1)*10+COLUMN(O$1)-COLUMN($H$1)+1,Beräkningshjälp!$AB$2:$AI$1082,7,FALSE)),VLOOKUP((ROW($H41)-ROW($H$1)+1)*10+COLUMN(O$1)-COLUMN($H$1)+1,Beräkningshjälp!$AB$2:$AI$1082,7,FALSE),IF(N42&gt;0,-VLOOKUP((ROW($H41)-ROW($H$1)+1)*10+COLUMN(O$1)-COLUMN($H$1)+1,Beräkningshjälp!$AB$2:$AI$1082,3,FALSE),0)),0),"")</f>
        <v/>
      </c>
      <c r="P42" s="2" t="str">
        <f>IF($E42&lt;&gt;"",IF(AND($E42&lt;&gt;"EJFANGST",$G42&lt;&gt;"INGA"),IF(ISNUMBER(VLOOKUP((ROW($H41)-ROW($H$1)+1)*10+COLUMN(P$1)-COLUMN($H$1)+1,Beräkningshjälp!$AB$2:$AI$1082,7,FALSE)),VLOOKUP((ROW($H41)-ROW($H$1)+1)*10+COLUMN(P$1)-COLUMN($H$1)+1,Beräkningshjälp!$AB$2:$AI$1082,7,FALSE),IF(O42&gt;0,-VLOOKUP((ROW($H41)-ROW($H$1)+1)*10+COLUMN(P$1)-COLUMN($H$1)+1,Beräkningshjälp!$AB$2:$AI$1082,3,FALSE),0)),0),"")</f>
        <v/>
      </c>
      <c r="Q42" s="2" t="str">
        <f>IF($E42&lt;&gt;"",IF(AND($E42&lt;&gt;"EJFANGST",$G42&lt;&gt;"INGA"),IF(ISNUMBER(VLOOKUP((ROW($H41)-ROW($H$1)+1)*10+COLUMN(Q$1)-COLUMN($H$1)+1,Beräkningshjälp!$AB$2:$AI$1082,7,FALSE)),VLOOKUP((ROW($H41)-ROW($H$1)+1)*10+COLUMN(Q$1)-COLUMN($H$1)+1,Beräkningshjälp!$AB$2:$AI$1082,7,FALSE),IF(P42&gt;0,-VLOOKUP((ROW($H41)-ROW($H$1)+1)*10+COLUMN(Q$1)-COLUMN($H$1)+1,Beräkningshjälp!$AB$2:$AI$1082,3,FALSE),0)),0),"")</f>
        <v/>
      </c>
      <c r="R42" s="116" t="str">
        <f>IF(COUNTIF(H42:Q42,"&gt;0")&gt;0,IF($E42&lt;&gt;"",IF(AND($E42&lt;&gt;"EJFANGST",$G42&lt;&gt;"INGA"),IF(ISNUMBER(VLOOKUP((ROW($H41)-ROW($H$1)+1)*10+COLUMN(H$1)-COLUMN($H$1)+1,Beräkningshjälp!$AB$2:$AI$1082,7,FALSE)),VLOOKUP((ROW($H41)-ROW($H$1)+1)*10+COLUMN(H$1)-COLUMN($H$1)+1,Beräkningshjälp!$AB$2:$AI$1082,3,FALSE),""),""),""),"")</f>
        <v/>
      </c>
    </row>
    <row r="43" spans="1:18" x14ac:dyDescent="0.25">
      <c r="A43" s="2" t="str">
        <f t="shared" si="0"/>
        <v/>
      </c>
      <c r="B43" s="2" t="str">
        <f>IF(D43&lt;&gt;"",'DATA TILL SLU'!$J$3,"")</f>
        <v/>
      </c>
      <c r="C43" s="2" t="str">
        <f>IF(D43&lt;&gt;"",'DATA TILL SLU'!$K$3,"")</f>
        <v/>
      </c>
      <c r="D43" s="2" t="str">
        <f>IF(OR(ROW(D42)-ROW(D$1)+1&lt;=MAX(Beräkningshjälp!$F$37:$F$54),ROW(D42)-ROW(D$1)+1&lt;=ROUND((MAX(Beräkningshjälp!AB$3:AB$1082)+4)/10,0)-1),D$2,"")</f>
        <v/>
      </c>
      <c r="E43" s="136" t="str">
        <f>IF(D43&lt;&gt;"",IF(COUNTIF(Beräkningshjälp!F$38:F$49,"&gt;0")&gt;=ROW(E42)-ROW(E$1)+1,VLOOKUP((VLOOKUP(ROW(E42)-ROW(E$1)+1,Beräkningshjälp!$F$37:$H$54,IF(ISNUMBER(VLOOKUP(ROW(E42)-ROW(E$1)+1,Beräkningshjälp!$F$37:$H$54,2,FALSE)),2,3),FALSE)),Beräkningshjälp!$M$2:$O$60,3,FALSE),VLOOKUP((ROW(E42)-ROW(E$1)+1)*10+1,Beräkningshjälp!$AB$2:$AF$1082,5,FALSE)),"")</f>
        <v/>
      </c>
      <c r="F43" s="2" t="str">
        <f>IF(D43&lt;&gt;"",Beräkningshjälp!$AH$1,"")</f>
        <v/>
      </c>
      <c r="G43" s="136" t="str">
        <f>IF(D43&lt;&gt;"",IF(COUNTIF(Beräkningshjälp!F$38:F$49,"&gt;0")&gt;=ROW(E42)-ROW(E$1)+1,"INGA",IF(COUNTIF(Beräkningshjälp!$G$38:$H$49,VLOOKUP(E43,Beräkningshjälp!$AF$2:$AG$1082,2,FALSE))&gt;0,"ENSTAK",IF(VLOOKUP(VLOOKUP(E43,Beräkningshjälp!O$2:U$60,7,FALSE),Artuppgifter!$I$11:$P$22,7,FALSE)=TRUE,"MINMAX","ALLA"))),"")</f>
        <v/>
      </c>
      <c r="H43" s="2" t="str">
        <f>IF($E43&lt;&gt;"",IF(AND($E43&lt;&gt;"EJFANGST",$G43&lt;&gt;"INGA"),IF(ISNUMBER(VLOOKUP((ROW($H42)-ROW($H$1)+1)*10+COLUMN(H$1)-COLUMN($H$1)+1,Beräkningshjälp!$AB$2:$AI$1082,7,FALSE)),VLOOKUP((ROW($H42)-ROW($H$1)+1)*10+COLUMN(H$1)-COLUMN($H$1)+1,Beräkningshjälp!$AB$2:$AI$1082,7,FALSE),IF(E43&gt;0,-VLOOKUP((ROW($H42)-ROW($H$1)+1)*10+COLUMN(H$1)-COLUMN($H$1)+1,Beräkningshjälp!$AB$2:$AI$1082,3,FALSE),0)),0),"")</f>
        <v/>
      </c>
      <c r="I43" s="2" t="str">
        <f>IF($E43&lt;&gt;"",IF(AND($E43&lt;&gt;"EJFANGST",$G43&lt;&gt;"INGA"),IF(ISNUMBER(VLOOKUP((ROW($H42)-ROW($H$1)+1)*10+COLUMN(I$1)-COLUMN($H$1)+1,Beräkningshjälp!$AB$2:$AI$1082,7,FALSE)),VLOOKUP((ROW($H42)-ROW($H$1)+1)*10+COLUMN(I$1)-COLUMN($H$1)+1,Beräkningshjälp!$AB$2:$AI$1082,7,FALSE),IF(H43&gt;0,-VLOOKUP((ROW($H42)-ROW($H$1)+1)*10+COLUMN(I$1)-COLUMN($H$1)+1,Beräkningshjälp!$AB$2:$AI$1082,3,FALSE),0)),0),"")</f>
        <v/>
      </c>
      <c r="J43" s="2" t="str">
        <f>IF($E43&lt;&gt;"",IF(AND($E43&lt;&gt;"EJFANGST",$G43&lt;&gt;"INGA"),IF(ISNUMBER(VLOOKUP((ROW($H42)-ROW($H$1)+1)*10+COLUMN(J$1)-COLUMN($H$1)+1,Beräkningshjälp!$AB$2:$AI$1082,7,FALSE)),VLOOKUP((ROW($H42)-ROW($H$1)+1)*10+COLUMN(J$1)-COLUMN($H$1)+1,Beräkningshjälp!$AB$2:$AI$1082,7,FALSE),IF(I43&gt;0,-VLOOKUP((ROW($H42)-ROW($H$1)+1)*10+COLUMN(J$1)-COLUMN($H$1)+1,Beräkningshjälp!$AB$2:$AI$1082,3,FALSE),0)),0),"")</f>
        <v/>
      </c>
      <c r="K43" s="2" t="str">
        <f>IF($E43&lt;&gt;"",IF(AND($E43&lt;&gt;"EJFANGST",$G43&lt;&gt;"INGA"),IF(ISNUMBER(VLOOKUP((ROW($H42)-ROW($H$1)+1)*10+COLUMN(K$1)-COLUMN($H$1)+1,Beräkningshjälp!$AB$2:$AI$1082,7,FALSE)),VLOOKUP((ROW($H42)-ROW($H$1)+1)*10+COLUMN(K$1)-COLUMN($H$1)+1,Beräkningshjälp!$AB$2:$AI$1082,7,FALSE),IF(J43&gt;0,-VLOOKUP((ROW($H42)-ROW($H$1)+1)*10+COLUMN(K$1)-COLUMN($H$1)+1,Beräkningshjälp!$AB$2:$AI$1082,3,FALSE),0)),0),"")</f>
        <v/>
      </c>
      <c r="L43" s="2" t="str">
        <f>IF($E43&lt;&gt;"",IF(AND($E43&lt;&gt;"EJFANGST",$G43&lt;&gt;"INGA"),IF(ISNUMBER(VLOOKUP((ROW($H42)-ROW($H$1)+1)*10+COLUMN(L$1)-COLUMN($H$1)+1,Beräkningshjälp!$AB$2:$AI$1082,7,FALSE)),VLOOKUP((ROW($H42)-ROW($H$1)+1)*10+COLUMN(L$1)-COLUMN($H$1)+1,Beräkningshjälp!$AB$2:$AI$1082,7,FALSE),IF(K43&gt;0,-VLOOKUP((ROW($H42)-ROW($H$1)+1)*10+COLUMN(L$1)-COLUMN($H$1)+1,Beräkningshjälp!$AB$2:$AI$1082,3,FALSE),0)),0),"")</f>
        <v/>
      </c>
      <c r="M43" s="2" t="str">
        <f>IF($E43&lt;&gt;"",IF(AND($E43&lt;&gt;"EJFANGST",$G43&lt;&gt;"INGA"),IF(ISNUMBER(VLOOKUP((ROW($H42)-ROW($H$1)+1)*10+COLUMN(M$1)-COLUMN($H$1)+1,Beräkningshjälp!$AB$2:$AI$1082,7,FALSE)),VLOOKUP((ROW($H42)-ROW($H$1)+1)*10+COLUMN(M$1)-COLUMN($H$1)+1,Beräkningshjälp!$AB$2:$AI$1082,7,FALSE),IF(L43&gt;0,-VLOOKUP((ROW($H42)-ROW($H$1)+1)*10+COLUMN(M$1)-COLUMN($H$1)+1,Beräkningshjälp!$AB$2:$AI$1082,3,FALSE),0)),0),"")</f>
        <v/>
      </c>
      <c r="N43" s="2" t="str">
        <f>IF($E43&lt;&gt;"",IF(AND($E43&lt;&gt;"EJFANGST",$G43&lt;&gt;"INGA"),IF(ISNUMBER(VLOOKUP((ROW($H42)-ROW($H$1)+1)*10+COLUMN(N$1)-COLUMN($H$1)+1,Beräkningshjälp!$AB$2:$AI$1082,7,FALSE)),VLOOKUP((ROW($H42)-ROW($H$1)+1)*10+COLUMN(N$1)-COLUMN($H$1)+1,Beräkningshjälp!$AB$2:$AI$1082,7,FALSE),IF(M43&gt;0,-VLOOKUP((ROW($H42)-ROW($H$1)+1)*10+COLUMN(N$1)-COLUMN($H$1)+1,Beräkningshjälp!$AB$2:$AI$1082,3,FALSE),0)),0),"")</f>
        <v/>
      </c>
      <c r="O43" s="2" t="str">
        <f>IF($E43&lt;&gt;"",IF(AND($E43&lt;&gt;"EJFANGST",$G43&lt;&gt;"INGA"),IF(ISNUMBER(VLOOKUP((ROW($H42)-ROW($H$1)+1)*10+COLUMN(O$1)-COLUMN($H$1)+1,Beräkningshjälp!$AB$2:$AI$1082,7,FALSE)),VLOOKUP((ROW($H42)-ROW($H$1)+1)*10+COLUMN(O$1)-COLUMN($H$1)+1,Beräkningshjälp!$AB$2:$AI$1082,7,FALSE),IF(N43&gt;0,-VLOOKUP((ROW($H42)-ROW($H$1)+1)*10+COLUMN(O$1)-COLUMN($H$1)+1,Beräkningshjälp!$AB$2:$AI$1082,3,FALSE),0)),0),"")</f>
        <v/>
      </c>
      <c r="P43" s="2" t="str">
        <f>IF($E43&lt;&gt;"",IF(AND($E43&lt;&gt;"EJFANGST",$G43&lt;&gt;"INGA"),IF(ISNUMBER(VLOOKUP((ROW($H42)-ROW($H$1)+1)*10+COLUMN(P$1)-COLUMN($H$1)+1,Beräkningshjälp!$AB$2:$AI$1082,7,FALSE)),VLOOKUP((ROW($H42)-ROW($H$1)+1)*10+COLUMN(P$1)-COLUMN($H$1)+1,Beräkningshjälp!$AB$2:$AI$1082,7,FALSE),IF(O43&gt;0,-VLOOKUP((ROW($H42)-ROW($H$1)+1)*10+COLUMN(P$1)-COLUMN($H$1)+1,Beräkningshjälp!$AB$2:$AI$1082,3,FALSE),0)),0),"")</f>
        <v/>
      </c>
      <c r="Q43" s="2" t="str">
        <f>IF($E43&lt;&gt;"",IF(AND($E43&lt;&gt;"EJFANGST",$G43&lt;&gt;"INGA"),IF(ISNUMBER(VLOOKUP((ROW($H42)-ROW($H$1)+1)*10+COLUMN(Q$1)-COLUMN($H$1)+1,Beräkningshjälp!$AB$2:$AI$1082,7,FALSE)),VLOOKUP((ROW($H42)-ROW($H$1)+1)*10+COLUMN(Q$1)-COLUMN($H$1)+1,Beräkningshjälp!$AB$2:$AI$1082,7,FALSE),IF(P43&gt;0,-VLOOKUP((ROW($H42)-ROW($H$1)+1)*10+COLUMN(Q$1)-COLUMN($H$1)+1,Beräkningshjälp!$AB$2:$AI$1082,3,FALSE),0)),0),"")</f>
        <v/>
      </c>
      <c r="R43" s="116" t="str">
        <f>IF(COUNTIF(H43:Q43,"&gt;0")&gt;0,IF($E43&lt;&gt;"",IF(AND($E43&lt;&gt;"EJFANGST",$G43&lt;&gt;"INGA"),IF(ISNUMBER(VLOOKUP((ROW($H42)-ROW($H$1)+1)*10+COLUMN(H$1)-COLUMN($H$1)+1,Beräkningshjälp!$AB$2:$AI$1082,7,FALSE)),VLOOKUP((ROW($H42)-ROW($H$1)+1)*10+COLUMN(H$1)-COLUMN($H$1)+1,Beräkningshjälp!$AB$2:$AI$1082,3,FALSE),""),""),""),"")</f>
        <v/>
      </c>
    </row>
    <row r="44" spans="1:18" x14ac:dyDescent="0.25">
      <c r="A44" s="2" t="str">
        <f t="shared" si="0"/>
        <v/>
      </c>
      <c r="B44" s="2" t="str">
        <f>IF(D44&lt;&gt;"",'DATA TILL SLU'!$J$3,"")</f>
        <v/>
      </c>
      <c r="C44" s="2" t="str">
        <f>IF(D44&lt;&gt;"",'DATA TILL SLU'!$K$3,"")</f>
        <v/>
      </c>
      <c r="D44" s="2" t="str">
        <f>IF(OR(ROW(D43)-ROW(D$1)+1&lt;=MAX(Beräkningshjälp!$F$37:$F$54),ROW(D43)-ROW(D$1)+1&lt;=ROUND((MAX(Beräkningshjälp!AB$3:AB$1082)+4)/10,0)-1),D$2,"")</f>
        <v/>
      </c>
      <c r="E44" s="136" t="str">
        <f>IF(D44&lt;&gt;"",IF(COUNTIF(Beräkningshjälp!F$38:F$49,"&gt;0")&gt;=ROW(E43)-ROW(E$1)+1,VLOOKUP((VLOOKUP(ROW(E43)-ROW(E$1)+1,Beräkningshjälp!$F$37:$H$54,IF(ISNUMBER(VLOOKUP(ROW(E43)-ROW(E$1)+1,Beräkningshjälp!$F$37:$H$54,2,FALSE)),2,3),FALSE)),Beräkningshjälp!$M$2:$O$60,3,FALSE),VLOOKUP((ROW(E43)-ROW(E$1)+1)*10+1,Beräkningshjälp!$AB$2:$AF$1082,5,FALSE)),"")</f>
        <v/>
      </c>
      <c r="F44" s="2" t="str">
        <f>IF(D44&lt;&gt;"",Beräkningshjälp!$AH$1,"")</f>
        <v/>
      </c>
      <c r="G44" s="136" t="str">
        <f>IF(D44&lt;&gt;"",IF(COUNTIF(Beräkningshjälp!F$38:F$49,"&gt;0")&gt;=ROW(E43)-ROW(E$1)+1,"INGA",IF(COUNTIF(Beräkningshjälp!$G$38:$H$49,VLOOKUP(E44,Beräkningshjälp!$AF$2:$AG$1082,2,FALSE))&gt;0,"ENSTAK",IF(VLOOKUP(VLOOKUP(E44,Beräkningshjälp!O$2:U$60,7,FALSE),Artuppgifter!$I$11:$P$22,7,FALSE)=TRUE,"MINMAX","ALLA"))),"")</f>
        <v/>
      </c>
      <c r="H44" s="2" t="str">
        <f>IF($E44&lt;&gt;"",IF(AND($E44&lt;&gt;"EJFANGST",$G44&lt;&gt;"INGA"),IF(ISNUMBER(VLOOKUP((ROW($H43)-ROW($H$1)+1)*10+COLUMN(H$1)-COLUMN($H$1)+1,Beräkningshjälp!$AB$2:$AI$1082,7,FALSE)),VLOOKUP((ROW($H43)-ROW($H$1)+1)*10+COLUMN(H$1)-COLUMN($H$1)+1,Beräkningshjälp!$AB$2:$AI$1082,7,FALSE),IF(E44&gt;0,-VLOOKUP((ROW($H43)-ROW($H$1)+1)*10+COLUMN(H$1)-COLUMN($H$1)+1,Beräkningshjälp!$AB$2:$AI$1082,3,FALSE),0)),0),"")</f>
        <v/>
      </c>
      <c r="I44" s="2" t="str">
        <f>IF($E44&lt;&gt;"",IF(AND($E44&lt;&gt;"EJFANGST",$G44&lt;&gt;"INGA"),IF(ISNUMBER(VLOOKUP((ROW($H43)-ROW($H$1)+1)*10+COLUMN(I$1)-COLUMN($H$1)+1,Beräkningshjälp!$AB$2:$AI$1082,7,FALSE)),VLOOKUP((ROW($H43)-ROW($H$1)+1)*10+COLUMN(I$1)-COLUMN($H$1)+1,Beräkningshjälp!$AB$2:$AI$1082,7,FALSE),IF(H44&gt;0,-VLOOKUP((ROW($H43)-ROW($H$1)+1)*10+COLUMN(I$1)-COLUMN($H$1)+1,Beräkningshjälp!$AB$2:$AI$1082,3,FALSE),0)),0),"")</f>
        <v/>
      </c>
      <c r="J44" s="2" t="str">
        <f>IF($E44&lt;&gt;"",IF(AND($E44&lt;&gt;"EJFANGST",$G44&lt;&gt;"INGA"),IF(ISNUMBER(VLOOKUP((ROW($H43)-ROW($H$1)+1)*10+COLUMN(J$1)-COLUMN($H$1)+1,Beräkningshjälp!$AB$2:$AI$1082,7,FALSE)),VLOOKUP((ROW($H43)-ROW($H$1)+1)*10+COLUMN(J$1)-COLUMN($H$1)+1,Beräkningshjälp!$AB$2:$AI$1082,7,FALSE),IF(I44&gt;0,-VLOOKUP((ROW($H43)-ROW($H$1)+1)*10+COLUMN(J$1)-COLUMN($H$1)+1,Beräkningshjälp!$AB$2:$AI$1082,3,FALSE),0)),0),"")</f>
        <v/>
      </c>
      <c r="K44" s="2" t="str">
        <f>IF($E44&lt;&gt;"",IF(AND($E44&lt;&gt;"EJFANGST",$G44&lt;&gt;"INGA"),IF(ISNUMBER(VLOOKUP((ROW($H43)-ROW($H$1)+1)*10+COLUMN(K$1)-COLUMN($H$1)+1,Beräkningshjälp!$AB$2:$AI$1082,7,FALSE)),VLOOKUP((ROW($H43)-ROW($H$1)+1)*10+COLUMN(K$1)-COLUMN($H$1)+1,Beräkningshjälp!$AB$2:$AI$1082,7,FALSE),IF(J44&gt;0,-VLOOKUP((ROW($H43)-ROW($H$1)+1)*10+COLUMN(K$1)-COLUMN($H$1)+1,Beräkningshjälp!$AB$2:$AI$1082,3,FALSE),0)),0),"")</f>
        <v/>
      </c>
      <c r="L44" s="2" t="str">
        <f>IF($E44&lt;&gt;"",IF(AND($E44&lt;&gt;"EJFANGST",$G44&lt;&gt;"INGA"),IF(ISNUMBER(VLOOKUP((ROW($H43)-ROW($H$1)+1)*10+COLUMN(L$1)-COLUMN($H$1)+1,Beräkningshjälp!$AB$2:$AI$1082,7,FALSE)),VLOOKUP((ROW($H43)-ROW($H$1)+1)*10+COLUMN(L$1)-COLUMN($H$1)+1,Beräkningshjälp!$AB$2:$AI$1082,7,FALSE),IF(K44&gt;0,-VLOOKUP((ROW($H43)-ROW($H$1)+1)*10+COLUMN(L$1)-COLUMN($H$1)+1,Beräkningshjälp!$AB$2:$AI$1082,3,FALSE),0)),0),"")</f>
        <v/>
      </c>
      <c r="M44" s="2" t="str">
        <f>IF($E44&lt;&gt;"",IF(AND($E44&lt;&gt;"EJFANGST",$G44&lt;&gt;"INGA"),IF(ISNUMBER(VLOOKUP((ROW($H43)-ROW($H$1)+1)*10+COLUMN(M$1)-COLUMN($H$1)+1,Beräkningshjälp!$AB$2:$AI$1082,7,FALSE)),VLOOKUP((ROW($H43)-ROW($H$1)+1)*10+COLUMN(M$1)-COLUMN($H$1)+1,Beräkningshjälp!$AB$2:$AI$1082,7,FALSE),IF(L44&gt;0,-VLOOKUP((ROW($H43)-ROW($H$1)+1)*10+COLUMN(M$1)-COLUMN($H$1)+1,Beräkningshjälp!$AB$2:$AI$1082,3,FALSE),0)),0),"")</f>
        <v/>
      </c>
      <c r="N44" s="2" t="str">
        <f>IF($E44&lt;&gt;"",IF(AND($E44&lt;&gt;"EJFANGST",$G44&lt;&gt;"INGA"),IF(ISNUMBER(VLOOKUP((ROW($H43)-ROW($H$1)+1)*10+COLUMN(N$1)-COLUMN($H$1)+1,Beräkningshjälp!$AB$2:$AI$1082,7,FALSE)),VLOOKUP((ROW($H43)-ROW($H$1)+1)*10+COLUMN(N$1)-COLUMN($H$1)+1,Beräkningshjälp!$AB$2:$AI$1082,7,FALSE),IF(M44&gt;0,-VLOOKUP((ROW($H43)-ROW($H$1)+1)*10+COLUMN(N$1)-COLUMN($H$1)+1,Beräkningshjälp!$AB$2:$AI$1082,3,FALSE),0)),0),"")</f>
        <v/>
      </c>
      <c r="O44" s="2" t="str">
        <f>IF($E44&lt;&gt;"",IF(AND($E44&lt;&gt;"EJFANGST",$G44&lt;&gt;"INGA"),IF(ISNUMBER(VLOOKUP((ROW($H43)-ROW($H$1)+1)*10+COLUMN(O$1)-COLUMN($H$1)+1,Beräkningshjälp!$AB$2:$AI$1082,7,FALSE)),VLOOKUP((ROW($H43)-ROW($H$1)+1)*10+COLUMN(O$1)-COLUMN($H$1)+1,Beräkningshjälp!$AB$2:$AI$1082,7,FALSE),IF(N44&gt;0,-VLOOKUP((ROW($H43)-ROW($H$1)+1)*10+COLUMN(O$1)-COLUMN($H$1)+1,Beräkningshjälp!$AB$2:$AI$1082,3,FALSE),0)),0),"")</f>
        <v/>
      </c>
      <c r="P44" s="2" t="str">
        <f>IF($E44&lt;&gt;"",IF(AND($E44&lt;&gt;"EJFANGST",$G44&lt;&gt;"INGA"),IF(ISNUMBER(VLOOKUP((ROW($H43)-ROW($H$1)+1)*10+COLUMN(P$1)-COLUMN($H$1)+1,Beräkningshjälp!$AB$2:$AI$1082,7,FALSE)),VLOOKUP((ROW($H43)-ROW($H$1)+1)*10+COLUMN(P$1)-COLUMN($H$1)+1,Beräkningshjälp!$AB$2:$AI$1082,7,FALSE),IF(O44&gt;0,-VLOOKUP((ROW($H43)-ROW($H$1)+1)*10+COLUMN(P$1)-COLUMN($H$1)+1,Beräkningshjälp!$AB$2:$AI$1082,3,FALSE),0)),0),"")</f>
        <v/>
      </c>
      <c r="Q44" s="2" t="str">
        <f>IF($E44&lt;&gt;"",IF(AND($E44&lt;&gt;"EJFANGST",$G44&lt;&gt;"INGA"),IF(ISNUMBER(VLOOKUP((ROW($H43)-ROW($H$1)+1)*10+COLUMN(Q$1)-COLUMN($H$1)+1,Beräkningshjälp!$AB$2:$AI$1082,7,FALSE)),VLOOKUP((ROW($H43)-ROW($H$1)+1)*10+COLUMN(Q$1)-COLUMN($H$1)+1,Beräkningshjälp!$AB$2:$AI$1082,7,FALSE),IF(P44&gt;0,-VLOOKUP((ROW($H43)-ROW($H$1)+1)*10+COLUMN(Q$1)-COLUMN($H$1)+1,Beräkningshjälp!$AB$2:$AI$1082,3,FALSE),0)),0),"")</f>
        <v/>
      </c>
      <c r="R44" s="116" t="str">
        <f>IF(COUNTIF(H44:Q44,"&gt;0")&gt;0,IF($E44&lt;&gt;"",IF(AND($E44&lt;&gt;"EJFANGST",$G44&lt;&gt;"INGA"),IF(ISNUMBER(VLOOKUP((ROW($H43)-ROW($H$1)+1)*10+COLUMN(H$1)-COLUMN($H$1)+1,Beräkningshjälp!$AB$2:$AI$1082,7,FALSE)),VLOOKUP((ROW($H43)-ROW($H$1)+1)*10+COLUMN(H$1)-COLUMN($H$1)+1,Beräkningshjälp!$AB$2:$AI$1082,3,FALSE),""),""),""),"")</f>
        <v/>
      </c>
    </row>
    <row r="45" spans="1:18" x14ac:dyDescent="0.25">
      <c r="A45" s="2" t="str">
        <f t="shared" si="0"/>
        <v/>
      </c>
      <c r="B45" s="2" t="str">
        <f>IF(D45&lt;&gt;"",'DATA TILL SLU'!$J$3,"")</f>
        <v/>
      </c>
      <c r="C45" s="2" t="str">
        <f>IF(D45&lt;&gt;"",'DATA TILL SLU'!$K$3,"")</f>
        <v/>
      </c>
      <c r="D45" s="2" t="str">
        <f>IF(OR(ROW(D44)-ROW(D$1)+1&lt;=MAX(Beräkningshjälp!$F$37:$F$54),ROW(D44)-ROW(D$1)+1&lt;=ROUND((MAX(Beräkningshjälp!AB$3:AB$1082)+4)/10,0)-1),D$2,"")</f>
        <v/>
      </c>
      <c r="E45" s="136" t="str">
        <f>IF(D45&lt;&gt;"",IF(COUNTIF(Beräkningshjälp!F$38:F$49,"&gt;0")&gt;=ROW(E44)-ROW(E$1)+1,VLOOKUP((VLOOKUP(ROW(E44)-ROW(E$1)+1,Beräkningshjälp!$F$37:$H$54,IF(ISNUMBER(VLOOKUP(ROW(E44)-ROW(E$1)+1,Beräkningshjälp!$F$37:$H$54,2,FALSE)),2,3),FALSE)),Beräkningshjälp!$M$2:$O$60,3,FALSE),VLOOKUP((ROW(E44)-ROW(E$1)+1)*10+1,Beräkningshjälp!$AB$2:$AF$1082,5,FALSE)),"")</f>
        <v/>
      </c>
      <c r="F45" s="2" t="str">
        <f>IF(D45&lt;&gt;"",Beräkningshjälp!$AH$1,"")</f>
        <v/>
      </c>
      <c r="G45" s="136" t="str">
        <f>IF(D45&lt;&gt;"",IF(COUNTIF(Beräkningshjälp!F$38:F$49,"&gt;0")&gt;=ROW(E44)-ROW(E$1)+1,"INGA",IF(COUNTIF(Beräkningshjälp!$G$38:$H$49,VLOOKUP(E45,Beräkningshjälp!$AF$2:$AG$1082,2,FALSE))&gt;0,"ENSTAK",IF(VLOOKUP(VLOOKUP(E45,Beräkningshjälp!O$2:U$60,7,FALSE),Artuppgifter!$I$11:$P$22,7,FALSE)=TRUE,"MINMAX","ALLA"))),"")</f>
        <v/>
      </c>
      <c r="H45" s="2" t="str">
        <f>IF($E45&lt;&gt;"",IF(AND($E45&lt;&gt;"EJFANGST",$G45&lt;&gt;"INGA"),IF(ISNUMBER(VLOOKUP((ROW($H44)-ROW($H$1)+1)*10+COLUMN(H$1)-COLUMN($H$1)+1,Beräkningshjälp!$AB$2:$AI$1082,7,FALSE)),VLOOKUP((ROW($H44)-ROW($H$1)+1)*10+COLUMN(H$1)-COLUMN($H$1)+1,Beräkningshjälp!$AB$2:$AI$1082,7,FALSE),IF(E45&gt;0,-VLOOKUP((ROW($H44)-ROW($H$1)+1)*10+COLUMN(H$1)-COLUMN($H$1)+1,Beräkningshjälp!$AB$2:$AI$1082,3,FALSE),0)),0),"")</f>
        <v/>
      </c>
      <c r="I45" s="2" t="str">
        <f>IF($E45&lt;&gt;"",IF(AND($E45&lt;&gt;"EJFANGST",$G45&lt;&gt;"INGA"),IF(ISNUMBER(VLOOKUP((ROW($H44)-ROW($H$1)+1)*10+COLUMN(I$1)-COLUMN($H$1)+1,Beräkningshjälp!$AB$2:$AI$1082,7,FALSE)),VLOOKUP((ROW($H44)-ROW($H$1)+1)*10+COLUMN(I$1)-COLUMN($H$1)+1,Beräkningshjälp!$AB$2:$AI$1082,7,FALSE),IF(H45&gt;0,-VLOOKUP((ROW($H44)-ROW($H$1)+1)*10+COLUMN(I$1)-COLUMN($H$1)+1,Beräkningshjälp!$AB$2:$AI$1082,3,FALSE),0)),0),"")</f>
        <v/>
      </c>
      <c r="J45" s="2" t="str">
        <f>IF($E45&lt;&gt;"",IF(AND($E45&lt;&gt;"EJFANGST",$G45&lt;&gt;"INGA"),IF(ISNUMBER(VLOOKUP((ROW($H44)-ROW($H$1)+1)*10+COLUMN(J$1)-COLUMN($H$1)+1,Beräkningshjälp!$AB$2:$AI$1082,7,FALSE)),VLOOKUP((ROW($H44)-ROW($H$1)+1)*10+COLUMN(J$1)-COLUMN($H$1)+1,Beräkningshjälp!$AB$2:$AI$1082,7,FALSE),IF(I45&gt;0,-VLOOKUP((ROW($H44)-ROW($H$1)+1)*10+COLUMN(J$1)-COLUMN($H$1)+1,Beräkningshjälp!$AB$2:$AI$1082,3,FALSE),0)),0),"")</f>
        <v/>
      </c>
      <c r="K45" s="2" t="str">
        <f>IF($E45&lt;&gt;"",IF(AND($E45&lt;&gt;"EJFANGST",$G45&lt;&gt;"INGA"),IF(ISNUMBER(VLOOKUP((ROW($H44)-ROW($H$1)+1)*10+COLUMN(K$1)-COLUMN($H$1)+1,Beräkningshjälp!$AB$2:$AI$1082,7,FALSE)),VLOOKUP((ROW($H44)-ROW($H$1)+1)*10+COLUMN(K$1)-COLUMN($H$1)+1,Beräkningshjälp!$AB$2:$AI$1082,7,FALSE),IF(J45&gt;0,-VLOOKUP((ROW($H44)-ROW($H$1)+1)*10+COLUMN(K$1)-COLUMN($H$1)+1,Beräkningshjälp!$AB$2:$AI$1082,3,FALSE),0)),0),"")</f>
        <v/>
      </c>
      <c r="L45" s="2" t="str">
        <f>IF($E45&lt;&gt;"",IF(AND($E45&lt;&gt;"EJFANGST",$G45&lt;&gt;"INGA"),IF(ISNUMBER(VLOOKUP((ROW($H44)-ROW($H$1)+1)*10+COLUMN(L$1)-COLUMN($H$1)+1,Beräkningshjälp!$AB$2:$AI$1082,7,FALSE)),VLOOKUP((ROW($H44)-ROW($H$1)+1)*10+COLUMN(L$1)-COLUMN($H$1)+1,Beräkningshjälp!$AB$2:$AI$1082,7,FALSE),IF(K45&gt;0,-VLOOKUP((ROW($H44)-ROW($H$1)+1)*10+COLUMN(L$1)-COLUMN($H$1)+1,Beräkningshjälp!$AB$2:$AI$1082,3,FALSE),0)),0),"")</f>
        <v/>
      </c>
      <c r="M45" s="2" t="str">
        <f>IF($E45&lt;&gt;"",IF(AND($E45&lt;&gt;"EJFANGST",$G45&lt;&gt;"INGA"),IF(ISNUMBER(VLOOKUP((ROW($H44)-ROW($H$1)+1)*10+COLUMN(M$1)-COLUMN($H$1)+1,Beräkningshjälp!$AB$2:$AI$1082,7,FALSE)),VLOOKUP((ROW($H44)-ROW($H$1)+1)*10+COLUMN(M$1)-COLUMN($H$1)+1,Beräkningshjälp!$AB$2:$AI$1082,7,FALSE),IF(L45&gt;0,-VLOOKUP((ROW($H44)-ROW($H$1)+1)*10+COLUMN(M$1)-COLUMN($H$1)+1,Beräkningshjälp!$AB$2:$AI$1082,3,FALSE),0)),0),"")</f>
        <v/>
      </c>
      <c r="N45" s="2" t="str">
        <f>IF($E45&lt;&gt;"",IF(AND($E45&lt;&gt;"EJFANGST",$G45&lt;&gt;"INGA"),IF(ISNUMBER(VLOOKUP((ROW($H44)-ROW($H$1)+1)*10+COLUMN(N$1)-COLUMN($H$1)+1,Beräkningshjälp!$AB$2:$AI$1082,7,FALSE)),VLOOKUP((ROW($H44)-ROW($H$1)+1)*10+COLUMN(N$1)-COLUMN($H$1)+1,Beräkningshjälp!$AB$2:$AI$1082,7,FALSE),IF(M45&gt;0,-VLOOKUP((ROW($H44)-ROW($H$1)+1)*10+COLUMN(N$1)-COLUMN($H$1)+1,Beräkningshjälp!$AB$2:$AI$1082,3,FALSE),0)),0),"")</f>
        <v/>
      </c>
      <c r="O45" s="2" t="str">
        <f>IF($E45&lt;&gt;"",IF(AND($E45&lt;&gt;"EJFANGST",$G45&lt;&gt;"INGA"),IF(ISNUMBER(VLOOKUP((ROW($H44)-ROW($H$1)+1)*10+COLUMN(O$1)-COLUMN($H$1)+1,Beräkningshjälp!$AB$2:$AI$1082,7,FALSE)),VLOOKUP((ROW($H44)-ROW($H$1)+1)*10+COLUMN(O$1)-COLUMN($H$1)+1,Beräkningshjälp!$AB$2:$AI$1082,7,FALSE),IF(N45&gt;0,-VLOOKUP((ROW($H44)-ROW($H$1)+1)*10+COLUMN(O$1)-COLUMN($H$1)+1,Beräkningshjälp!$AB$2:$AI$1082,3,FALSE),0)),0),"")</f>
        <v/>
      </c>
      <c r="P45" s="2" t="str">
        <f>IF($E45&lt;&gt;"",IF(AND($E45&lt;&gt;"EJFANGST",$G45&lt;&gt;"INGA"),IF(ISNUMBER(VLOOKUP((ROW($H44)-ROW($H$1)+1)*10+COLUMN(P$1)-COLUMN($H$1)+1,Beräkningshjälp!$AB$2:$AI$1082,7,FALSE)),VLOOKUP((ROW($H44)-ROW($H$1)+1)*10+COLUMN(P$1)-COLUMN($H$1)+1,Beräkningshjälp!$AB$2:$AI$1082,7,FALSE),IF(O45&gt;0,-VLOOKUP((ROW($H44)-ROW($H$1)+1)*10+COLUMN(P$1)-COLUMN($H$1)+1,Beräkningshjälp!$AB$2:$AI$1082,3,FALSE),0)),0),"")</f>
        <v/>
      </c>
      <c r="Q45" s="2" t="str">
        <f>IF($E45&lt;&gt;"",IF(AND($E45&lt;&gt;"EJFANGST",$G45&lt;&gt;"INGA"),IF(ISNUMBER(VLOOKUP((ROW($H44)-ROW($H$1)+1)*10+COLUMN(Q$1)-COLUMN($H$1)+1,Beräkningshjälp!$AB$2:$AI$1082,7,FALSE)),VLOOKUP((ROW($H44)-ROW($H$1)+1)*10+COLUMN(Q$1)-COLUMN($H$1)+1,Beräkningshjälp!$AB$2:$AI$1082,7,FALSE),IF(P45&gt;0,-VLOOKUP((ROW($H44)-ROW($H$1)+1)*10+COLUMN(Q$1)-COLUMN($H$1)+1,Beräkningshjälp!$AB$2:$AI$1082,3,FALSE),0)),0),"")</f>
        <v/>
      </c>
      <c r="R45" s="116" t="str">
        <f>IF(COUNTIF(H45:Q45,"&gt;0")&gt;0,IF($E45&lt;&gt;"",IF(AND($E45&lt;&gt;"EJFANGST",$G45&lt;&gt;"INGA"),IF(ISNUMBER(VLOOKUP((ROW($H44)-ROW($H$1)+1)*10+COLUMN(H$1)-COLUMN($H$1)+1,Beräkningshjälp!$AB$2:$AI$1082,7,FALSE)),VLOOKUP((ROW($H44)-ROW($H$1)+1)*10+COLUMN(H$1)-COLUMN($H$1)+1,Beräkningshjälp!$AB$2:$AI$1082,3,FALSE),""),""),""),"")</f>
        <v/>
      </c>
    </row>
    <row r="46" spans="1:18" x14ac:dyDescent="0.25">
      <c r="A46" s="2" t="str">
        <f t="shared" si="0"/>
        <v/>
      </c>
      <c r="B46" s="2" t="str">
        <f>IF(D46&lt;&gt;"",'DATA TILL SLU'!$J$3,"")</f>
        <v/>
      </c>
      <c r="C46" s="2" t="str">
        <f>IF(D46&lt;&gt;"",'DATA TILL SLU'!$K$3,"")</f>
        <v/>
      </c>
      <c r="D46" s="2" t="str">
        <f>IF(OR(ROW(D45)-ROW(D$1)+1&lt;=MAX(Beräkningshjälp!$F$37:$F$54),ROW(D45)-ROW(D$1)+1&lt;=ROUND((MAX(Beräkningshjälp!AB$3:AB$1082)+4)/10,0)-1),D$2,"")</f>
        <v/>
      </c>
      <c r="E46" s="136" t="str">
        <f>IF(D46&lt;&gt;"",IF(COUNTIF(Beräkningshjälp!F$38:F$49,"&gt;0")&gt;=ROW(E45)-ROW(E$1)+1,VLOOKUP((VLOOKUP(ROW(E45)-ROW(E$1)+1,Beräkningshjälp!$F$37:$H$54,IF(ISNUMBER(VLOOKUP(ROW(E45)-ROW(E$1)+1,Beräkningshjälp!$F$37:$H$54,2,FALSE)),2,3),FALSE)),Beräkningshjälp!$M$2:$O$60,3,FALSE),VLOOKUP((ROW(E45)-ROW(E$1)+1)*10+1,Beräkningshjälp!$AB$2:$AF$1082,5,FALSE)),"")</f>
        <v/>
      </c>
      <c r="F46" s="2" t="str">
        <f>IF(D46&lt;&gt;"",Beräkningshjälp!$AH$1,"")</f>
        <v/>
      </c>
      <c r="G46" s="136" t="str">
        <f>IF(D46&lt;&gt;"",IF(COUNTIF(Beräkningshjälp!F$38:F$49,"&gt;0")&gt;=ROW(E45)-ROW(E$1)+1,"INGA",IF(COUNTIF(Beräkningshjälp!$G$38:$H$49,VLOOKUP(E46,Beräkningshjälp!$AF$2:$AG$1082,2,FALSE))&gt;0,"ENSTAK",IF(VLOOKUP(VLOOKUP(E46,Beräkningshjälp!O$2:U$60,7,FALSE),Artuppgifter!$I$11:$P$22,7,FALSE)=TRUE,"MINMAX","ALLA"))),"")</f>
        <v/>
      </c>
      <c r="H46" s="2" t="str">
        <f>IF($E46&lt;&gt;"",IF(AND($E46&lt;&gt;"EJFANGST",$G46&lt;&gt;"INGA"),IF(ISNUMBER(VLOOKUP((ROW($H45)-ROW($H$1)+1)*10+COLUMN(H$1)-COLUMN($H$1)+1,Beräkningshjälp!$AB$2:$AI$1082,7,FALSE)),VLOOKUP((ROW($H45)-ROW($H$1)+1)*10+COLUMN(H$1)-COLUMN($H$1)+1,Beräkningshjälp!$AB$2:$AI$1082,7,FALSE),IF(E46&gt;0,-VLOOKUP((ROW($H45)-ROW($H$1)+1)*10+COLUMN(H$1)-COLUMN($H$1)+1,Beräkningshjälp!$AB$2:$AI$1082,3,FALSE),0)),0),"")</f>
        <v/>
      </c>
      <c r="I46" s="2" t="str">
        <f>IF($E46&lt;&gt;"",IF(AND($E46&lt;&gt;"EJFANGST",$G46&lt;&gt;"INGA"),IF(ISNUMBER(VLOOKUP((ROW($H45)-ROW($H$1)+1)*10+COLUMN(I$1)-COLUMN($H$1)+1,Beräkningshjälp!$AB$2:$AI$1082,7,FALSE)),VLOOKUP((ROW($H45)-ROW($H$1)+1)*10+COLUMN(I$1)-COLUMN($H$1)+1,Beräkningshjälp!$AB$2:$AI$1082,7,FALSE),IF(H46&gt;0,-VLOOKUP((ROW($H45)-ROW($H$1)+1)*10+COLUMN(I$1)-COLUMN($H$1)+1,Beräkningshjälp!$AB$2:$AI$1082,3,FALSE),0)),0),"")</f>
        <v/>
      </c>
      <c r="J46" s="2" t="str">
        <f>IF($E46&lt;&gt;"",IF(AND($E46&lt;&gt;"EJFANGST",$G46&lt;&gt;"INGA"),IF(ISNUMBER(VLOOKUP((ROW($H45)-ROW($H$1)+1)*10+COLUMN(J$1)-COLUMN($H$1)+1,Beräkningshjälp!$AB$2:$AI$1082,7,FALSE)),VLOOKUP((ROW($H45)-ROW($H$1)+1)*10+COLUMN(J$1)-COLUMN($H$1)+1,Beräkningshjälp!$AB$2:$AI$1082,7,FALSE),IF(I46&gt;0,-VLOOKUP((ROW($H45)-ROW($H$1)+1)*10+COLUMN(J$1)-COLUMN($H$1)+1,Beräkningshjälp!$AB$2:$AI$1082,3,FALSE),0)),0),"")</f>
        <v/>
      </c>
      <c r="K46" s="2" t="str">
        <f>IF($E46&lt;&gt;"",IF(AND($E46&lt;&gt;"EJFANGST",$G46&lt;&gt;"INGA"),IF(ISNUMBER(VLOOKUP((ROW($H45)-ROW($H$1)+1)*10+COLUMN(K$1)-COLUMN($H$1)+1,Beräkningshjälp!$AB$2:$AI$1082,7,FALSE)),VLOOKUP((ROW($H45)-ROW($H$1)+1)*10+COLUMN(K$1)-COLUMN($H$1)+1,Beräkningshjälp!$AB$2:$AI$1082,7,FALSE),IF(J46&gt;0,-VLOOKUP((ROW($H45)-ROW($H$1)+1)*10+COLUMN(K$1)-COLUMN($H$1)+1,Beräkningshjälp!$AB$2:$AI$1082,3,FALSE),0)),0),"")</f>
        <v/>
      </c>
      <c r="L46" s="2" t="str">
        <f>IF($E46&lt;&gt;"",IF(AND($E46&lt;&gt;"EJFANGST",$G46&lt;&gt;"INGA"),IF(ISNUMBER(VLOOKUP((ROW($H45)-ROW($H$1)+1)*10+COLUMN(L$1)-COLUMN($H$1)+1,Beräkningshjälp!$AB$2:$AI$1082,7,FALSE)),VLOOKUP((ROW($H45)-ROW($H$1)+1)*10+COLUMN(L$1)-COLUMN($H$1)+1,Beräkningshjälp!$AB$2:$AI$1082,7,FALSE),IF(K46&gt;0,-VLOOKUP((ROW($H45)-ROW($H$1)+1)*10+COLUMN(L$1)-COLUMN($H$1)+1,Beräkningshjälp!$AB$2:$AI$1082,3,FALSE),0)),0),"")</f>
        <v/>
      </c>
      <c r="M46" s="2" t="str">
        <f>IF($E46&lt;&gt;"",IF(AND($E46&lt;&gt;"EJFANGST",$G46&lt;&gt;"INGA"),IF(ISNUMBER(VLOOKUP((ROW($H45)-ROW($H$1)+1)*10+COLUMN(M$1)-COLUMN($H$1)+1,Beräkningshjälp!$AB$2:$AI$1082,7,FALSE)),VLOOKUP((ROW($H45)-ROW($H$1)+1)*10+COLUMN(M$1)-COLUMN($H$1)+1,Beräkningshjälp!$AB$2:$AI$1082,7,FALSE),IF(L46&gt;0,-VLOOKUP((ROW($H45)-ROW($H$1)+1)*10+COLUMN(M$1)-COLUMN($H$1)+1,Beräkningshjälp!$AB$2:$AI$1082,3,FALSE),0)),0),"")</f>
        <v/>
      </c>
      <c r="N46" s="2" t="str">
        <f>IF($E46&lt;&gt;"",IF(AND($E46&lt;&gt;"EJFANGST",$G46&lt;&gt;"INGA"),IF(ISNUMBER(VLOOKUP((ROW($H45)-ROW($H$1)+1)*10+COLUMN(N$1)-COLUMN($H$1)+1,Beräkningshjälp!$AB$2:$AI$1082,7,FALSE)),VLOOKUP((ROW($H45)-ROW($H$1)+1)*10+COLUMN(N$1)-COLUMN($H$1)+1,Beräkningshjälp!$AB$2:$AI$1082,7,FALSE),IF(M46&gt;0,-VLOOKUP((ROW($H45)-ROW($H$1)+1)*10+COLUMN(N$1)-COLUMN($H$1)+1,Beräkningshjälp!$AB$2:$AI$1082,3,FALSE),0)),0),"")</f>
        <v/>
      </c>
      <c r="O46" s="2" t="str">
        <f>IF($E46&lt;&gt;"",IF(AND($E46&lt;&gt;"EJFANGST",$G46&lt;&gt;"INGA"),IF(ISNUMBER(VLOOKUP((ROW($H45)-ROW($H$1)+1)*10+COLUMN(O$1)-COLUMN($H$1)+1,Beräkningshjälp!$AB$2:$AI$1082,7,FALSE)),VLOOKUP((ROW($H45)-ROW($H$1)+1)*10+COLUMN(O$1)-COLUMN($H$1)+1,Beräkningshjälp!$AB$2:$AI$1082,7,FALSE),IF(N46&gt;0,-VLOOKUP((ROW($H45)-ROW($H$1)+1)*10+COLUMN(O$1)-COLUMN($H$1)+1,Beräkningshjälp!$AB$2:$AI$1082,3,FALSE),0)),0),"")</f>
        <v/>
      </c>
      <c r="P46" s="2" t="str">
        <f>IF($E46&lt;&gt;"",IF(AND($E46&lt;&gt;"EJFANGST",$G46&lt;&gt;"INGA"),IF(ISNUMBER(VLOOKUP((ROW($H45)-ROW($H$1)+1)*10+COLUMN(P$1)-COLUMN($H$1)+1,Beräkningshjälp!$AB$2:$AI$1082,7,FALSE)),VLOOKUP((ROW($H45)-ROW($H$1)+1)*10+COLUMN(P$1)-COLUMN($H$1)+1,Beräkningshjälp!$AB$2:$AI$1082,7,FALSE),IF(O46&gt;0,-VLOOKUP((ROW($H45)-ROW($H$1)+1)*10+COLUMN(P$1)-COLUMN($H$1)+1,Beräkningshjälp!$AB$2:$AI$1082,3,FALSE),0)),0),"")</f>
        <v/>
      </c>
      <c r="Q46" s="2" t="str">
        <f>IF($E46&lt;&gt;"",IF(AND($E46&lt;&gt;"EJFANGST",$G46&lt;&gt;"INGA"),IF(ISNUMBER(VLOOKUP((ROW($H45)-ROW($H$1)+1)*10+COLUMN(Q$1)-COLUMN($H$1)+1,Beräkningshjälp!$AB$2:$AI$1082,7,FALSE)),VLOOKUP((ROW($H45)-ROW($H$1)+1)*10+COLUMN(Q$1)-COLUMN($H$1)+1,Beräkningshjälp!$AB$2:$AI$1082,7,FALSE),IF(P46&gt;0,-VLOOKUP((ROW($H45)-ROW($H$1)+1)*10+COLUMN(Q$1)-COLUMN($H$1)+1,Beräkningshjälp!$AB$2:$AI$1082,3,FALSE),0)),0),"")</f>
        <v/>
      </c>
      <c r="R46" s="116" t="str">
        <f>IF(COUNTIF(H46:Q46,"&gt;0")&gt;0,IF($E46&lt;&gt;"",IF(AND($E46&lt;&gt;"EJFANGST",$G46&lt;&gt;"INGA"),IF(ISNUMBER(VLOOKUP((ROW($H45)-ROW($H$1)+1)*10+COLUMN(H$1)-COLUMN($H$1)+1,Beräkningshjälp!$AB$2:$AI$1082,7,FALSE)),VLOOKUP((ROW($H45)-ROW($H$1)+1)*10+COLUMN(H$1)-COLUMN($H$1)+1,Beräkningshjälp!$AB$2:$AI$1082,3,FALSE),""),""),""),"")</f>
        <v/>
      </c>
    </row>
    <row r="47" spans="1:18" x14ac:dyDescent="0.25">
      <c r="A47" s="2" t="str">
        <f t="shared" si="0"/>
        <v/>
      </c>
      <c r="B47" s="2" t="str">
        <f>IF(D47&lt;&gt;"",'DATA TILL SLU'!$J$3,"")</f>
        <v/>
      </c>
      <c r="C47" s="2" t="str">
        <f>IF(D47&lt;&gt;"",'DATA TILL SLU'!$K$3,"")</f>
        <v/>
      </c>
      <c r="D47" s="2" t="str">
        <f>IF(OR(ROW(D46)-ROW(D$1)+1&lt;=MAX(Beräkningshjälp!$F$37:$F$54),ROW(D46)-ROW(D$1)+1&lt;=ROUND((MAX(Beräkningshjälp!AB$3:AB$1082)+4)/10,0)-1),D$2,"")</f>
        <v/>
      </c>
      <c r="E47" s="136" t="str">
        <f>IF(D47&lt;&gt;"",IF(COUNTIF(Beräkningshjälp!F$38:F$49,"&gt;0")&gt;=ROW(E46)-ROW(E$1)+1,VLOOKUP((VLOOKUP(ROW(E46)-ROW(E$1)+1,Beräkningshjälp!$F$37:$H$54,IF(ISNUMBER(VLOOKUP(ROW(E46)-ROW(E$1)+1,Beräkningshjälp!$F$37:$H$54,2,FALSE)),2,3),FALSE)),Beräkningshjälp!$M$2:$O$60,3,FALSE),VLOOKUP((ROW(E46)-ROW(E$1)+1)*10+1,Beräkningshjälp!$AB$2:$AF$1082,5,FALSE)),"")</f>
        <v/>
      </c>
      <c r="F47" s="2" t="str">
        <f>IF(D47&lt;&gt;"",Beräkningshjälp!$AH$1,"")</f>
        <v/>
      </c>
      <c r="G47" s="136" t="str">
        <f>IF(D47&lt;&gt;"",IF(COUNTIF(Beräkningshjälp!F$38:F$49,"&gt;0")&gt;=ROW(E46)-ROW(E$1)+1,"INGA",IF(COUNTIF(Beräkningshjälp!$G$38:$H$49,VLOOKUP(E47,Beräkningshjälp!$AF$2:$AG$1082,2,FALSE))&gt;0,"ENSTAK",IF(VLOOKUP(VLOOKUP(E47,Beräkningshjälp!O$2:U$60,7,FALSE),Artuppgifter!$I$11:$P$22,7,FALSE)=TRUE,"MINMAX","ALLA"))),"")</f>
        <v/>
      </c>
      <c r="H47" s="2" t="str">
        <f>IF($E47&lt;&gt;"",IF(AND($E47&lt;&gt;"EJFANGST",$G47&lt;&gt;"INGA"),IF(ISNUMBER(VLOOKUP((ROW($H46)-ROW($H$1)+1)*10+COLUMN(H$1)-COLUMN($H$1)+1,Beräkningshjälp!$AB$2:$AI$1082,7,FALSE)),VLOOKUP((ROW($H46)-ROW($H$1)+1)*10+COLUMN(H$1)-COLUMN($H$1)+1,Beräkningshjälp!$AB$2:$AI$1082,7,FALSE),IF(E47&gt;0,-VLOOKUP((ROW($H46)-ROW($H$1)+1)*10+COLUMN(H$1)-COLUMN($H$1)+1,Beräkningshjälp!$AB$2:$AI$1082,3,FALSE),0)),0),"")</f>
        <v/>
      </c>
      <c r="I47" s="2" t="str">
        <f>IF($E47&lt;&gt;"",IF(AND($E47&lt;&gt;"EJFANGST",$G47&lt;&gt;"INGA"),IF(ISNUMBER(VLOOKUP((ROW($H46)-ROW($H$1)+1)*10+COLUMN(I$1)-COLUMN($H$1)+1,Beräkningshjälp!$AB$2:$AI$1082,7,FALSE)),VLOOKUP((ROW($H46)-ROW($H$1)+1)*10+COLUMN(I$1)-COLUMN($H$1)+1,Beräkningshjälp!$AB$2:$AI$1082,7,FALSE),IF(H47&gt;0,-VLOOKUP((ROW($H46)-ROW($H$1)+1)*10+COLUMN(I$1)-COLUMN($H$1)+1,Beräkningshjälp!$AB$2:$AI$1082,3,FALSE),0)),0),"")</f>
        <v/>
      </c>
      <c r="J47" s="2" t="str">
        <f>IF($E47&lt;&gt;"",IF(AND($E47&lt;&gt;"EJFANGST",$G47&lt;&gt;"INGA"),IF(ISNUMBER(VLOOKUP((ROW($H46)-ROW($H$1)+1)*10+COLUMN(J$1)-COLUMN($H$1)+1,Beräkningshjälp!$AB$2:$AI$1082,7,FALSE)),VLOOKUP((ROW($H46)-ROW($H$1)+1)*10+COLUMN(J$1)-COLUMN($H$1)+1,Beräkningshjälp!$AB$2:$AI$1082,7,FALSE),IF(I47&gt;0,-VLOOKUP((ROW($H46)-ROW($H$1)+1)*10+COLUMN(J$1)-COLUMN($H$1)+1,Beräkningshjälp!$AB$2:$AI$1082,3,FALSE),0)),0),"")</f>
        <v/>
      </c>
      <c r="K47" s="2" t="str">
        <f>IF($E47&lt;&gt;"",IF(AND($E47&lt;&gt;"EJFANGST",$G47&lt;&gt;"INGA"),IF(ISNUMBER(VLOOKUP((ROW($H46)-ROW($H$1)+1)*10+COLUMN(K$1)-COLUMN($H$1)+1,Beräkningshjälp!$AB$2:$AI$1082,7,FALSE)),VLOOKUP((ROW($H46)-ROW($H$1)+1)*10+COLUMN(K$1)-COLUMN($H$1)+1,Beräkningshjälp!$AB$2:$AI$1082,7,FALSE),IF(J47&gt;0,-VLOOKUP((ROW($H46)-ROW($H$1)+1)*10+COLUMN(K$1)-COLUMN($H$1)+1,Beräkningshjälp!$AB$2:$AI$1082,3,FALSE),0)),0),"")</f>
        <v/>
      </c>
      <c r="L47" s="2" t="str">
        <f>IF($E47&lt;&gt;"",IF(AND($E47&lt;&gt;"EJFANGST",$G47&lt;&gt;"INGA"),IF(ISNUMBER(VLOOKUP((ROW($H46)-ROW($H$1)+1)*10+COLUMN(L$1)-COLUMN($H$1)+1,Beräkningshjälp!$AB$2:$AI$1082,7,FALSE)),VLOOKUP((ROW($H46)-ROW($H$1)+1)*10+COLUMN(L$1)-COLUMN($H$1)+1,Beräkningshjälp!$AB$2:$AI$1082,7,FALSE),IF(K47&gt;0,-VLOOKUP((ROW($H46)-ROW($H$1)+1)*10+COLUMN(L$1)-COLUMN($H$1)+1,Beräkningshjälp!$AB$2:$AI$1082,3,FALSE),0)),0),"")</f>
        <v/>
      </c>
      <c r="M47" s="2" t="str">
        <f>IF($E47&lt;&gt;"",IF(AND($E47&lt;&gt;"EJFANGST",$G47&lt;&gt;"INGA"),IF(ISNUMBER(VLOOKUP((ROW($H46)-ROW($H$1)+1)*10+COLUMN(M$1)-COLUMN($H$1)+1,Beräkningshjälp!$AB$2:$AI$1082,7,FALSE)),VLOOKUP((ROW($H46)-ROW($H$1)+1)*10+COLUMN(M$1)-COLUMN($H$1)+1,Beräkningshjälp!$AB$2:$AI$1082,7,FALSE),IF(L47&gt;0,-VLOOKUP((ROW($H46)-ROW($H$1)+1)*10+COLUMN(M$1)-COLUMN($H$1)+1,Beräkningshjälp!$AB$2:$AI$1082,3,FALSE),0)),0),"")</f>
        <v/>
      </c>
      <c r="N47" s="2" t="str">
        <f>IF($E47&lt;&gt;"",IF(AND($E47&lt;&gt;"EJFANGST",$G47&lt;&gt;"INGA"),IF(ISNUMBER(VLOOKUP((ROW($H46)-ROW($H$1)+1)*10+COLUMN(N$1)-COLUMN($H$1)+1,Beräkningshjälp!$AB$2:$AI$1082,7,FALSE)),VLOOKUP((ROW($H46)-ROW($H$1)+1)*10+COLUMN(N$1)-COLUMN($H$1)+1,Beräkningshjälp!$AB$2:$AI$1082,7,FALSE),IF(M47&gt;0,-VLOOKUP((ROW($H46)-ROW($H$1)+1)*10+COLUMN(N$1)-COLUMN($H$1)+1,Beräkningshjälp!$AB$2:$AI$1082,3,FALSE),0)),0),"")</f>
        <v/>
      </c>
      <c r="O47" s="2" t="str">
        <f>IF($E47&lt;&gt;"",IF(AND($E47&lt;&gt;"EJFANGST",$G47&lt;&gt;"INGA"),IF(ISNUMBER(VLOOKUP((ROW($H46)-ROW($H$1)+1)*10+COLUMN(O$1)-COLUMN($H$1)+1,Beräkningshjälp!$AB$2:$AI$1082,7,FALSE)),VLOOKUP((ROW($H46)-ROW($H$1)+1)*10+COLUMN(O$1)-COLUMN($H$1)+1,Beräkningshjälp!$AB$2:$AI$1082,7,FALSE),IF(N47&gt;0,-VLOOKUP((ROW($H46)-ROW($H$1)+1)*10+COLUMN(O$1)-COLUMN($H$1)+1,Beräkningshjälp!$AB$2:$AI$1082,3,FALSE),0)),0),"")</f>
        <v/>
      </c>
      <c r="P47" s="2" t="str">
        <f>IF($E47&lt;&gt;"",IF(AND($E47&lt;&gt;"EJFANGST",$G47&lt;&gt;"INGA"),IF(ISNUMBER(VLOOKUP((ROW($H46)-ROW($H$1)+1)*10+COLUMN(P$1)-COLUMN($H$1)+1,Beräkningshjälp!$AB$2:$AI$1082,7,FALSE)),VLOOKUP((ROW($H46)-ROW($H$1)+1)*10+COLUMN(P$1)-COLUMN($H$1)+1,Beräkningshjälp!$AB$2:$AI$1082,7,FALSE),IF(O47&gt;0,-VLOOKUP((ROW($H46)-ROW($H$1)+1)*10+COLUMN(P$1)-COLUMN($H$1)+1,Beräkningshjälp!$AB$2:$AI$1082,3,FALSE),0)),0),"")</f>
        <v/>
      </c>
      <c r="Q47" s="2" t="str">
        <f>IF($E47&lt;&gt;"",IF(AND($E47&lt;&gt;"EJFANGST",$G47&lt;&gt;"INGA"),IF(ISNUMBER(VLOOKUP((ROW($H46)-ROW($H$1)+1)*10+COLUMN(Q$1)-COLUMN($H$1)+1,Beräkningshjälp!$AB$2:$AI$1082,7,FALSE)),VLOOKUP((ROW($H46)-ROW($H$1)+1)*10+COLUMN(Q$1)-COLUMN($H$1)+1,Beräkningshjälp!$AB$2:$AI$1082,7,FALSE),IF(P47&gt;0,-VLOOKUP((ROW($H46)-ROW($H$1)+1)*10+COLUMN(Q$1)-COLUMN($H$1)+1,Beräkningshjälp!$AB$2:$AI$1082,3,FALSE),0)),0),"")</f>
        <v/>
      </c>
      <c r="R47" s="116" t="str">
        <f>IF(COUNTIF(H47:Q47,"&gt;0")&gt;0,IF($E47&lt;&gt;"",IF(AND($E47&lt;&gt;"EJFANGST",$G47&lt;&gt;"INGA"),IF(ISNUMBER(VLOOKUP((ROW($H46)-ROW($H$1)+1)*10+COLUMN(H$1)-COLUMN($H$1)+1,Beräkningshjälp!$AB$2:$AI$1082,7,FALSE)),VLOOKUP((ROW($H46)-ROW($H$1)+1)*10+COLUMN(H$1)-COLUMN($H$1)+1,Beräkningshjälp!$AB$2:$AI$1082,3,FALSE),""),""),""),"")</f>
        <v/>
      </c>
    </row>
    <row r="48" spans="1:18" x14ac:dyDescent="0.25">
      <c r="A48" s="2" t="str">
        <f t="shared" si="0"/>
        <v/>
      </c>
      <c r="B48" s="2" t="str">
        <f>IF(D48&lt;&gt;"",'DATA TILL SLU'!$J$3,"")</f>
        <v/>
      </c>
      <c r="C48" s="2" t="str">
        <f>IF(D48&lt;&gt;"",'DATA TILL SLU'!$K$3,"")</f>
        <v/>
      </c>
      <c r="D48" s="2" t="str">
        <f>IF(OR(ROW(D47)-ROW(D$1)+1&lt;=MAX(Beräkningshjälp!$F$37:$F$54),ROW(D47)-ROW(D$1)+1&lt;=ROUND((MAX(Beräkningshjälp!AB$3:AB$1082)+4)/10,0)-1),D$2,"")</f>
        <v/>
      </c>
      <c r="E48" s="136" t="str">
        <f>IF(D48&lt;&gt;"",IF(COUNTIF(Beräkningshjälp!F$38:F$49,"&gt;0")&gt;=ROW(E47)-ROW(E$1)+1,VLOOKUP((VLOOKUP(ROW(E47)-ROW(E$1)+1,Beräkningshjälp!$F$37:$H$54,IF(ISNUMBER(VLOOKUP(ROW(E47)-ROW(E$1)+1,Beräkningshjälp!$F$37:$H$54,2,FALSE)),2,3),FALSE)),Beräkningshjälp!$M$2:$O$60,3,FALSE),VLOOKUP((ROW(E47)-ROW(E$1)+1)*10+1,Beräkningshjälp!$AB$2:$AF$1082,5,FALSE)),"")</f>
        <v/>
      </c>
      <c r="F48" s="2" t="str">
        <f>IF(D48&lt;&gt;"",Beräkningshjälp!$AH$1,"")</f>
        <v/>
      </c>
      <c r="G48" s="136" t="str">
        <f>IF(D48&lt;&gt;"",IF(COUNTIF(Beräkningshjälp!F$38:F$49,"&gt;0")&gt;=ROW(E47)-ROW(E$1)+1,"INGA",IF(COUNTIF(Beräkningshjälp!$G$38:$H$49,VLOOKUP(E48,Beräkningshjälp!$AF$2:$AG$1082,2,FALSE))&gt;0,"ENSTAK",IF(VLOOKUP(VLOOKUP(E48,Beräkningshjälp!O$2:U$60,7,FALSE),Artuppgifter!$I$11:$P$22,7,FALSE)=TRUE,"MINMAX","ALLA"))),"")</f>
        <v/>
      </c>
      <c r="H48" s="2" t="str">
        <f>IF($E48&lt;&gt;"",IF(AND($E48&lt;&gt;"EJFANGST",$G48&lt;&gt;"INGA"),IF(ISNUMBER(VLOOKUP((ROW($H47)-ROW($H$1)+1)*10+COLUMN(H$1)-COLUMN($H$1)+1,Beräkningshjälp!$AB$2:$AI$1082,7,FALSE)),VLOOKUP((ROW($H47)-ROW($H$1)+1)*10+COLUMN(H$1)-COLUMN($H$1)+1,Beräkningshjälp!$AB$2:$AI$1082,7,FALSE),IF(E48&gt;0,-VLOOKUP((ROW($H47)-ROW($H$1)+1)*10+COLUMN(H$1)-COLUMN($H$1)+1,Beräkningshjälp!$AB$2:$AI$1082,3,FALSE),0)),0),"")</f>
        <v/>
      </c>
      <c r="I48" s="2" t="str">
        <f>IF($E48&lt;&gt;"",IF(AND($E48&lt;&gt;"EJFANGST",$G48&lt;&gt;"INGA"),IF(ISNUMBER(VLOOKUP((ROW($H47)-ROW($H$1)+1)*10+COLUMN(I$1)-COLUMN($H$1)+1,Beräkningshjälp!$AB$2:$AI$1082,7,FALSE)),VLOOKUP((ROW($H47)-ROW($H$1)+1)*10+COLUMN(I$1)-COLUMN($H$1)+1,Beräkningshjälp!$AB$2:$AI$1082,7,FALSE),IF(H48&gt;0,-VLOOKUP((ROW($H47)-ROW($H$1)+1)*10+COLUMN(I$1)-COLUMN($H$1)+1,Beräkningshjälp!$AB$2:$AI$1082,3,FALSE),0)),0),"")</f>
        <v/>
      </c>
      <c r="J48" s="2" t="str">
        <f>IF($E48&lt;&gt;"",IF(AND($E48&lt;&gt;"EJFANGST",$G48&lt;&gt;"INGA"),IF(ISNUMBER(VLOOKUP((ROW($H47)-ROW($H$1)+1)*10+COLUMN(J$1)-COLUMN($H$1)+1,Beräkningshjälp!$AB$2:$AI$1082,7,FALSE)),VLOOKUP((ROW($H47)-ROW($H$1)+1)*10+COLUMN(J$1)-COLUMN($H$1)+1,Beräkningshjälp!$AB$2:$AI$1082,7,FALSE),IF(I48&gt;0,-VLOOKUP((ROW($H47)-ROW($H$1)+1)*10+COLUMN(J$1)-COLUMN($H$1)+1,Beräkningshjälp!$AB$2:$AI$1082,3,FALSE),0)),0),"")</f>
        <v/>
      </c>
      <c r="K48" s="2" t="str">
        <f>IF($E48&lt;&gt;"",IF(AND($E48&lt;&gt;"EJFANGST",$G48&lt;&gt;"INGA"),IF(ISNUMBER(VLOOKUP((ROW($H47)-ROW($H$1)+1)*10+COLUMN(K$1)-COLUMN($H$1)+1,Beräkningshjälp!$AB$2:$AI$1082,7,FALSE)),VLOOKUP((ROW($H47)-ROW($H$1)+1)*10+COLUMN(K$1)-COLUMN($H$1)+1,Beräkningshjälp!$AB$2:$AI$1082,7,FALSE),IF(J48&gt;0,-VLOOKUP((ROW($H47)-ROW($H$1)+1)*10+COLUMN(K$1)-COLUMN($H$1)+1,Beräkningshjälp!$AB$2:$AI$1082,3,FALSE),0)),0),"")</f>
        <v/>
      </c>
      <c r="L48" s="2" t="str">
        <f>IF($E48&lt;&gt;"",IF(AND($E48&lt;&gt;"EJFANGST",$G48&lt;&gt;"INGA"),IF(ISNUMBER(VLOOKUP((ROW($H47)-ROW($H$1)+1)*10+COLUMN(L$1)-COLUMN($H$1)+1,Beräkningshjälp!$AB$2:$AI$1082,7,FALSE)),VLOOKUP((ROW($H47)-ROW($H$1)+1)*10+COLUMN(L$1)-COLUMN($H$1)+1,Beräkningshjälp!$AB$2:$AI$1082,7,FALSE),IF(K48&gt;0,-VLOOKUP((ROW($H47)-ROW($H$1)+1)*10+COLUMN(L$1)-COLUMN($H$1)+1,Beräkningshjälp!$AB$2:$AI$1082,3,FALSE),0)),0),"")</f>
        <v/>
      </c>
      <c r="M48" s="2" t="str">
        <f>IF($E48&lt;&gt;"",IF(AND($E48&lt;&gt;"EJFANGST",$G48&lt;&gt;"INGA"),IF(ISNUMBER(VLOOKUP((ROW($H47)-ROW($H$1)+1)*10+COLUMN(M$1)-COLUMN($H$1)+1,Beräkningshjälp!$AB$2:$AI$1082,7,FALSE)),VLOOKUP((ROW($H47)-ROW($H$1)+1)*10+COLUMN(M$1)-COLUMN($H$1)+1,Beräkningshjälp!$AB$2:$AI$1082,7,FALSE),IF(L48&gt;0,-VLOOKUP((ROW($H47)-ROW($H$1)+1)*10+COLUMN(M$1)-COLUMN($H$1)+1,Beräkningshjälp!$AB$2:$AI$1082,3,FALSE),0)),0),"")</f>
        <v/>
      </c>
      <c r="N48" s="2" t="str">
        <f>IF($E48&lt;&gt;"",IF(AND($E48&lt;&gt;"EJFANGST",$G48&lt;&gt;"INGA"),IF(ISNUMBER(VLOOKUP((ROW($H47)-ROW($H$1)+1)*10+COLUMN(N$1)-COLUMN($H$1)+1,Beräkningshjälp!$AB$2:$AI$1082,7,FALSE)),VLOOKUP((ROW($H47)-ROW($H$1)+1)*10+COLUMN(N$1)-COLUMN($H$1)+1,Beräkningshjälp!$AB$2:$AI$1082,7,FALSE),IF(M48&gt;0,-VLOOKUP((ROW($H47)-ROW($H$1)+1)*10+COLUMN(N$1)-COLUMN($H$1)+1,Beräkningshjälp!$AB$2:$AI$1082,3,FALSE),0)),0),"")</f>
        <v/>
      </c>
      <c r="O48" s="2" t="str">
        <f>IF($E48&lt;&gt;"",IF(AND($E48&lt;&gt;"EJFANGST",$G48&lt;&gt;"INGA"),IF(ISNUMBER(VLOOKUP((ROW($H47)-ROW($H$1)+1)*10+COLUMN(O$1)-COLUMN($H$1)+1,Beräkningshjälp!$AB$2:$AI$1082,7,FALSE)),VLOOKUP((ROW($H47)-ROW($H$1)+1)*10+COLUMN(O$1)-COLUMN($H$1)+1,Beräkningshjälp!$AB$2:$AI$1082,7,FALSE),IF(N48&gt;0,-VLOOKUP((ROW($H47)-ROW($H$1)+1)*10+COLUMN(O$1)-COLUMN($H$1)+1,Beräkningshjälp!$AB$2:$AI$1082,3,FALSE),0)),0),"")</f>
        <v/>
      </c>
      <c r="P48" s="2" t="str">
        <f>IF($E48&lt;&gt;"",IF(AND($E48&lt;&gt;"EJFANGST",$G48&lt;&gt;"INGA"),IF(ISNUMBER(VLOOKUP((ROW($H47)-ROW($H$1)+1)*10+COLUMN(P$1)-COLUMN($H$1)+1,Beräkningshjälp!$AB$2:$AI$1082,7,FALSE)),VLOOKUP((ROW($H47)-ROW($H$1)+1)*10+COLUMN(P$1)-COLUMN($H$1)+1,Beräkningshjälp!$AB$2:$AI$1082,7,FALSE),IF(O48&gt;0,-VLOOKUP((ROW($H47)-ROW($H$1)+1)*10+COLUMN(P$1)-COLUMN($H$1)+1,Beräkningshjälp!$AB$2:$AI$1082,3,FALSE),0)),0),"")</f>
        <v/>
      </c>
      <c r="Q48" s="2" t="str">
        <f>IF($E48&lt;&gt;"",IF(AND($E48&lt;&gt;"EJFANGST",$G48&lt;&gt;"INGA"),IF(ISNUMBER(VLOOKUP((ROW($H47)-ROW($H$1)+1)*10+COLUMN(Q$1)-COLUMN($H$1)+1,Beräkningshjälp!$AB$2:$AI$1082,7,FALSE)),VLOOKUP((ROW($H47)-ROW($H$1)+1)*10+COLUMN(Q$1)-COLUMN($H$1)+1,Beräkningshjälp!$AB$2:$AI$1082,7,FALSE),IF(P48&gt;0,-VLOOKUP((ROW($H47)-ROW($H$1)+1)*10+COLUMN(Q$1)-COLUMN($H$1)+1,Beräkningshjälp!$AB$2:$AI$1082,3,FALSE),0)),0),"")</f>
        <v/>
      </c>
      <c r="R48" s="116" t="str">
        <f>IF(COUNTIF(H48:Q48,"&gt;0")&gt;0,IF($E48&lt;&gt;"",IF(AND($E48&lt;&gt;"EJFANGST",$G48&lt;&gt;"INGA"),IF(ISNUMBER(VLOOKUP((ROW($H47)-ROW($H$1)+1)*10+COLUMN(H$1)-COLUMN($H$1)+1,Beräkningshjälp!$AB$2:$AI$1082,7,FALSE)),VLOOKUP((ROW($H47)-ROW($H$1)+1)*10+COLUMN(H$1)-COLUMN($H$1)+1,Beräkningshjälp!$AB$2:$AI$1082,3,FALSE),""),""),""),"")</f>
        <v/>
      </c>
    </row>
    <row r="49" spans="1:18" x14ac:dyDescent="0.25">
      <c r="A49" s="2" t="str">
        <f t="shared" si="0"/>
        <v/>
      </c>
      <c r="B49" s="2" t="str">
        <f>IF(D49&lt;&gt;"",'DATA TILL SLU'!$J$3,"")</f>
        <v/>
      </c>
      <c r="C49" s="2" t="str">
        <f>IF(D49&lt;&gt;"",'DATA TILL SLU'!$K$3,"")</f>
        <v/>
      </c>
      <c r="D49" s="2" t="str">
        <f>IF(OR(ROW(D48)-ROW(D$1)+1&lt;=MAX(Beräkningshjälp!$F$37:$F$54),ROW(D48)-ROW(D$1)+1&lt;=ROUND((MAX(Beräkningshjälp!AB$3:AB$1082)+4)/10,0)-1),D$2,"")</f>
        <v/>
      </c>
      <c r="E49" s="136" t="str">
        <f>IF(D49&lt;&gt;"",IF(COUNTIF(Beräkningshjälp!F$38:F$49,"&gt;0")&gt;=ROW(E48)-ROW(E$1)+1,VLOOKUP((VLOOKUP(ROW(E48)-ROW(E$1)+1,Beräkningshjälp!$F$37:$H$54,IF(ISNUMBER(VLOOKUP(ROW(E48)-ROW(E$1)+1,Beräkningshjälp!$F$37:$H$54,2,FALSE)),2,3),FALSE)),Beräkningshjälp!$M$2:$O$60,3,FALSE),VLOOKUP((ROW(E48)-ROW(E$1)+1)*10+1,Beräkningshjälp!$AB$2:$AF$1082,5,FALSE)),"")</f>
        <v/>
      </c>
      <c r="F49" s="2" t="str">
        <f>IF(D49&lt;&gt;"",Beräkningshjälp!$AH$1,"")</f>
        <v/>
      </c>
      <c r="G49" s="136" t="str">
        <f>IF(D49&lt;&gt;"",IF(COUNTIF(Beräkningshjälp!F$38:F$49,"&gt;0")&gt;=ROW(E48)-ROW(E$1)+1,"INGA",IF(COUNTIF(Beräkningshjälp!$G$38:$H$49,VLOOKUP(E49,Beräkningshjälp!$AF$2:$AG$1082,2,FALSE))&gt;0,"ENSTAK",IF(VLOOKUP(VLOOKUP(E49,Beräkningshjälp!O$2:U$60,7,FALSE),Artuppgifter!$I$11:$P$22,7,FALSE)=TRUE,"MINMAX","ALLA"))),"")</f>
        <v/>
      </c>
      <c r="H49" s="2" t="str">
        <f>IF($E49&lt;&gt;"",IF(AND($E49&lt;&gt;"EJFANGST",$G49&lt;&gt;"INGA"),IF(ISNUMBER(VLOOKUP((ROW($H48)-ROW($H$1)+1)*10+COLUMN(H$1)-COLUMN($H$1)+1,Beräkningshjälp!$AB$2:$AI$1082,7,FALSE)),VLOOKUP((ROW($H48)-ROW($H$1)+1)*10+COLUMN(H$1)-COLUMN($H$1)+1,Beräkningshjälp!$AB$2:$AI$1082,7,FALSE),IF(E49&gt;0,-VLOOKUP((ROW($H48)-ROW($H$1)+1)*10+COLUMN(H$1)-COLUMN($H$1)+1,Beräkningshjälp!$AB$2:$AI$1082,3,FALSE),0)),0),"")</f>
        <v/>
      </c>
      <c r="I49" s="2" t="str">
        <f>IF($E49&lt;&gt;"",IF(AND($E49&lt;&gt;"EJFANGST",$G49&lt;&gt;"INGA"),IF(ISNUMBER(VLOOKUP((ROW($H48)-ROW($H$1)+1)*10+COLUMN(I$1)-COLUMN($H$1)+1,Beräkningshjälp!$AB$2:$AI$1082,7,FALSE)),VLOOKUP((ROW($H48)-ROW($H$1)+1)*10+COLUMN(I$1)-COLUMN($H$1)+1,Beräkningshjälp!$AB$2:$AI$1082,7,FALSE),IF(H49&gt;0,-VLOOKUP((ROW($H48)-ROW($H$1)+1)*10+COLUMN(I$1)-COLUMN($H$1)+1,Beräkningshjälp!$AB$2:$AI$1082,3,FALSE),0)),0),"")</f>
        <v/>
      </c>
      <c r="J49" s="2" t="str">
        <f>IF($E49&lt;&gt;"",IF(AND($E49&lt;&gt;"EJFANGST",$G49&lt;&gt;"INGA"),IF(ISNUMBER(VLOOKUP((ROW($H48)-ROW($H$1)+1)*10+COLUMN(J$1)-COLUMN($H$1)+1,Beräkningshjälp!$AB$2:$AI$1082,7,FALSE)),VLOOKUP((ROW($H48)-ROW($H$1)+1)*10+COLUMN(J$1)-COLUMN($H$1)+1,Beräkningshjälp!$AB$2:$AI$1082,7,FALSE),IF(I49&gt;0,-VLOOKUP((ROW($H48)-ROW($H$1)+1)*10+COLUMN(J$1)-COLUMN($H$1)+1,Beräkningshjälp!$AB$2:$AI$1082,3,FALSE),0)),0),"")</f>
        <v/>
      </c>
      <c r="K49" s="2" t="str">
        <f>IF($E49&lt;&gt;"",IF(AND($E49&lt;&gt;"EJFANGST",$G49&lt;&gt;"INGA"),IF(ISNUMBER(VLOOKUP((ROW($H48)-ROW($H$1)+1)*10+COLUMN(K$1)-COLUMN($H$1)+1,Beräkningshjälp!$AB$2:$AI$1082,7,FALSE)),VLOOKUP((ROW($H48)-ROW($H$1)+1)*10+COLUMN(K$1)-COLUMN($H$1)+1,Beräkningshjälp!$AB$2:$AI$1082,7,FALSE),IF(J49&gt;0,-VLOOKUP((ROW($H48)-ROW($H$1)+1)*10+COLUMN(K$1)-COLUMN($H$1)+1,Beräkningshjälp!$AB$2:$AI$1082,3,FALSE),0)),0),"")</f>
        <v/>
      </c>
      <c r="L49" s="2" t="str">
        <f>IF($E49&lt;&gt;"",IF(AND($E49&lt;&gt;"EJFANGST",$G49&lt;&gt;"INGA"),IF(ISNUMBER(VLOOKUP((ROW($H48)-ROW($H$1)+1)*10+COLUMN(L$1)-COLUMN($H$1)+1,Beräkningshjälp!$AB$2:$AI$1082,7,FALSE)),VLOOKUP((ROW($H48)-ROW($H$1)+1)*10+COLUMN(L$1)-COLUMN($H$1)+1,Beräkningshjälp!$AB$2:$AI$1082,7,FALSE),IF(K49&gt;0,-VLOOKUP((ROW($H48)-ROW($H$1)+1)*10+COLUMN(L$1)-COLUMN($H$1)+1,Beräkningshjälp!$AB$2:$AI$1082,3,FALSE),0)),0),"")</f>
        <v/>
      </c>
      <c r="M49" s="2" t="str">
        <f>IF($E49&lt;&gt;"",IF(AND($E49&lt;&gt;"EJFANGST",$G49&lt;&gt;"INGA"),IF(ISNUMBER(VLOOKUP((ROW($H48)-ROW($H$1)+1)*10+COLUMN(M$1)-COLUMN($H$1)+1,Beräkningshjälp!$AB$2:$AI$1082,7,FALSE)),VLOOKUP((ROW($H48)-ROW($H$1)+1)*10+COLUMN(M$1)-COLUMN($H$1)+1,Beräkningshjälp!$AB$2:$AI$1082,7,FALSE),IF(L49&gt;0,-VLOOKUP((ROW($H48)-ROW($H$1)+1)*10+COLUMN(M$1)-COLUMN($H$1)+1,Beräkningshjälp!$AB$2:$AI$1082,3,FALSE),0)),0),"")</f>
        <v/>
      </c>
      <c r="N49" s="2" t="str">
        <f>IF($E49&lt;&gt;"",IF(AND($E49&lt;&gt;"EJFANGST",$G49&lt;&gt;"INGA"),IF(ISNUMBER(VLOOKUP((ROW($H48)-ROW($H$1)+1)*10+COLUMN(N$1)-COLUMN($H$1)+1,Beräkningshjälp!$AB$2:$AI$1082,7,FALSE)),VLOOKUP((ROW($H48)-ROW($H$1)+1)*10+COLUMN(N$1)-COLUMN($H$1)+1,Beräkningshjälp!$AB$2:$AI$1082,7,FALSE),IF(M49&gt;0,-VLOOKUP((ROW($H48)-ROW($H$1)+1)*10+COLUMN(N$1)-COLUMN($H$1)+1,Beräkningshjälp!$AB$2:$AI$1082,3,FALSE),0)),0),"")</f>
        <v/>
      </c>
      <c r="O49" s="2" t="str">
        <f>IF($E49&lt;&gt;"",IF(AND($E49&lt;&gt;"EJFANGST",$G49&lt;&gt;"INGA"),IF(ISNUMBER(VLOOKUP((ROW($H48)-ROW($H$1)+1)*10+COLUMN(O$1)-COLUMN($H$1)+1,Beräkningshjälp!$AB$2:$AI$1082,7,FALSE)),VLOOKUP((ROW($H48)-ROW($H$1)+1)*10+COLUMN(O$1)-COLUMN($H$1)+1,Beräkningshjälp!$AB$2:$AI$1082,7,FALSE),IF(N49&gt;0,-VLOOKUP((ROW($H48)-ROW($H$1)+1)*10+COLUMN(O$1)-COLUMN($H$1)+1,Beräkningshjälp!$AB$2:$AI$1082,3,FALSE),0)),0),"")</f>
        <v/>
      </c>
      <c r="P49" s="2" t="str">
        <f>IF($E49&lt;&gt;"",IF(AND($E49&lt;&gt;"EJFANGST",$G49&lt;&gt;"INGA"),IF(ISNUMBER(VLOOKUP((ROW($H48)-ROW($H$1)+1)*10+COLUMN(P$1)-COLUMN($H$1)+1,Beräkningshjälp!$AB$2:$AI$1082,7,FALSE)),VLOOKUP((ROW($H48)-ROW($H$1)+1)*10+COLUMN(P$1)-COLUMN($H$1)+1,Beräkningshjälp!$AB$2:$AI$1082,7,FALSE),IF(O49&gt;0,-VLOOKUP((ROW($H48)-ROW($H$1)+1)*10+COLUMN(P$1)-COLUMN($H$1)+1,Beräkningshjälp!$AB$2:$AI$1082,3,FALSE),0)),0),"")</f>
        <v/>
      </c>
      <c r="Q49" s="2" t="str">
        <f>IF($E49&lt;&gt;"",IF(AND($E49&lt;&gt;"EJFANGST",$G49&lt;&gt;"INGA"),IF(ISNUMBER(VLOOKUP((ROW($H48)-ROW($H$1)+1)*10+COLUMN(Q$1)-COLUMN($H$1)+1,Beräkningshjälp!$AB$2:$AI$1082,7,FALSE)),VLOOKUP((ROW($H48)-ROW($H$1)+1)*10+COLUMN(Q$1)-COLUMN($H$1)+1,Beräkningshjälp!$AB$2:$AI$1082,7,FALSE),IF(P49&gt;0,-VLOOKUP((ROW($H48)-ROW($H$1)+1)*10+COLUMN(Q$1)-COLUMN($H$1)+1,Beräkningshjälp!$AB$2:$AI$1082,3,FALSE),0)),0),"")</f>
        <v/>
      </c>
      <c r="R49" s="116" t="str">
        <f>IF(COUNTIF(H49:Q49,"&gt;0")&gt;0,IF($E49&lt;&gt;"",IF(AND($E49&lt;&gt;"EJFANGST",$G49&lt;&gt;"INGA"),IF(ISNUMBER(VLOOKUP((ROW($H48)-ROW($H$1)+1)*10+COLUMN(H$1)-COLUMN($H$1)+1,Beräkningshjälp!$AB$2:$AI$1082,7,FALSE)),VLOOKUP((ROW($H48)-ROW($H$1)+1)*10+COLUMN(H$1)-COLUMN($H$1)+1,Beräkningshjälp!$AB$2:$AI$1082,3,FALSE),""),""),""),"")</f>
        <v/>
      </c>
    </row>
    <row r="50" spans="1:18" x14ac:dyDescent="0.25">
      <c r="A50" s="2" t="str">
        <f t="shared" si="0"/>
        <v/>
      </c>
      <c r="B50" s="2" t="str">
        <f>IF(D50&lt;&gt;"",'DATA TILL SLU'!$J$3,"")</f>
        <v/>
      </c>
      <c r="C50" s="2" t="str">
        <f>IF(D50&lt;&gt;"",'DATA TILL SLU'!$K$3,"")</f>
        <v/>
      </c>
      <c r="D50" s="2" t="str">
        <f>IF(OR(ROW(D49)-ROW(D$1)+1&lt;=MAX(Beräkningshjälp!$F$37:$F$54),ROW(D49)-ROW(D$1)+1&lt;=ROUND((MAX(Beräkningshjälp!AB$3:AB$1082)+4)/10,0)-1),D$2,"")</f>
        <v/>
      </c>
      <c r="E50" s="136" t="str">
        <f>IF(D50&lt;&gt;"",IF(COUNTIF(Beräkningshjälp!F$38:F$49,"&gt;0")&gt;=ROW(E49)-ROW(E$1)+1,VLOOKUP((VLOOKUP(ROW(E49)-ROW(E$1)+1,Beräkningshjälp!$F$37:$H$54,IF(ISNUMBER(VLOOKUP(ROW(E49)-ROW(E$1)+1,Beräkningshjälp!$F$37:$H$54,2,FALSE)),2,3),FALSE)),Beräkningshjälp!$M$2:$O$60,3,FALSE),VLOOKUP((ROW(E49)-ROW(E$1)+1)*10+1,Beräkningshjälp!$AB$2:$AF$1082,5,FALSE)),"")</f>
        <v/>
      </c>
      <c r="F50" s="2" t="str">
        <f>IF(D50&lt;&gt;"",Beräkningshjälp!$AH$1,"")</f>
        <v/>
      </c>
      <c r="G50" s="136" t="str">
        <f>IF(D50&lt;&gt;"",IF(COUNTIF(Beräkningshjälp!F$38:F$49,"&gt;0")&gt;=ROW(E49)-ROW(E$1)+1,"INGA",IF(COUNTIF(Beräkningshjälp!$G$38:$H$49,VLOOKUP(E50,Beräkningshjälp!$AF$2:$AG$1082,2,FALSE))&gt;0,"ENSTAK",IF(VLOOKUP(VLOOKUP(E50,Beräkningshjälp!O$2:U$60,7,FALSE),Artuppgifter!$I$11:$P$22,7,FALSE)=TRUE,"MINMAX","ALLA"))),"")</f>
        <v/>
      </c>
      <c r="H50" s="2" t="str">
        <f>IF($E50&lt;&gt;"",IF(AND($E50&lt;&gt;"EJFANGST",$G50&lt;&gt;"INGA"),IF(ISNUMBER(VLOOKUP((ROW($H49)-ROW($H$1)+1)*10+COLUMN(H$1)-COLUMN($H$1)+1,Beräkningshjälp!$AB$2:$AI$1082,7,FALSE)),VLOOKUP((ROW($H49)-ROW($H$1)+1)*10+COLUMN(H$1)-COLUMN($H$1)+1,Beräkningshjälp!$AB$2:$AI$1082,7,FALSE),IF(E50&gt;0,-VLOOKUP((ROW($H49)-ROW($H$1)+1)*10+COLUMN(H$1)-COLUMN($H$1)+1,Beräkningshjälp!$AB$2:$AI$1082,3,FALSE),0)),0),"")</f>
        <v/>
      </c>
      <c r="I50" s="2" t="str">
        <f>IF($E50&lt;&gt;"",IF(AND($E50&lt;&gt;"EJFANGST",$G50&lt;&gt;"INGA"),IF(ISNUMBER(VLOOKUP((ROW($H49)-ROW($H$1)+1)*10+COLUMN(I$1)-COLUMN($H$1)+1,Beräkningshjälp!$AB$2:$AI$1082,7,FALSE)),VLOOKUP((ROW($H49)-ROW($H$1)+1)*10+COLUMN(I$1)-COLUMN($H$1)+1,Beräkningshjälp!$AB$2:$AI$1082,7,FALSE),IF(H50&gt;0,-VLOOKUP((ROW($H49)-ROW($H$1)+1)*10+COLUMN(I$1)-COLUMN($H$1)+1,Beräkningshjälp!$AB$2:$AI$1082,3,FALSE),0)),0),"")</f>
        <v/>
      </c>
      <c r="J50" s="2" t="str">
        <f>IF($E50&lt;&gt;"",IF(AND($E50&lt;&gt;"EJFANGST",$G50&lt;&gt;"INGA"),IF(ISNUMBER(VLOOKUP((ROW($H49)-ROW($H$1)+1)*10+COLUMN(J$1)-COLUMN($H$1)+1,Beräkningshjälp!$AB$2:$AI$1082,7,FALSE)),VLOOKUP((ROW($H49)-ROW($H$1)+1)*10+COLUMN(J$1)-COLUMN($H$1)+1,Beräkningshjälp!$AB$2:$AI$1082,7,FALSE),IF(I50&gt;0,-VLOOKUP((ROW($H49)-ROW($H$1)+1)*10+COLUMN(J$1)-COLUMN($H$1)+1,Beräkningshjälp!$AB$2:$AI$1082,3,FALSE),0)),0),"")</f>
        <v/>
      </c>
      <c r="K50" s="2" t="str">
        <f>IF($E50&lt;&gt;"",IF(AND($E50&lt;&gt;"EJFANGST",$G50&lt;&gt;"INGA"),IF(ISNUMBER(VLOOKUP((ROW($H49)-ROW($H$1)+1)*10+COLUMN(K$1)-COLUMN($H$1)+1,Beräkningshjälp!$AB$2:$AI$1082,7,FALSE)),VLOOKUP((ROW($H49)-ROW($H$1)+1)*10+COLUMN(K$1)-COLUMN($H$1)+1,Beräkningshjälp!$AB$2:$AI$1082,7,FALSE),IF(J50&gt;0,-VLOOKUP((ROW($H49)-ROW($H$1)+1)*10+COLUMN(K$1)-COLUMN($H$1)+1,Beräkningshjälp!$AB$2:$AI$1082,3,FALSE),0)),0),"")</f>
        <v/>
      </c>
      <c r="L50" s="2" t="str">
        <f>IF($E50&lt;&gt;"",IF(AND($E50&lt;&gt;"EJFANGST",$G50&lt;&gt;"INGA"),IF(ISNUMBER(VLOOKUP((ROW($H49)-ROW($H$1)+1)*10+COLUMN(L$1)-COLUMN($H$1)+1,Beräkningshjälp!$AB$2:$AI$1082,7,FALSE)),VLOOKUP((ROW($H49)-ROW($H$1)+1)*10+COLUMN(L$1)-COLUMN($H$1)+1,Beräkningshjälp!$AB$2:$AI$1082,7,FALSE),IF(K50&gt;0,-VLOOKUP((ROW($H49)-ROW($H$1)+1)*10+COLUMN(L$1)-COLUMN($H$1)+1,Beräkningshjälp!$AB$2:$AI$1082,3,FALSE),0)),0),"")</f>
        <v/>
      </c>
      <c r="M50" s="2" t="str">
        <f>IF($E50&lt;&gt;"",IF(AND($E50&lt;&gt;"EJFANGST",$G50&lt;&gt;"INGA"),IF(ISNUMBER(VLOOKUP((ROW($H49)-ROW($H$1)+1)*10+COLUMN(M$1)-COLUMN($H$1)+1,Beräkningshjälp!$AB$2:$AI$1082,7,FALSE)),VLOOKUP((ROW($H49)-ROW($H$1)+1)*10+COLUMN(M$1)-COLUMN($H$1)+1,Beräkningshjälp!$AB$2:$AI$1082,7,FALSE),IF(L50&gt;0,-VLOOKUP((ROW($H49)-ROW($H$1)+1)*10+COLUMN(M$1)-COLUMN($H$1)+1,Beräkningshjälp!$AB$2:$AI$1082,3,FALSE),0)),0),"")</f>
        <v/>
      </c>
      <c r="N50" s="2" t="str">
        <f>IF($E50&lt;&gt;"",IF(AND($E50&lt;&gt;"EJFANGST",$G50&lt;&gt;"INGA"),IF(ISNUMBER(VLOOKUP((ROW($H49)-ROW($H$1)+1)*10+COLUMN(N$1)-COLUMN($H$1)+1,Beräkningshjälp!$AB$2:$AI$1082,7,FALSE)),VLOOKUP((ROW($H49)-ROW($H$1)+1)*10+COLUMN(N$1)-COLUMN($H$1)+1,Beräkningshjälp!$AB$2:$AI$1082,7,FALSE),IF(M50&gt;0,-VLOOKUP((ROW($H49)-ROW($H$1)+1)*10+COLUMN(N$1)-COLUMN($H$1)+1,Beräkningshjälp!$AB$2:$AI$1082,3,FALSE),0)),0),"")</f>
        <v/>
      </c>
      <c r="O50" s="2" t="str">
        <f>IF($E50&lt;&gt;"",IF(AND($E50&lt;&gt;"EJFANGST",$G50&lt;&gt;"INGA"),IF(ISNUMBER(VLOOKUP((ROW($H49)-ROW($H$1)+1)*10+COLUMN(O$1)-COLUMN($H$1)+1,Beräkningshjälp!$AB$2:$AI$1082,7,FALSE)),VLOOKUP((ROW($H49)-ROW($H$1)+1)*10+COLUMN(O$1)-COLUMN($H$1)+1,Beräkningshjälp!$AB$2:$AI$1082,7,FALSE),IF(N50&gt;0,-VLOOKUP((ROW($H49)-ROW($H$1)+1)*10+COLUMN(O$1)-COLUMN($H$1)+1,Beräkningshjälp!$AB$2:$AI$1082,3,FALSE),0)),0),"")</f>
        <v/>
      </c>
      <c r="P50" s="2" t="str">
        <f>IF($E50&lt;&gt;"",IF(AND($E50&lt;&gt;"EJFANGST",$G50&lt;&gt;"INGA"),IF(ISNUMBER(VLOOKUP((ROW($H49)-ROW($H$1)+1)*10+COLUMN(P$1)-COLUMN($H$1)+1,Beräkningshjälp!$AB$2:$AI$1082,7,FALSE)),VLOOKUP((ROW($H49)-ROW($H$1)+1)*10+COLUMN(P$1)-COLUMN($H$1)+1,Beräkningshjälp!$AB$2:$AI$1082,7,FALSE),IF(O50&gt;0,-VLOOKUP((ROW($H49)-ROW($H$1)+1)*10+COLUMN(P$1)-COLUMN($H$1)+1,Beräkningshjälp!$AB$2:$AI$1082,3,FALSE),0)),0),"")</f>
        <v/>
      </c>
      <c r="Q50" s="2" t="str">
        <f>IF($E50&lt;&gt;"",IF(AND($E50&lt;&gt;"EJFANGST",$G50&lt;&gt;"INGA"),IF(ISNUMBER(VLOOKUP((ROW($H49)-ROW($H$1)+1)*10+COLUMN(Q$1)-COLUMN($H$1)+1,Beräkningshjälp!$AB$2:$AI$1082,7,FALSE)),VLOOKUP((ROW($H49)-ROW($H$1)+1)*10+COLUMN(Q$1)-COLUMN($H$1)+1,Beräkningshjälp!$AB$2:$AI$1082,7,FALSE),IF(P50&gt;0,-VLOOKUP((ROW($H49)-ROW($H$1)+1)*10+COLUMN(Q$1)-COLUMN($H$1)+1,Beräkningshjälp!$AB$2:$AI$1082,3,FALSE),0)),0),"")</f>
        <v/>
      </c>
      <c r="R50" s="116" t="str">
        <f>IF(COUNTIF(H50:Q50,"&gt;0")&gt;0,IF($E50&lt;&gt;"",IF(AND($E50&lt;&gt;"EJFANGST",$G50&lt;&gt;"INGA"),IF(ISNUMBER(VLOOKUP((ROW($H49)-ROW($H$1)+1)*10+COLUMN(H$1)-COLUMN($H$1)+1,Beräkningshjälp!$AB$2:$AI$1082,7,FALSE)),VLOOKUP((ROW($H49)-ROW($H$1)+1)*10+COLUMN(H$1)-COLUMN($H$1)+1,Beräkningshjälp!$AB$2:$AI$1082,3,FALSE),""),""),""),"")</f>
        <v/>
      </c>
    </row>
    <row r="51" spans="1:18" x14ac:dyDescent="0.25">
      <c r="A51" s="2" t="str">
        <f t="shared" si="0"/>
        <v/>
      </c>
      <c r="B51" s="2" t="str">
        <f>IF(D51&lt;&gt;"",'DATA TILL SLU'!$J$3,"")</f>
        <v/>
      </c>
      <c r="C51" s="2" t="str">
        <f>IF(D51&lt;&gt;"",'DATA TILL SLU'!$K$3,"")</f>
        <v/>
      </c>
      <c r="D51" s="2" t="str">
        <f>IF(OR(ROW(D50)-ROW(D$1)+1&lt;=MAX(Beräkningshjälp!$F$37:$F$54),ROW(D50)-ROW(D$1)+1&lt;=ROUND((MAX(Beräkningshjälp!AB$3:AB$1082)+4)/10,0)-1),D$2,"")</f>
        <v/>
      </c>
      <c r="E51" s="136" t="str">
        <f>IF(D51&lt;&gt;"",IF(COUNTIF(Beräkningshjälp!F$38:F$49,"&gt;0")&gt;=ROW(E50)-ROW(E$1)+1,VLOOKUP((VLOOKUP(ROW(E50)-ROW(E$1)+1,Beräkningshjälp!$F$37:$H$54,IF(ISNUMBER(VLOOKUP(ROW(E50)-ROW(E$1)+1,Beräkningshjälp!$F$37:$H$54,2,FALSE)),2,3),FALSE)),Beräkningshjälp!$M$2:$O$60,3,FALSE),VLOOKUP((ROW(E50)-ROW(E$1)+1)*10+1,Beräkningshjälp!$AB$2:$AF$1082,5,FALSE)),"")</f>
        <v/>
      </c>
      <c r="F51" s="2" t="str">
        <f>IF(D51&lt;&gt;"",Beräkningshjälp!$AH$1,"")</f>
        <v/>
      </c>
      <c r="G51" s="136" t="str">
        <f>IF(D51&lt;&gt;"",IF(COUNTIF(Beräkningshjälp!F$38:F$49,"&gt;0")&gt;=ROW(E50)-ROW(E$1)+1,"INGA",IF(COUNTIF(Beräkningshjälp!$G$38:$H$49,VLOOKUP(E51,Beräkningshjälp!$AF$2:$AG$1082,2,FALSE))&gt;0,"ENSTAK",IF(VLOOKUP(VLOOKUP(E51,Beräkningshjälp!O$2:U$60,7,FALSE),Artuppgifter!$I$11:$P$22,7,FALSE)=TRUE,"MINMAX","ALLA"))),"")</f>
        <v/>
      </c>
      <c r="H51" s="2" t="str">
        <f>IF($E51&lt;&gt;"",IF(AND($E51&lt;&gt;"EJFANGST",$G51&lt;&gt;"INGA"),IF(ISNUMBER(VLOOKUP((ROW($H50)-ROW($H$1)+1)*10+COLUMN(H$1)-COLUMN($H$1)+1,Beräkningshjälp!$AB$2:$AI$1082,7,FALSE)),VLOOKUP((ROW($H50)-ROW($H$1)+1)*10+COLUMN(H$1)-COLUMN($H$1)+1,Beräkningshjälp!$AB$2:$AI$1082,7,FALSE),IF(E51&gt;0,-VLOOKUP((ROW($H50)-ROW($H$1)+1)*10+COLUMN(H$1)-COLUMN($H$1)+1,Beräkningshjälp!$AB$2:$AI$1082,3,FALSE),0)),0),"")</f>
        <v/>
      </c>
      <c r="I51" s="2" t="str">
        <f>IF($E51&lt;&gt;"",IF(AND($E51&lt;&gt;"EJFANGST",$G51&lt;&gt;"INGA"),IF(ISNUMBER(VLOOKUP((ROW($H50)-ROW($H$1)+1)*10+COLUMN(I$1)-COLUMN($H$1)+1,Beräkningshjälp!$AB$2:$AI$1082,7,FALSE)),VLOOKUP((ROW($H50)-ROW($H$1)+1)*10+COLUMN(I$1)-COLUMN($H$1)+1,Beräkningshjälp!$AB$2:$AI$1082,7,FALSE),IF(H51&gt;0,-VLOOKUP((ROW($H50)-ROW($H$1)+1)*10+COLUMN(I$1)-COLUMN($H$1)+1,Beräkningshjälp!$AB$2:$AI$1082,3,FALSE),0)),0),"")</f>
        <v/>
      </c>
      <c r="J51" s="2" t="str">
        <f>IF($E51&lt;&gt;"",IF(AND($E51&lt;&gt;"EJFANGST",$G51&lt;&gt;"INGA"),IF(ISNUMBER(VLOOKUP((ROW($H50)-ROW($H$1)+1)*10+COLUMN(J$1)-COLUMN($H$1)+1,Beräkningshjälp!$AB$2:$AI$1082,7,FALSE)),VLOOKUP((ROW($H50)-ROW($H$1)+1)*10+COLUMN(J$1)-COLUMN($H$1)+1,Beräkningshjälp!$AB$2:$AI$1082,7,FALSE),IF(I51&gt;0,-VLOOKUP((ROW($H50)-ROW($H$1)+1)*10+COLUMN(J$1)-COLUMN($H$1)+1,Beräkningshjälp!$AB$2:$AI$1082,3,FALSE),0)),0),"")</f>
        <v/>
      </c>
      <c r="K51" s="2" t="str">
        <f>IF($E51&lt;&gt;"",IF(AND($E51&lt;&gt;"EJFANGST",$G51&lt;&gt;"INGA"),IF(ISNUMBER(VLOOKUP((ROW($H50)-ROW($H$1)+1)*10+COLUMN(K$1)-COLUMN($H$1)+1,Beräkningshjälp!$AB$2:$AI$1082,7,FALSE)),VLOOKUP((ROW($H50)-ROW($H$1)+1)*10+COLUMN(K$1)-COLUMN($H$1)+1,Beräkningshjälp!$AB$2:$AI$1082,7,FALSE),IF(J51&gt;0,-VLOOKUP((ROW($H50)-ROW($H$1)+1)*10+COLUMN(K$1)-COLUMN($H$1)+1,Beräkningshjälp!$AB$2:$AI$1082,3,FALSE),0)),0),"")</f>
        <v/>
      </c>
      <c r="L51" s="2" t="str">
        <f>IF($E51&lt;&gt;"",IF(AND($E51&lt;&gt;"EJFANGST",$G51&lt;&gt;"INGA"),IF(ISNUMBER(VLOOKUP((ROW($H50)-ROW($H$1)+1)*10+COLUMN(L$1)-COLUMN($H$1)+1,Beräkningshjälp!$AB$2:$AI$1082,7,FALSE)),VLOOKUP((ROW($H50)-ROW($H$1)+1)*10+COLUMN(L$1)-COLUMN($H$1)+1,Beräkningshjälp!$AB$2:$AI$1082,7,FALSE),IF(K51&gt;0,-VLOOKUP((ROW($H50)-ROW($H$1)+1)*10+COLUMN(L$1)-COLUMN($H$1)+1,Beräkningshjälp!$AB$2:$AI$1082,3,FALSE),0)),0),"")</f>
        <v/>
      </c>
      <c r="M51" s="2" t="str">
        <f>IF($E51&lt;&gt;"",IF(AND($E51&lt;&gt;"EJFANGST",$G51&lt;&gt;"INGA"),IF(ISNUMBER(VLOOKUP((ROW($H50)-ROW($H$1)+1)*10+COLUMN(M$1)-COLUMN($H$1)+1,Beräkningshjälp!$AB$2:$AI$1082,7,FALSE)),VLOOKUP((ROW($H50)-ROW($H$1)+1)*10+COLUMN(M$1)-COLUMN($H$1)+1,Beräkningshjälp!$AB$2:$AI$1082,7,FALSE),IF(L51&gt;0,-VLOOKUP((ROW($H50)-ROW($H$1)+1)*10+COLUMN(M$1)-COLUMN($H$1)+1,Beräkningshjälp!$AB$2:$AI$1082,3,FALSE),0)),0),"")</f>
        <v/>
      </c>
      <c r="N51" s="2" t="str">
        <f>IF($E51&lt;&gt;"",IF(AND($E51&lt;&gt;"EJFANGST",$G51&lt;&gt;"INGA"),IF(ISNUMBER(VLOOKUP((ROW($H50)-ROW($H$1)+1)*10+COLUMN(N$1)-COLUMN($H$1)+1,Beräkningshjälp!$AB$2:$AI$1082,7,FALSE)),VLOOKUP((ROW($H50)-ROW($H$1)+1)*10+COLUMN(N$1)-COLUMN($H$1)+1,Beräkningshjälp!$AB$2:$AI$1082,7,FALSE),IF(M51&gt;0,-VLOOKUP((ROW($H50)-ROW($H$1)+1)*10+COLUMN(N$1)-COLUMN($H$1)+1,Beräkningshjälp!$AB$2:$AI$1082,3,FALSE),0)),0),"")</f>
        <v/>
      </c>
      <c r="O51" s="2" t="str">
        <f>IF($E51&lt;&gt;"",IF(AND($E51&lt;&gt;"EJFANGST",$G51&lt;&gt;"INGA"),IF(ISNUMBER(VLOOKUP((ROW($H50)-ROW($H$1)+1)*10+COLUMN(O$1)-COLUMN($H$1)+1,Beräkningshjälp!$AB$2:$AI$1082,7,FALSE)),VLOOKUP((ROW($H50)-ROW($H$1)+1)*10+COLUMN(O$1)-COLUMN($H$1)+1,Beräkningshjälp!$AB$2:$AI$1082,7,FALSE),IF(N51&gt;0,-VLOOKUP((ROW($H50)-ROW($H$1)+1)*10+COLUMN(O$1)-COLUMN($H$1)+1,Beräkningshjälp!$AB$2:$AI$1082,3,FALSE),0)),0),"")</f>
        <v/>
      </c>
      <c r="P51" s="2" t="str">
        <f>IF($E51&lt;&gt;"",IF(AND($E51&lt;&gt;"EJFANGST",$G51&lt;&gt;"INGA"),IF(ISNUMBER(VLOOKUP((ROW($H50)-ROW($H$1)+1)*10+COLUMN(P$1)-COLUMN($H$1)+1,Beräkningshjälp!$AB$2:$AI$1082,7,FALSE)),VLOOKUP((ROW($H50)-ROW($H$1)+1)*10+COLUMN(P$1)-COLUMN($H$1)+1,Beräkningshjälp!$AB$2:$AI$1082,7,FALSE),IF(O51&gt;0,-VLOOKUP((ROW($H50)-ROW($H$1)+1)*10+COLUMN(P$1)-COLUMN($H$1)+1,Beräkningshjälp!$AB$2:$AI$1082,3,FALSE),0)),0),"")</f>
        <v/>
      </c>
      <c r="Q51" s="2" t="str">
        <f>IF($E51&lt;&gt;"",IF(AND($E51&lt;&gt;"EJFANGST",$G51&lt;&gt;"INGA"),IF(ISNUMBER(VLOOKUP((ROW($H50)-ROW($H$1)+1)*10+COLUMN(Q$1)-COLUMN($H$1)+1,Beräkningshjälp!$AB$2:$AI$1082,7,FALSE)),VLOOKUP((ROW($H50)-ROW($H$1)+1)*10+COLUMN(Q$1)-COLUMN($H$1)+1,Beräkningshjälp!$AB$2:$AI$1082,7,FALSE),IF(P51&gt;0,-VLOOKUP((ROW($H50)-ROW($H$1)+1)*10+COLUMN(Q$1)-COLUMN($H$1)+1,Beräkningshjälp!$AB$2:$AI$1082,3,FALSE),0)),0),"")</f>
        <v/>
      </c>
      <c r="R51" s="116" t="str">
        <f>IF(COUNTIF(H51:Q51,"&gt;0")&gt;0,IF($E51&lt;&gt;"",IF(AND($E51&lt;&gt;"EJFANGST",$G51&lt;&gt;"INGA"),IF(ISNUMBER(VLOOKUP((ROW($H50)-ROW($H$1)+1)*10+COLUMN(H$1)-COLUMN($H$1)+1,Beräkningshjälp!$AB$2:$AI$1082,7,FALSE)),VLOOKUP((ROW($H50)-ROW($H$1)+1)*10+COLUMN(H$1)-COLUMN($H$1)+1,Beräkningshjälp!$AB$2:$AI$1082,3,FALSE),""),""),""),"")</f>
        <v/>
      </c>
    </row>
    <row r="52" spans="1:18" x14ac:dyDescent="0.25">
      <c r="A52" s="2" t="str">
        <f t="shared" si="0"/>
        <v/>
      </c>
      <c r="B52" s="2" t="str">
        <f>IF(D52&lt;&gt;"",'DATA TILL SLU'!$J$3,"")</f>
        <v/>
      </c>
      <c r="C52" s="2" t="str">
        <f>IF(D52&lt;&gt;"",'DATA TILL SLU'!$K$3,"")</f>
        <v/>
      </c>
      <c r="D52" s="2" t="str">
        <f>IF(OR(ROW(D51)-ROW(D$1)+1&lt;=MAX(Beräkningshjälp!$F$37:$F$54),ROW(D51)-ROW(D$1)+1&lt;=ROUND((MAX(Beräkningshjälp!AB$3:AB$1082)+4)/10,0)-1),D$2,"")</f>
        <v/>
      </c>
      <c r="E52" s="136" t="str">
        <f>IF(D52&lt;&gt;"",IF(COUNTIF(Beräkningshjälp!F$38:F$49,"&gt;0")&gt;=ROW(E51)-ROW(E$1)+1,VLOOKUP((VLOOKUP(ROW(E51)-ROW(E$1)+1,Beräkningshjälp!$F$37:$H$54,IF(ISNUMBER(VLOOKUP(ROW(E51)-ROW(E$1)+1,Beräkningshjälp!$F$37:$H$54,2,FALSE)),2,3),FALSE)),Beräkningshjälp!$M$2:$O$60,3,FALSE),VLOOKUP((ROW(E51)-ROW(E$1)+1)*10+1,Beräkningshjälp!$AB$2:$AF$1082,5,FALSE)),"")</f>
        <v/>
      </c>
      <c r="F52" s="2" t="str">
        <f>IF(D52&lt;&gt;"",Beräkningshjälp!$AH$1,"")</f>
        <v/>
      </c>
      <c r="G52" s="136" t="str">
        <f>IF(D52&lt;&gt;"",IF(COUNTIF(Beräkningshjälp!F$38:F$49,"&gt;0")&gt;=ROW(E51)-ROW(E$1)+1,"INGA",IF(COUNTIF(Beräkningshjälp!$G$38:$H$49,VLOOKUP(E52,Beräkningshjälp!$AF$2:$AG$1082,2,FALSE))&gt;0,"ENSTAK",IF(VLOOKUP(VLOOKUP(E52,Beräkningshjälp!O$2:U$60,7,FALSE),Artuppgifter!$I$11:$P$22,7,FALSE)=TRUE,"MINMAX","ALLA"))),"")</f>
        <v/>
      </c>
      <c r="H52" s="2" t="str">
        <f>IF($E52&lt;&gt;"",IF(AND($E52&lt;&gt;"EJFANGST",$G52&lt;&gt;"INGA"),IF(ISNUMBER(VLOOKUP((ROW($H51)-ROW($H$1)+1)*10+COLUMN(H$1)-COLUMN($H$1)+1,Beräkningshjälp!$AB$2:$AI$1082,7,FALSE)),VLOOKUP((ROW($H51)-ROW($H$1)+1)*10+COLUMN(H$1)-COLUMN($H$1)+1,Beräkningshjälp!$AB$2:$AI$1082,7,FALSE),IF(E52&gt;0,-VLOOKUP((ROW($H51)-ROW($H$1)+1)*10+COLUMN(H$1)-COLUMN($H$1)+1,Beräkningshjälp!$AB$2:$AI$1082,3,FALSE),0)),0),"")</f>
        <v/>
      </c>
      <c r="I52" s="2" t="str">
        <f>IF($E52&lt;&gt;"",IF(AND($E52&lt;&gt;"EJFANGST",$G52&lt;&gt;"INGA"),IF(ISNUMBER(VLOOKUP((ROW($H51)-ROW($H$1)+1)*10+COLUMN(I$1)-COLUMN($H$1)+1,Beräkningshjälp!$AB$2:$AI$1082,7,FALSE)),VLOOKUP((ROW($H51)-ROW($H$1)+1)*10+COLUMN(I$1)-COLUMN($H$1)+1,Beräkningshjälp!$AB$2:$AI$1082,7,FALSE),IF(H52&gt;0,-VLOOKUP((ROW($H51)-ROW($H$1)+1)*10+COLUMN(I$1)-COLUMN($H$1)+1,Beräkningshjälp!$AB$2:$AI$1082,3,FALSE),0)),0),"")</f>
        <v/>
      </c>
      <c r="J52" s="2" t="str">
        <f>IF($E52&lt;&gt;"",IF(AND($E52&lt;&gt;"EJFANGST",$G52&lt;&gt;"INGA"),IF(ISNUMBER(VLOOKUP((ROW($H51)-ROW($H$1)+1)*10+COLUMN(J$1)-COLUMN($H$1)+1,Beräkningshjälp!$AB$2:$AI$1082,7,FALSE)),VLOOKUP((ROW($H51)-ROW($H$1)+1)*10+COLUMN(J$1)-COLUMN($H$1)+1,Beräkningshjälp!$AB$2:$AI$1082,7,FALSE),IF(I52&gt;0,-VLOOKUP((ROW($H51)-ROW($H$1)+1)*10+COLUMN(J$1)-COLUMN($H$1)+1,Beräkningshjälp!$AB$2:$AI$1082,3,FALSE),0)),0),"")</f>
        <v/>
      </c>
      <c r="K52" s="2" t="str">
        <f>IF($E52&lt;&gt;"",IF(AND($E52&lt;&gt;"EJFANGST",$G52&lt;&gt;"INGA"),IF(ISNUMBER(VLOOKUP((ROW($H51)-ROW($H$1)+1)*10+COLUMN(K$1)-COLUMN($H$1)+1,Beräkningshjälp!$AB$2:$AI$1082,7,FALSE)),VLOOKUP((ROW($H51)-ROW($H$1)+1)*10+COLUMN(K$1)-COLUMN($H$1)+1,Beräkningshjälp!$AB$2:$AI$1082,7,FALSE),IF(J52&gt;0,-VLOOKUP((ROW($H51)-ROW($H$1)+1)*10+COLUMN(K$1)-COLUMN($H$1)+1,Beräkningshjälp!$AB$2:$AI$1082,3,FALSE),0)),0),"")</f>
        <v/>
      </c>
      <c r="L52" s="2" t="str">
        <f>IF($E52&lt;&gt;"",IF(AND($E52&lt;&gt;"EJFANGST",$G52&lt;&gt;"INGA"),IF(ISNUMBER(VLOOKUP((ROW($H51)-ROW($H$1)+1)*10+COLUMN(L$1)-COLUMN($H$1)+1,Beräkningshjälp!$AB$2:$AI$1082,7,FALSE)),VLOOKUP((ROW($H51)-ROW($H$1)+1)*10+COLUMN(L$1)-COLUMN($H$1)+1,Beräkningshjälp!$AB$2:$AI$1082,7,FALSE),IF(K52&gt;0,-VLOOKUP((ROW($H51)-ROW($H$1)+1)*10+COLUMN(L$1)-COLUMN($H$1)+1,Beräkningshjälp!$AB$2:$AI$1082,3,FALSE),0)),0),"")</f>
        <v/>
      </c>
      <c r="M52" s="2" t="str">
        <f>IF($E52&lt;&gt;"",IF(AND($E52&lt;&gt;"EJFANGST",$G52&lt;&gt;"INGA"),IF(ISNUMBER(VLOOKUP((ROW($H51)-ROW($H$1)+1)*10+COLUMN(M$1)-COLUMN($H$1)+1,Beräkningshjälp!$AB$2:$AI$1082,7,FALSE)),VLOOKUP((ROW($H51)-ROW($H$1)+1)*10+COLUMN(M$1)-COLUMN($H$1)+1,Beräkningshjälp!$AB$2:$AI$1082,7,FALSE),IF(L52&gt;0,-VLOOKUP((ROW($H51)-ROW($H$1)+1)*10+COLUMN(M$1)-COLUMN($H$1)+1,Beräkningshjälp!$AB$2:$AI$1082,3,FALSE),0)),0),"")</f>
        <v/>
      </c>
      <c r="N52" s="2" t="str">
        <f>IF($E52&lt;&gt;"",IF(AND($E52&lt;&gt;"EJFANGST",$G52&lt;&gt;"INGA"),IF(ISNUMBER(VLOOKUP((ROW($H51)-ROW($H$1)+1)*10+COLUMN(N$1)-COLUMN($H$1)+1,Beräkningshjälp!$AB$2:$AI$1082,7,FALSE)),VLOOKUP((ROW($H51)-ROW($H$1)+1)*10+COLUMN(N$1)-COLUMN($H$1)+1,Beräkningshjälp!$AB$2:$AI$1082,7,FALSE),IF(M52&gt;0,-VLOOKUP((ROW($H51)-ROW($H$1)+1)*10+COLUMN(N$1)-COLUMN($H$1)+1,Beräkningshjälp!$AB$2:$AI$1082,3,FALSE),0)),0),"")</f>
        <v/>
      </c>
      <c r="O52" s="2" t="str">
        <f>IF($E52&lt;&gt;"",IF(AND($E52&lt;&gt;"EJFANGST",$G52&lt;&gt;"INGA"),IF(ISNUMBER(VLOOKUP((ROW($H51)-ROW($H$1)+1)*10+COLUMN(O$1)-COLUMN($H$1)+1,Beräkningshjälp!$AB$2:$AI$1082,7,FALSE)),VLOOKUP((ROW($H51)-ROW($H$1)+1)*10+COLUMN(O$1)-COLUMN($H$1)+1,Beräkningshjälp!$AB$2:$AI$1082,7,FALSE),IF(N52&gt;0,-VLOOKUP((ROW($H51)-ROW($H$1)+1)*10+COLUMN(O$1)-COLUMN($H$1)+1,Beräkningshjälp!$AB$2:$AI$1082,3,FALSE),0)),0),"")</f>
        <v/>
      </c>
      <c r="P52" s="2" t="str">
        <f>IF($E52&lt;&gt;"",IF(AND($E52&lt;&gt;"EJFANGST",$G52&lt;&gt;"INGA"),IF(ISNUMBER(VLOOKUP((ROW($H51)-ROW($H$1)+1)*10+COLUMN(P$1)-COLUMN($H$1)+1,Beräkningshjälp!$AB$2:$AI$1082,7,FALSE)),VLOOKUP((ROW($H51)-ROW($H$1)+1)*10+COLUMN(P$1)-COLUMN($H$1)+1,Beräkningshjälp!$AB$2:$AI$1082,7,FALSE),IF(O52&gt;0,-VLOOKUP((ROW($H51)-ROW($H$1)+1)*10+COLUMN(P$1)-COLUMN($H$1)+1,Beräkningshjälp!$AB$2:$AI$1082,3,FALSE),0)),0),"")</f>
        <v/>
      </c>
      <c r="Q52" s="2" t="str">
        <f>IF($E52&lt;&gt;"",IF(AND($E52&lt;&gt;"EJFANGST",$G52&lt;&gt;"INGA"),IF(ISNUMBER(VLOOKUP((ROW($H51)-ROW($H$1)+1)*10+COLUMN(Q$1)-COLUMN($H$1)+1,Beräkningshjälp!$AB$2:$AI$1082,7,FALSE)),VLOOKUP((ROW($H51)-ROW($H$1)+1)*10+COLUMN(Q$1)-COLUMN($H$1)+1,Beräkningshjälp!$AB$2:$AI$1082,7,FALSE),IF(P52&gt;0,-VLOOKUP((ROW($H51)-ROW($H$1)+1)*10+COLUMN(Q$1)-COLUMN($H$1)+1,Beräkningshjälp!$AB$2:$AI$1082,3,FALSE),0)),0),"")</f>
        <v/>
      </c>
      <c r="R52" s="116" t="str">
        <f>IF(COUNTIF(H52:Q52,"&gt;0")&gt;0,IF($E52&lt;&gt;"",IF(AND($E52&lt;&gt;"EJFANGST",$G52&lt;&gt;"INGA"),IF(ISNUMBER(VLOOKUP((ROW($H51)-ROW($H$1)+1)*10+COLUMN(H$1)-COLUMN($H$1)+1,Beräkningshjälp!$AB$2:$AI$1082,7,FALSE)),VLOOKUP((ROW($H51)-ROW($H$1)+1)*10+COLUMN(H$1)-COLUMN($H$1)+1,Beräkningshjälp!$AB$2:$AI$1082,3,FALSE),""),""),""),"")</f>
        <v/>
      </c>
    </row>
    <row r="53" spans="1:18" x14ac:dyDescent="0.25">
      <c r="A53" s="2" t="str">
        <f t="shared" si="0"/>
        <v/>
      </c>
      <c r="B53" s="2" t="str">
        <f>IF(D53&lt;&gt;"",'DATA TILL SLU'!$J$3,"")</f>
        <v/>
      </c>
      <c r="C53" s="2" t="str">
        <f>IF(D53&lt;&gt;"",'DATA TILL SLU'!$K$3,"")</f>
        <v/>
      </c>
      <c r="D53" s="2" t="str">
        <f>IF(OR(ROW(D52)-ROW(D$1)+1&lt;=MAX(Beräkningshjälp!$F$37:$F$54),ROW(D52)-ROW(D$1)+1&lt;=ROUND((MAX(Beräkningshjälp!AB$3:AB$1082)+4)/10,0)-1),D$2,"")</f>
        <v/>
      </c>
      <c r="E53" s="136" t="str">
        <f>IF(D53&lt;&gt;"",IF(COUNTIF(Beräkningshjälp!F$38:F$49,"&gt;0")&gt;=ROW(E52)-ROW(E$1)+1,VLOOKUP((VLOOKUP(ROW(E52)-ROW(E$1)+1,Beräkningshjälp!$F$37:$H$54,IF(ISNUMBER(VLOOKUP(ROW(E52)-ROW(E$1)+1,Beräkningshjälp!$F$37:$H$54,2,FALSE)),2,3),FALSE)),Beräkningshjälp!$M$2:$O$60,3,FALSE),VLOOKUP((ROW(E52)-ROW(E$1)+1)*10+1,Beräkningshjälp!$AB$2:$AF$1082,5,FALSE)),"")</f>
        <v/>
      </c>
      <c r="F53" s="2" t="str">
        <f>IF(D53&lt;&gt;"",Beräkningshjälp!$AH$1,"")</f>
        <v/>
      </c>
      <c r="G53" s="136" t="str">
        <f>IF(D53&lt;&gt;"",IF(COUNTIF(Beräkningshjälp!F$38:F$49,"&gt;0")&gt;=ROW(E52)-ROW(E$1)+1,"INGA",IF(COUNTIF(Beräkningshjälp!$G$38:$H$49,VLOOKUP(E53,Beräkningshjälp!$AF$2:$AG$1082,2,FALSE))&gt;0,"ENSTAK",IF(VLOOKUP(VLOOKUP(E53,Beräkningshjälp!O$2:U$60,7,FALSE),Artuppgifter!$I$11:$P$22,7,FALSE)=TRUE,"MINMAX","ALLA"))),"")</f>
        <v/>
      </c>
      <c r="H53" s="2" t="str">
        <f>IF($E53&lt;&gt;"",IF(AND($E53&lt;&gt;"EJFANGST",$G53&lt;&gt;"INGA"),IF(ISNUMBER(VLOOKUP((ROW($H52)-ROW($H$1)+1)*10+COLUMN(H$1)-COLUMN($H$1)+1,Beräkningshjälp!$AB$2:$AI$1082,7,FALSE)),VLOOKUP((ROW($H52)-ROW($H$1)+1)*10+COLUMN(H$1)-COLUMN($H$1)+1,Beräkningshjälp!$AB$2:$AI$1082,7,FALSE),IF(E53&gt;0,-VLOOKUP((ROW($H52)-ROW($H$1)+1)*10+COLUMN(H$1)-COLUMN($H$1)+1,Beräkningshjälp!$AB$2:$AI$1082,3,FALSE),0)),0),"")</f>
        <v/>
      </c>
      <c r="I53" s="2" t="str">
        <f>IF($E53&lt;&gt;"",IF(AND($E53&lt;&gt;"EJFANGST",$G53&lt;&gt;"INGA"),IF(ISNUMBER(VLOOKUP((ROW($H52)-ROW($H$1)+1)*10+COLUMN(I$1)-COLUMN($H$1)+1,Beräkningshjälp!$AB$2:$AI$1082,7,FALSE)),VLOOKUP((ROW($H52)-ROW($H$1)+1)*10+COLUMN(I$1)-COLUMN($H$1)+1,Beräkningshjälp!$AB$2:$AI$1082,7,FALSE),IF(H53&gt;0,-VLOOKUP((ROW($H52)-ROW($H$1)+1)*10+COLUMN(I$1)-COLUMN($H$1)+1,Beräkningshjälp!$AB$2:$AI$1082,3,FALSE),0)),0),"")</f>
        <v/>
      </c>
      <c r="J53" s="2" t="str">
        <f>IF($E53&lt;&gt;"",IF(AND($E53&lt;&gt;"EJFANGST",$G53&lt;&gt;"INGA"),IF(ISNUMBER(VLOOKUP((ROW($H52)-ROW($H$1)+1)*10+COLUMN(J$1)-COLUMN($H$1)+1,Beräkningshjälp!$AB$2:$AI$1082,7,FALSE)),VLOOKUP((ROW($H52)-ROW($H$1)+1)*10+COLUMN(J$1)-COLUMN($H$1)+1,Beräkningshjälp!$AB$2:$AI$1082,7,FALSE),IF(I53&gt;0,-VLOOKUP((ROW($H52)-ROW($H$1)+1)*10+COLUMN(J$1)-COLUMN($H$1)+1,Beräkningshjälp!$AB$2:$AI$1082,3,FALSE),0)),0),"")</f>
        <v/>
      </c>
      <c r="K53" s="2" t="str">
        <f>IF($E53&lt;&gt;"",IF(AND($E53&lt;&gt;"EJFANGST",$G53&lt;&gt;"INGA"),IF(ISNUMBER(VLOOKUP((ROW($H52)-ROW($H$1)+1)*10+COLUMN(K$1)-COLUMN($H$1)+1,Beräkningshjälp!$AB$2:$AI$1082,7,FALSE)),VLOOKUP((ROW($H52)-ROW($H$1)+1)*10+COLUMN(K$1)-COLUMN($H$1)+1,Beräkningshjälp!$AB$2:$AI$1082,7,FALSE),IF(J53&gt;0,-VLOOKUP((ROW($H52)-ROW($H$1)+1)*10+COLUMN(K$1)-COLUMN($H$1)+1,Beräkningshjälp!$AB$2:$AI$1082,3,FALSE),0)),0),"")</f>
        <v/>
      </c>
      <c r="L53" s="2" t="str">
        <f>IF($E53&lt;&gt;"",IF(AND($E53&lt;&gt;"EJFANGST",$G53&lt;&gt;"INGA"),IF(ISNUMBER(VLOOKUP((ROW($H52)-ROW($H$1)+1)*10+COLUMN(L$1)-COLUMN($H$1)+1,Beräkningshjälp!$AB$2:$AI$1082,7,FALSE)),VLOOKUP((ROW($H52)-ROW($H$1)+1)*10+COLUMN(L$1)-COLUMN($H$1)+1,Beräkningshjälp!$AB$2:$AI$1082,7,FALSE),IF(K53&gt;0,-VLOOKUP((ROW($H52)-ROW($H$1)+1)*10+COLUMN(L$1)-COLUMN($H$1)+1,Beräkningshjälp!$AB$2:$AI$1082,3,FALSE),0)),0),"")</f>
        <v/>
      </c>
      <c r="M53" s="2" t="str">
        <f>IF($E53&lt;&gt;"",IF(AND($E53&lt;&gt;"EJFANGST",$G53&lt;&gt;"INGA"),IF(ISNUMBER(VLOOKUP((ROW($H52)-ROW($H$1)+1)*10+COLUMN(M$1)-COLUMN($H$1)+1,Beräkningshjälp!$AB$2:$AI$1082,7,FALSE)),VLOOKUP((ROW($H52)-ROW($H$1)+1)*10+COLUMN(M$1)-COLUMN($H$1)+1,Beräkningshjälp!$AB$2:$AI$1082,7,FALSE),IF(L53&gt;0,-VLOOKUP((ROW($H52)-ROW($H$1)+1)*10+COLUMN(M$1)-COLUMN($H$1)+1,Beräkningshjälp!$AB$2:$AI$1082,3,FALSE),0)),0),"")</f>
        <v/>
      </c>
      <c r="N53" s="2" t="str">
        <f>IF($E53&lt;&gt;"",IF(AND($E53&lt;&gt;"EJFANGST",$G53&lt;&gt;"INGA"),IF(ISNUMBER(VLOOKUP((ROW($H52)-ROW($H$1)+1)*10+COLUMN(N$1)-COLUMN($H$1)+1,Beräkningshjälp!$AB$2:$AI$1082,7,FALSE)),VLOOKUP((ROW($H52)-ROW($H$1)+1)*10+COLUMN(N$1)-COLUMN($H$1)+1,Beräkningshjälp!$AB$2:$AI$1082,7,FALSE),IF(M53&gt;0,-VLOOKUP((ROW($H52)-ROW($H$1)+1)*10+COLUMN(N$1)-COLUMN($H$1)+1,Beräkningshjälp!$AB$2:$AI$1082,3,FALSE),0)),0),"")</f>
        <v/>
      </c>
      <c r="O53" s="2" t="str">
        <f>IF($E53&lt;&gt;"",IF(AND($E53&lt;&gt;"EJFANGST",$G53&lt;&gt;"INGA"),IF(ISNUMBER(VLOOKUP((ROW($H52)-ROW($H$1)+1)*10+COLUMN(O$1)-COLUMN($H$1)+1,Beräkningshjälp!$AB$2:$AI$1082,7,FALSE)),VLOOKUP((ROW($H52)-ROW($H$1)+1)*10+COLUMN(O$1)-COLUMN($H$1)+1,Beräkningshjälp!$AB$2:$AI$1082,7,FALSE),IF(N53&gt;0,-VLOOKUP((ROW($H52)-ROW($H$1)+1)*10+COLUMN(O$1)-COLUMN($H$1)+1,Beräkningshjälp!$AB$2:$AI$1082,3,FALSE),0)),0),"")</f>
        <v/>
      </c>
      <c r="P53" s="2" t="str">
        <f>IF($E53&lt;&gt;"",IF(AND($E53&lt;&gt;"EJFANGST",$G53&lt;&gt;"INGA"),IF(ISNUMBER(VLOOKUP((ROW($H52)-ROW($H$1)+1)*10+COLUMN(P$1)-COLUMN($H$1)+1,Beräkningshjälp!$AB$2:$AI$1082,7,FALSE)),VLOOKUP((ROW($H52)-ROW($H$1)+1)*10+COLUMN(P$1)-COLUMN($H$1)+1,Beräkningshjälp!$AB$2:$AI$1082,7,FALSE),IF(O53&gt;0,-VLOOKUP((ROW($H52)-ROW($H$1)+1)*10+COLUMN(P$1)-COLUMN($H$1)+1,Beräkningshjälp!$AB$2:$AI$1082,3,FALSE),0)),0),"")</f>
        <v/>
      </c>
      <c r="Q53" s="2" t="str">
        <f>IF($E53&lt;&gt;"",IF(AND($E53&lt;&gt;"EJFANGST",$G53&lt;&gt;"INGA"),IF(ISNUMBER(VLOOKUP((ROW($H52)-ROW($H$1)+1)*10+COLUMN(Q$1)-COLUMN($H$1)+1,Beräkningshjälp!$AB$2:$AI$1082,7,FALSE)),VLOOKUP((ROW($H52)-ROW($H$1)+1)*10+COLUMN(Q$1)-COLUMN($H$1)+1,Beräkningshjälp!$AB$2:$AI$1082,7,FALSE),IF(P53&gt;0,-VLOOKUP((ROW($H52)-ROW($H$1)+1)*10+COLUMN(Q$1)-COLUMN($H$1)+1,Beräkningshjälp!$AB$2:$AI$1082,3,FALSE),0)),0),"")</f>
        <v/>
      </c>
      <c r="R53" s="116" t="str">
        <f>IF(COUNTIF(H53:Q53,"&gt;0")&gt;0,IF($E53&lt;&gt;"",IF(AND($E53&lt;&gt;"EJFANGST",$G53&lt;&gt;"INGA"),IF(ISNUMBER(VLOOKUP((ROW($H52)-ROW($H$1)+1)*10+COLUMN(H$1)-COLUMN($H$1)+1,Beräkningshjälp!$AB$2:$AI$1082,7,FALSE)),VLOOKUP((ROW($H52)-ROW($H$1)+1)*10+COLUMN(H$1)-COLUMN($H$1)+1,Beräkningshjälp!$AB$2:$AI$1082,3,FALSE),""),""),""),"")</f>
        <v/>
      </c>
    </row>
    <row r="54" spans="1:18" x14ac:dyDescent="0.25">
      <c r="A54" s="2" t="str">
        <f t="shared" si="0"/>
        <v/>
      </c>
      <c r="B54" s="2" t="str">
        <f>IF(D54&lt;&gt;"",'DATA TILL SLU'!$J$3,"")</f>
        <v/>
      </c>
      <c r="C54" s="2" t="str">
        <f>IF(D54&lt;&gt;"",'DATA TILL SLU'!$K$3,"")</f>
        <v/>
      </c>
      <c r="D54" s="2" t="str">
        <f>IF(OR(ROW(D53)-ROW(D$1)+1&lt;=MAX(Beräkningshjälp!$F$37:$F$54),ROW(D53)-ROW(D$1)+1&lt;=ROUND((MAX(Beräkningshjälp!AB$3:AB$1082)+4)/10,0)-1),D$2,"")</f>
        <v/>
      </c>
      <c r="E54" s="136" t="str">
        <f>IF(D54&lt;&gt;"",IF(COUNTIF(Beräkningshjälp!F$38:F$49,"&gt;0")&gt;=ROW(E53)-ROW(E$1)+1,VLOOKUP((VLOOKUP(ROW(E53)-ROW(E$1)+1,Beräkningshjälp!$F$37:$H$54,IF(ISNUMBER(VLOOKUP(ROW(E53)-ROW(E$1)+1,Beräkningshjälp!$F$37:$H$54,2,FALSE)),2,3),FALSE)),Beräkningshjälp!$M$2:$O$60,3,FALSE),VLOOKUP((ROW(E53)-ROW(E$1)+1)*10+1,Beräkningshjälp!$AB$2:$AF$1082,5,FALSE)),"")</f>
        <v/>
      </c>
      <c r="F54" s="2" t="str">
        <f>IF(D54&lt;&gt;"",Beräkningshjälp!$AH$1,"")</f>
        <v/>
      </c>
      <c r="G54" s="136" t="str">
        <f>IF(D54&lt;&gt;"",IF(COUNTIF(Beräkningshjälp!F$38:F$49,"&gt;0")&gt;=ROW(E53)-ROW(E$1)+1,"INGA",IF(COUNTIF(Beräkningshjälp!$G$38:$H$49,VLOOKUP(E54,Beräkningshjälp!$AF$2:$AG$1082,2,FALSE))&gt;0,"ENSTAK",IF(VLOOKUP(VLOOKUP(E54,Beräkningshjälp!O$2:U$60,7,FALSE),Artuppgifter!$I$11:$P$22,7,FALSE)=TRUE,"MINMAX","ALLA"))),"")</f>
        <v/>
      </c>
      <c r="H54" s="2" t="str">
        <f>IF($E54&lt;&gt;"",IF(AND($E54&lt;&gt;"EJFANGST",$G54&lt;&gt;"INGA"),IF(ISNUMBER(VLOOKUP((ROW($H53)-ROW($H$1)+1)*10+COLUMN(H$1)-COLUMN($H$1)+1,Beräkningshjälp!$AB$2:$AI$1082,7,FALSE)),VLOOKUP((ROW($H53)-ROW($H$1)+1)*10+COLUMN(H$1)-COLUMN($H$1)+1,Beräkningshjälp!$AB$2:$AI$1082,7,FALSE),IF(E54&gt;0,-VLOOKUP((ROW($H53)-ROW($H$1)+1)*10+COLUMN(H$1)-COLUMN($H$1)+1,Beräkningshjälp!$AB$2:$AI$1082,3,FALSE),0)),0),"")</f>
        <v/>
      </c>
      <c r="I54" s="2" t="str">
        <f>IF($E54&lt;&gt;"",IF(AND($E54&lt;&gt;"EJFANGST",$G54&lt;&gt;"INGA"),IF(ISNUMBER(VLOOKUP((ROW($H53)-ROW($H$1)+1)*10+COLUMN(I$1)-COLUMN($H$1)+1,Beräkningshjälp!$AB$2:$AI$1082,7,FALSE)),VLOOKUP((ROW($H53)-ROW($H$1)+1)*10+COLUMN(I$1)-COLUMN($H$1)+1,Beräkningshjälp!$AB$2:$AI$1082,7,FALSE),IF(H54&gt;0,-VLOOKUP((ROW($H53)-ROW($H$1)+1)*10+COLUMN(I$1)-COLUMN($H$1)+1,Beräkningshjälp!$AB$2:$AI$1082,3,FALSE),0)),0),"")</f>
        <v/>
      </c>
      <c r="J54" s="2" t="str">
        <f>IF($E54&lt;&gt;"",IF(AND($E54&lt;&gt;"EJFANGST",$G54&lt;&gt;"INGA"),IF(ISNUMBER(VLOOKUP((ROW($H53)-ROW($H$1)+1)*10+COLUMN(J$1)-COLUMN($H$1)+1,Beräkningshjälp!$AB$2:$AI$1082,7,FALSE)),VLOOKUP((ROW($H53)-ROW($H$1)+1)*10+COLUMN(J$1)-COLUMN($H$1)+1,Beräkningshjälp!$AB$2:$AI$1082,7,FALSE),IF(I54&gt;0,-VLOOKUP((ROW($H53)-ROW($H$1)+1)*10+COLUMN(J$1)-COLUMN($H$1)+1,Beräkningshjälp!$AB$2:$AI$1082,3,FALSE),0)),0),"")</f>
        <v/>
      </c>
      <c r="K54" s="2" t="str">
        <f>IF($E54&lt;&gt;"",IF(AND($E54&lt;&gt;"EJFANGST",$G54&lt;&gt;"INGA"),IF(ISNUMBER(VLOOKUP((ROW($H53)-ROW($H$1)+1)*10+COLUMN(K$1)-COLUMN($H$1)+1,Beräkningshjälp!$AB$2:$AI$1082,7,FALSE)),VLOOKUP((ROW($H53)-ROW($H$1)+1)*10+COLUMN(K$1)-COLUMN($H$1)+1,Beräkningshjälp!$AB$2:$AI$1082,7,FALSE),IF(J54&gt;0,-VLOOKUP((ROW($H53)-ROW($H$1)+1)*10+COLUMN(K$1)-COLUMN($H$1)+1,Beräkningshjälp!$AB$2:$AI$1082,3,FALSE),0)),0),"")</f>
        <v/>
      </c>
      <c r="L54" s="2" t="str">
        <f>IF($E54&lt;&gt;"",IF(AND($E54&lt;&gt;"EJFANGST",$G54&lt;&gt;"INGA"),IF(ISNUMBER(VLOOKUP((ROW($H53)-ROW($H$1)+1)*10+COLUMN(L$1)-COLUMN($H$1)+1,Beräkningshjälp!$AB$2:$AI$1082,7,FALSE)),VLOOKUP((ROW($H53)-ROW($H$1)+1)*10+COLUMN(L$1)-COLUMN($H$1)+1,Beräkningshjälp!$AB$2:$AI$1082,7,FALSE),IF(K54&gt;0,-VLOOKUP((ROW($H53)-ROW($H$1)+1)*10+COLUMN(L$1)-COLUMN($H$1)+1,Beräkningshjälp!$AB$2:$AI$1082,3,FALSE),0)),0),"")</f>
        <v/>
      </c>
      <c r="M54" s="2" t="str">
        <f>IF($E54&lt;&gt;"",IF(AND($E54&lt;&gt;"EJFANGST",$G54&lt;&gt;"INGA"),IF(ISNUMBER(VLOOKUP((ROW($H53)-ROW($H$1)+1)*10+COLUMN(M$1)-COLUMN($H$1)+1,Beräkningshjälp!$AB$2:$AI$1082,7,FALSE)),VLOOKUP((ROW($H53)-ROW($H$1)+1)*10+COLUMN(M$1)-COLUMN($H$1)+1,Beräkningshjälp!$AB$2:$AI$1082,7,FALSE),IF(L54&gt;0,-VLOOKUP((ROW($H53)-ROW($H$1)+1)*10+COLUMN(M$1)-COLUMN($H$1)+1,Beräkningshjälp!$AB$2:$AI$1082,3,FALSE),0)),0),"")</f>
        <v/>
      </c>
      <c r="N54" s="2" t="str">
        <f>IF($E54&lt;&gt;"",IF(AND($E54&lt;&gt;"EJFANGST",$G54&lt;&gt;"INGA"),IF(ISNUMBER(VLOOKUP((ROW($H53)-ROW($H$1)+1)*10+COLUMN(N$1)-COLUMN($H$1)+1,Beräkningshjälp!$AB$2:$AI$1082,7,FALSE)),VLOOKUP((ROW($H53)-ROW($H$1)+1)*10+COLUMN(N$1)-COLUMN($H$1)+1,Beräkningshjälp!$AB$2:$AI$1082,7,FALSE),IF(M54&gt;0,-VLOOKUP((ROW($H53)-ROW($H$1)+1)*10+COLUMN(N$1)-COLUMN($H$1)+1,Beräkningshjälp!$AB$2:$AI$1082,3,FALSE),0)),0),"")</f>
        <v/>
      </c>
      <c r="O54" s="2" t="str">
        <f>IF($E54&lt;&gt;"",IF(AND($E54&lt;&gt;"EJFANGST",$G54&lt;&gt;"INGA"),IF(ISNUMBER(VLOOKUP((ROW($H53)-ROW($H$1)+1)*10+COLUMN(O$1)-COLUMN($H$1)+1,Beräkningshjälp!$AB$2:$AI$1082,7,FALSE)),VLOOKUP((ROW($H53)-ROW($H$1)+1)*10+COLUMN(O$1)-COLUMN($H$1)+1,Beräkningshjälp!$AB$2:$AI$1082,7,FALSE),IF(N54&gt;0,-VLOOKUP((ROW($H53)-ROW($H$1)+1)*10+COLUMN(O$1)-COLUMN($H$1)+1,Beräkningshjälp!$AB$2:$AI$1082,3,FALSE),0)),0),"")</f>
        <v/>
      </c>
      <c r="P54" s="2" t="str">
        <f>IF($E54&lt;&gt;"",IF(AND($E54&lt;&gt;"EJFANGST",$G54&lt;&gt;"INGA"),IF(ISNUMBER(VLOOKUP((ROW($H53)-ROW($H$1)+1)*10+COLUMN(P$1)-COLUMN($H$1)+1,Beräkningshjälp!$AB$2:$AI$1082,7,FALSE)),VLOOKUP((ROW($H53)-ROW($H$1)+1)*10+COLUMN(P$1)-COLUMN($H$1)+1,Beräkningshjälp!$AB$2:$AI$1082,7,FALSE),IF(O54&gt;0,-VLOOKUP((ROW($H53)-ROW($H$1)+1)*10+COLUMN(P$1)-COLUMN($H$1)+1,Beräkningshjälp!$AB$2:$AI$1082,3,FALSE),0)),0),"")</f>
        <v/>
      </c>
      <c r="Q54" s="2" t="str">
        <f>IF($E54&lt;&gt;"",IF(AND($E54&lt;&gt;"EJFANGST",$G54&lt;&gt;"INGA"),IF(ISNUMBER(VLOOKUP((ROW($H53)-ROW($H$1)+1)*10+COLUMN(Q$1)-COLUMN($H$1)+1,Beräkningshjälp!$AB$2:$AI$1082,7,FALSE)),VLOOKUP((ROW($H53)-ROW($H$1)+1)*10+COLUMN(Q$1)-COLUMN($H$1)+1,Beräkningshjälp!$AB$2:$AI$1082,7,FALSE),IF(P54&gt;0,-VLOOKUP((ROW($H53)-ROW($H$1)+1)*10+COLUMN(Q$1)-COLUMN($H$1)+1,Beräkningshjälp!$AB$2:$AI$1082,3,FALSE),0)),0),"")</f>
        <v/>
      </c>
      <c r="R54" s="116" t="str">
        <f>IF(COUNTIF(H54:Q54,"&gt;0")&gt;0,IF($E54&lt;&gt;"",IF(AND($E54&lt;&gt;"EJFANGST",$G54&lt;&gt;"INGA"),IF(ISNUMBER(VLOOKUP((ROW($H53)-ROW($H$1)+1)*10+COLUMN(H$1)-COLUMN($H$1)+1,Beräkningshjälp!$AB$2:$AI$1082,7,FALSE)),VLOOKUP((ROW($H53)-ROW($H$1)+1)*10+COLUMN(H$1)-COLUMN($H$1)+1,Beräkningshjälp!$AB$2:$AI$1082,3,FALSE),""),""),""),"")</f>
        <v/>
      </c>
    </row>
    <row r="55" spans="1:18" x14ac:dyDescent="0.25">
      <c r="A55" s="2" t="str">
        <f t="shared" si="0"/>
        <v/>
      </c>
      <c r="B55" s="2" t="str">
        <f>IF(D55&lt;&gt;"",'DATA TILL SLU'!$J$3,"")</f>
        <v/>
      </c>
      <c r="C55" s="2" t="str">
        <f>IF(D55&lt;&gt;"",'DATA TILL SLU'!$K$3,"")</f>
        <v/>
      </c>
      <c r="D55" s="2" t="str">
        <f>IF(OR(ROW(D54)-ROW(D$1)+1&lt;=MAX(Beräkningshjälp!$F$37:$F$54),ROW(D54)-ROW(D$1)+1&lt;=ROUND((MAX(Beräkningshjälp!AB$3:AB$1082)+4)/10,0)-1),D$2,"")</f>
        <v/>
      </c>
      <c r="E55" s="136" t="str">
        <f>IF(D55&lt;&gt;"",IF(COUNTIF(Beräkningshjälp!F$38:F$49,"&gt;0")&gt;=ROW(E54)-ROW(E$1)+1,VLOOKUP((VLOOKUP(ROW(E54)-ROW(E$1)+1,Beräkningshjälp!$F$37:$H$54,IF(ISNUMBER(VLOOKUP(ROW(E54)-ROW(E$1)+1,Beräkningshjälp!$F$37:$H$54,2,FALSE)),2,3),FALSE)),Beräkningshjälp!$M$2:$O$60,3,FALSE),VLOOKUP((ROW(E54)-ROW(E$1)+1)*10+1,Beräkningshjälp!$AB$2:$AF$1082,5,FALSE)),"")</f>
        <v/>
      </c>
      <c r="F55" s="2" t="str">
        <f>IF(D55&lt;&gt;"",Beräkningshjälp!$AH$1,"")</f>
        <v/>
      </c>
      <c r="G55" s="136" t="str">
        <f>IF(D55&lt;&gt;"",IF(COUNTIF(Beräkningshjälp!F$38:F$49,"&gt;0")&gt;=ROW(E54)-ROW(E$1)+1,"INGA",IF(COUNTIF(Beräkningshjälp!$G$38:$H$49,VLOOKUP(E55,Beräkningshjälp!$AF$2:$AG$1082,2,FALSE))&gt;0,"ENSTAK",IF(VLOOKUP(VLOOKUP(E55,Beräkningshjälp!O$2:U$60,7,FALSE),Artuppgifter!$I$11:$P$22,7,FALSE)=TRUE,"MINMAX","ALLA"))),"")</f>
        <v/>
      </c>
      <c r="H55" s="2" t="str">
        <f>IF($E55&lt;&gt;"",IF(AND($E55&lt;&gt;"EJFANGST",$G55&lt;&gt;"INGA"),IF(ISNUMBER(VLOOKUP((ROW($H54)-ROW($H$1)+1)*10+COLUMN(H$1)-COLUMN($H$1)+1,Beräkningshjälp!$AB$2:$AI$1082,7,FALSE)),VLOOKUP((ROW($H54)-ROW($H$1)+1)*10+COLUMN(H$1)-COLUMN($H$1)+1,Beräkningshjälp!$AB$2:$AI$1082,7,FALSE),IF(E55&gt;0,-VLOOKUP((ROW($H54)-ROW($H$1)+1)*10+COLUMN(H$1)-COLUMN($H$1)+1,Beräkningshjälp!$AB$2:$AI$1082,3,FALSE),0)),0),"")</f>
        <v/>
      </c>
      <c r="I55" s="2" t="str">
        <f>IF($E55&lt;&gt;"",IF(AND($E55&lt;&gt;"EJFANGST",$G55&lt;&gt;"INGA"),IF(ISNUMBER(VLOOKUP((ROW($H54)-ROW($H$1)+1)*10+COLUMN(I$1)-COLUMN($H$1)+1,Beräkningshjälp!$AB$2:$AI$1082,7,FALSE)),VLOOKUP((ROW($H54)-ROW($H$1)+1)*10+COLUMN(I$1)-COLUMN($H$1)+1,Beräkningshjälp!$AB$2:$AI$1082,7,FALSE),IF(H55&gt;0,-VLOOKUP((ROW($H54)-ROW($H$1)+1)*10+COLUMN(I$1)-COLUMN($H$1)+1,Beräkningshjälp!$AB$2:$AI$1082,3,FALSE),0)),0),"")</f>
        <v/>
      </c>
      <c r="J55" s="2" t="str">
        <f>IF($E55&lt;&gt;"",IF(AND($E55&lt;&gt;"EJFANGST",$G55&lt;&gt;"INGA"),IF(ISNUMBER(VLOOKUP((ROW($H54)-ROW($H$1)+1)*10+COLUMN(J$1)-COLUMN($H$1)+1,Beräkningshjälp!$AB$2:$AI$1082,7,FALSE)),VLOOKUP((ROW($H54)-ROW($H$1)+1)*10+COLUMN(J$1)-COLUMN($H$1)+1,Beräkningshjälp!$AB$2:$AI$1082,7,FALSE),IF(I55&gt;0,-VLOOKUP((ROW($H54)-ROW($H$1)+1)*10+COLUMN(J$1)-COLUMN($H$1)+1,Beräkningshjälp!$AB$2:$AI$1082,3,FALSE),0)),0),"")</f>
        <v/>
      </c>
      <c r="K55" s="2" t="str">
        <f>IF($E55&lt;&gt;"",IF(AND($E55&lt;&gt;"EJFANGST",$G55&lt;&gt;"INGA"),IF(ISNUMBER(VLOOKUP((ROW($H54)-ROW($H$1)+1)*10+COLUMN(K$1)-COLUMN($H$1)+1,Beräkningshjälp!$AB$2:$AI$1082,7,FALSE)),VLOOKUP((ROW($H54)-ROW($H$1)+1)*10+COLUMN(K$1)-COLUMN($H$1)+1,Beräkningshjälp!$AB$2:$AI$1082,7,FALSE),IF(J55&gt;0,-VLOOKUP((ROW($H54)-ROW($H$1)+1)*10+COLUMN(K$1)-COLUMN($H$1)+1,Beräkningshjälp!$AB$2:$AI$1082,3,FALSE),0)),0),"")</f>
        <v/>
      </c>
      <c r="L55" s="2" t="str">
        <f>IF($E55&lt;&gt;"",IF(AND($E55&lt;&gt;"EJFANGST",$G55&lt;&gt;"INGA"),IF(ISNUMBER(VLOOKUP((ROW($H54)-ROW($H$1)+1)*10+COLUMN(L$1)-COLUMN($H$1)+1,Beräkningshjälp!$AB$2:$AI$1082,7,FALSE)),VLOOKUP((ROW($H54)-ROW($H$1)+1)*10+COLUMN(L$1)-COLUMN($H$1)+1,Beräkningshjälp!$AB$2:$AI$1082,7,FALSE),IF(K55&gt;0,-VLOOKUP((ROW($H54)-ROW($H$1)+1)*10+COLUMN(L$1)-COLUMN($H$1)+1,Beräkningshjälp!$AB$2:$AI$1082,3,FALSE),0)),0),"")</f>
        <v/>
      </c>
      <c r="M55" s="2" t="str">
        <f>IF($E55&lt;&gt;"",IF(AND($E55&lt;&gt;"EJFANGST",$G55&lt;&gt;"INGA"),IF(ISNUMBER(VLOOKUP((ROW($H54)-ROW($H$1)+1)*10+COLUMN(M$1)-COLUMN($H$1)+1,Beräkningshjälp!$AB$2:$AI$1082,7,FALSE)),VLOOKUP((ROW($H54)-ROW($H$1)+1)*10+COLUMN(M$1)-COLUMN($H$1)+1,Beräkningshjälp!$AB$2:$AI$1082,7,FALSE),IF(L55&gt;0,-VLOOKUP((ROW($H54)-ROW($H$1)+1)*10+COLUMN(M$1)-COLUMN($H$1)+1,Beräkningshjälp!$AB$2:$AI$1082,3,FALSE),0)),0),"")</f>
        <v/>
      </c>
      <c r="N55" s="2" t="str">
        <f>IF($E55&lt;&gt;"",IF(AND($E55&lt;&gt;"EJFANGST",$G55&lt;&gt;"INGA"),IF(ISNUMBER(VLOOKUP((ROW($H54)-ROW($H$1)+1)*10+COLUMN(N$1)-COLUMN($H$1)+1,Beräkningshjälp!$AB$2:$AI$1082,7,FALSE)),VLOOKUP((ROW($H54)-ROW($H$1)+1)*10+COLUMN(N$1)-COLUMN($H$1)+1,Beräkningshjälp!$AB$2:$AI$1082,7,FALSE),IF(M55&gt;0,-VLOOKUP((ROW($H54)-ROW($H$1)+1)*10+COLUMN(N$1)-COLUMN($H$1)+1,Beräkningshjälp!$AB$2:$AI$1082,3,FALSE),0)),0),"")</f>
        <v/>
      </c>
      <c r="O55" s="2" t="str">
        <f>IF($E55&lt;&gt;"",IF(AND($E55&lt;&gt;"EJFANGST",$G55&lt;&gt;"INGA"),IF(ISNUMBER(VLOOKUP((ROW($H54)-ROW($H$1)+1)*10+COLUMN(O$1)-COLUMN($H$1)+1,Beräkningshjälp!$AB$2:$AI$1082,7,FALSE)),VLOOKUP((ROW($H54)-ROW($H$1)+1)*10+COLUMN(O$1)-COLUMN($H$1)+1,Beräkningshjälp!$AB$2:$AI$1082,7,FALSE),IF(N55&gt;0,-VLOOKUP((ROW($H54)-ROW($H$1)+1)*10+COLUMN(O$1)-COLUMN($H$1)+1,Beräkningshjälp!$AB$2:$AI$1082,3,FALSE),0)),0),"")</f>
        <v/>
      </c>
      <c r="P55" s="2" t="str">
        <f>IF($E55&lt;&gt;"",IF(AND($E55&lt;&gt;"EJFANGST",$G55&lt;&gt;"INGA"),IF(ISNUMBER(VLOOKUP((ROW($H54)-ROW($H$1)+1)*10+COLUMN(P$1)-COLUMN($H$1)+1,Beräkningshjälp!$AB$2:$AI$1082,7,FALSE)),VLOOKUP((ROW($H54)-ROW($H$1)+1)*10+COLUMN(P$1)-COLUMN($H$1)+1,Beräkningshjälp!$AB$2:$AI$1082,7,FALSE),IF(O55&gt;0,-VLOOKUP((ROW($H54)-ROW($H$1)+1)*10+COLUMN(P$1)-COLUMN($H$1)+1,Beräkningshjälp!$AB$2:$AI$1082,3,FALSE),0)),0),"")</f>
        <v/>
      </c>
      <c r="Q55" s="2" t="str">
        <f>IF($E55&lt;&gt;"",IF(AND($E55&lt;&gt;"EJFANGST",$G55&lt;&gt;"INGA"),IF(ISNUMBER(VLOOKUP((ROW($H54)-ROW($H$1)+1)*10+COLUMN(Q$1)-COLUMN($H$1)+1,Beräkningshjälp!$AB$2:$AI$1082,7,FALSE)),VLOOKUP((ROW($H54)-ROW($H$1)+1)*10+COLUMN(Q$1)-COLUMN($H$1)+1,Beräkningshjälp!$AB$2:$AI$1082,7,FALSE),IF(P55&gt;0,-VLOOKUP((ROW($H54)-ROW($H$1)+1)*10+COLUMN(Q$1)-COLUMN($H$1)+1,Beräkningshjälp!$AB$2:$AI$1082,3,FALSE),0)),0),"")</f>
        <v/>
      </c>
      <c r="R55" s="116" t="str">
        <f>IF(COUNTIF(H55:Q55,"&gt;0")&gt;0,IF($E55&lt;&gt;"",IF(AND($E55&lt;&gt;"EJFANGST",$G55&lt;&gt;"INGA"),IF(ISNUMBER(VLOOKUP((ROW($H54)-ROW($H$1)+1)*10+COLUMN(H$1)-COLUMN($H$1)+1,Beräkningshjälp!$AB$2:$AI$1082,7,FALSE)),VLOOKUP((ROW($H54)-ROW($H$1)+1)*10+COLUMN(H$1)-COLUMN($H$1)+1,Beräkningshjälp!$AB$2:$AI$1082,3,FALSE),""),""),""),"")</f>
        <v/>
      </c>
    </row>
    <row r="56" spans="1:18" x14ac:dyDescent="0.25">
      <c r="A56" s="2" t="str">
        <f t="shared" si="0"/>
        <v/>
      </c>
      <c r="B56" s="2" t="str">
        <f>IF(D56&lt;&gt;"",'DATA TILL SLU'!$J$3,"")</f>
        <v/>
      </c>
      <c r="C56" s="2" t="str">
        <f>IF(D56&lt;&gt;"",'DATA TILL SLU'!$K$3,"")</f>
        <v/>
      </c>
      <c r="D56" s="2" t="str">
        <f>IF(OR(ROW(D55)-ROW(D$1)+1&lt;=MAX(Beräkningshjälp!$F$37:$F$54),ROW(D55)-ROW(D$1)+1&lt;=ROUND((MAX(Beräkningshjälp!AB$3:AB$1082)+4)/10,0)-1),D$2,"")</f>
        <v/>
      </c>
      <c r="E56" s="136" t="str">
        <f>IF(D56&lt;&gt;"",IF(COUNTIF(Beräkningshjälp!F$38:F$49,"&gt;0")&gt;=ROW(E55)-ROW(E$1)+1,VLOOKUP((VLOOKUP(ROW(E55)-ROW(E$1)+1,Beräkningshjälp!$F$37:$H$54,IF(ISNUMBER(VLOOKUP(ROW(E55)-ROW(E$1)+1,Beräkningshjälp!$F$37:$H$54,2,FALSE)),2,3),FALSE)),Beräkningshjälp!$M$2:$O$60,3,FALSE),VLOOKUP((ROW(E55)-ROW(E$1)+1)*10+1,Beräkningshjälp!$AB$2:$AF$1082,5,FALSE)),"")</f>
        <v/>
      </c>
      <c r="F56" s="2" t="str">
        <f>IF(D56&lt;&gt;"",Beräkningshjälp!$AH$1,"")</f>
        <v/>
      </c>
      <c r="G56" s="136" t="str">
        <f>IF(D56&lt;&gt;"",IF(COUNTIF(Beräkningshjälp!F$38:F$49,"&gt;0")&gt;=ROW(E55)-ROW(E$1)+1,"INGA",IF(COUNTIF(Beräkningshjälp!$G$38:$H$49,VLOOKUP(E56,Beräkningshjälp!$AF$2:$AG$1082,2,FALSE))&gt;0,"ENSTAK",IF(VLOOKUP(VLOOKUP(E56,Beräkningshjälp!O$2:U$60,7,FALSE),Artuppgifter!$I$11:$P$22,7,FALSE)=TRUE,"MINMAX","ALLA"))),"")</f>
        <v/>
      </c>
      <c r="H56" s="2" t="str">
        <f>IF($E56&lt;&gt;"",IF(AND($E56&lt;&gt;"EJFANGST",$G56&lt;&gt;"INGA"),IF(ISNUMBER(VLOOKUP((ROW($H55)-ROW($H$1)+1)*10+COLUMN(H$1)-COLUMN($H$1)+1,Beräkningshjälp!$AB$2:$AI$1082,7,FALSE)),VLOOKUP((ROW($H55)-ROW($H$1)+1)*10+COLUMN(H$1)-COLUMN($H$1)+1,Beräkningshjälp!$AB$2:$AI$1082,7,FALSE),IF(E56&gt;0,-VLOOKUP((ROW($H55)-ROW($H$1)+1)*10+COLUMN(H$1)-COLUMN($H$1)+1,Beräkningshjälp!$AB$2:$AI$1082,3,FALSE),0)),0),"")</f>
        <v/>
      </c>
      <c r="I56" s="2" t="str">
        <f>IF($E56&lt;&gt;"",IF(AND($E56&lt;&gt;"EJFANGST",$G56&lt;&gt;"INGA"),IF(ISNUMBER(VLOOKUP((ROW($H55)-ROW($H$1)+1)*10+COLUMN(I$1)-COLUMN($H$1)+1,Beräkningshjälp!$AB$2:$AI$1082,7,FALSE)),VLOOKUP((ROW($H55)-ROW($H$1)+1)*10+COLUMN(I$1)-COLUMN($H$1)+1,Beräkningshjälp!$AB$2:$AI$1082,7,FALSE),IF(H56&gt;0,-VLOOKUP((ROW($H55)-ROW($H$1)+1)*10+COLUMN(I$1)-COLUMN($H$1)+1,Beräkningshjälp!$AB$2:$AI$1082,3,FALSE),0)),0),"")</f>
        <v/>
      </c>
      <c r="J56" s="2" t="str">
        <f>IF($E56&lt;&gt;"",IF(AND($E56&lt;&gt;"EJFANGST",$G56&lt;&gt;"INGA"),IF(ISNUMBER(VLOOKUP((ROW($H55)-ROW($H$1)+1)*10+COLUMN(J$1)-COLUMN($H$1)+1,Beräkningshjälp!$AB$2:$AI$1082,7,FALSE)),VLOOKUP((ROW($H55)-ROW($H$1)+1)*10+COLUMN(J$1)-COLUMN($H$1)+1,Beräkningshjälp!$AB$2:$AI$1082,7,FALSE),IF(I56&gt;0,-VLOOKUP((ROW($H55)-ROW($H$1)+1)*10+COLUMN(J$1)-COLUMN($H$1)+1,Beräkningshjälp!$AB$2:$AI$1082,3,FALSE),0)),0),"")</f>
        <v/>
      </c>
      <c r="K56" s="2" t="str">
        <f>IF($E56&lt;&gt;"",IF(AND($E56&lt;&gt;"EJFANGST",$G56&lt;&gt;"INGA"),IF(ISNUMBER(VLOOKUP((ROW($H55)-ROW($H$1)+1)*10+COLUMN(K$1)-COLUMN($H$1)+1,Beräkningshjälp!$AB$2:$AI$1082,7,FALSE)),VLOOKUP((ROW($H55)-ROW($H$1)+1)*10+COLUMN(K$1)-COLUMN($H$1)+1,Beräkningshjälp!$AB$2:$AI$1082,7,FALSE),IF(J56&gt;0,-VLOOKUP((ROW($H55)-ROW($H$1)+1)*10+COLUMN(K$1)-COLUMN($H$1)+1,Beräkningshjälp!$AB$2:$AI$1082,3,FALSE),0)),0),"")</f>
        <v/>
      </c>
      <c r="L56" s="2" t="str">
        <f>IF($E56&lt;&gt;"",IF(AND($E56&lt;&gt;"EJFANGST",$G56&lt;&gt;"INGA"),IF(ISNUMBER(VLOOKUP((ROW($H55)-ROW($H$1)+1)*10+COLUMN(L$1)-COLUMN($H$1)+1,Beräkningshjälp!$AB$2:$AI$1082,7,FALSE)),VLOOKUP((ROW($H55)-ROW($H$1)+1)*10+COLUMN(L$1)-COLUMN($H$1)+1,Beräkningshjälp!$AB$2:$AI$1082,7,FALSE),IF(K56&gt;0,-VLOOKUP((ROW($H55)-ROW($H$1)+1)*10+COLUMN(L$1)-COLUMN($H$1)+1,Beräkningshjälp!$AB$2:$AI$1082,3,FALSE),0)),0),"")</f>
        <v/>
      </c>
      <c r="M56" s="2" t="str">
        <f>IF($E56&lt;&gt;"",IF(AND($E56&lt;&gt;"EJFANGST",$G56&lt;&gt;"INGA"),IF(ISNUMBER(VLOOKUP((ROW($H55)-ROW($H$1)+1)*10+COLUMN(M$1)-COLUMN($H$1)+1,Beräkningshjälp!$AB$2:$AI$1082,7,FALSE)),VLOOKUP((ROW($H55)-ROW($H$1)+1)*10+COLUMN(M$1)-COLUMN($H$1)+1,Beräkningshjälp!$AB$2:$AI$1082,7,FALSE),IF(L56&gt;0,-VLOOKUP((ROW($H55)-ROW($H$1)+1)*10+COLUMN(M$1)-COLUMN($H$1)+1,Beräkningshjälp!$AB$2:$AI$1082,3,FALSE),0)),0),"")</f>
        <v/>
      </c>
      <c r="N56" s="2" t="str">
        <f>IF($E56&lt;&gt;"",IF(AND($E56&lt;&gt;"EJFANGST",$G56&lt;&gt;"INGA"),IF(ISNUMBER(VLOOKUP((ROW($H55)-ROW($H$1)+1)*10+COLUMN(N$1)-COLUMN($H$1)+1,Beräkningshjälp!$AB$2:$AI$1082,7,FALSE)),VLOOKUP((ROW($H55)-ROW($H$1)+1)*10+COLUMN(N$1)-COLUMN($H$1)+1,Beräkningshjälp!$AB$2:$AI$1082,7,FALSE),IF(M56&gt;0,-VLOOKUP((ROW($H55)-ROW($H$1)+1)*10+COLUMN(N$1)-COLUMN($H$1)+1,Beräkningshjälp!$AB$2:$AI$1082,3,FALSE),0)),0),"")</f>
        <v/>
      </c>
      <c r="O56" s="2" t="str">
        <f>IF($E56&lt;&gt;"",IF(AND($E56&lt;&gt;"EJFANGST",$G56&lt;&gt;"INGA"),IF(ISNUMBER(VLOOKUP((ROW($H55)-ROW($H$1)+1)*10+COLUMN(O$1)-COLUMN($H$1)+1,Beräkningshjälp!$AB$2:$AI$1082,7,FALSE)),VLOOKUP((ROW($H55)-ROW($H$1)+1)*10+COLUMN(O$1)-COLUMN($H$1)+1,Beräkningshjälp!$AB$2:$AI$1082,7,FALSE),IF(N56&gt;0,-VLOOKUP((ROW($H55)-ROW($H$1)+1)*10+COLUMN(O$1)-COLUMN($H$1)+1,Beräkningshjälp!$AB$2:$AI$1082,3,FALSE),0)),0),"")</f>
        <v/>
      </c>
      <c r="P56" s="2" t="str">
        <f>IF($E56&lt;&gt;"",IF(AND($E56&lt;&gt;"EJFANGST",$G56&lt;&gt;"INGA"),IF(ISNUMBER(VLOOKUP((ROW($H55)-ROW($H$1)+1)*10+COLUMN(P$1)-COLUMN($H$1)+1,Beräkningshjälp!$AB$2:$AI$1082,7,FALSE)),VLOOKUP((ROW($H55)-ROW($H$1)+1)*10+COLUMN(P$1)-COLUMN($H$1)+1,Beräkningshjälp!$AB$2:$AI$1082,7,FALSE),IF(O56&gt;0,-VLOOKUP((ROW($H55)-ROW($H$1)+1)*10+COLUMN(P$1)-COLUMN($H$1)+1,Beräkningshjälp!$AB$2:$AI$1082,3,FALSE),0)),0),"")</f>
        <v/>
      </c>
      <c r="Q56" s="2" t="str">
        <f>IF($E56&lt;&gt;"",IF(AND($E56&lt;&gt;"EJFANGST",$G56&lt;&gt;"INGA"),IF(ISNUMBER(VLOOKUP((ROW($H55)-ROW($H$1)+1)*10+COLUMN(Q$1)-COLUMN($H$1)+1,Beräkningshjälp!$AB$2:$AI$1082,7,FALSE)),VLOOKUP((ROW($H55)-ROW($H$1)+1)*10+COLUMN(Q$1)-COLUMN($H$1)+1,Beräkningshjälp!$AB$2:$AI$1082,7,FALSE),IF(P56&gt;0,-VLOOKUP((ROW($H55)-ROW($H$1)+1)*10+COLUMN(Q$1)-COLUMN($H$1)+1,Beräkningshjälp!$AB$2:$AI$1082,3,FALSE),0)),0),"")</f>
        <v/>
      </c>
      <c r="R56" s="116" t="str">
        <f>IF(COUNTIF(H56:Q56,"&gt;0")&gt;0,IF($E56&lt;&gt;"",IF(AND($E56&lt;&gt;"EJFANGST",$G56&lt;&gt;"INGA"),IF(ISNUMBER(VLOOKUP((ROW($H55)-ROW($H$1)+1)*10+COLUMN(H$1)-COLUMN($H$1)+1,Beräkningshjälp!$AB$2:$AI$1082,7,FALSE)),VLOOKUP((ROW($H55)-ROW($H$1)+1)*10+COLUMN(H$1)-COLUMN($H$1)+1,Beräkningshjälp!$AB$2:$AI$1082,3,FALSE),""),""),""),"")</f>
        <v/>
      </c>
    </row>
    <row r="57" spans="1:18" x14ac:dyDescent="0.25">
      <c r="A57" s="2" t="str">
        <f t="shared" si="0"/>
        <v/>
      </c>
      <c r="B57" s="2" t="str">
        <f>IF(D57&lt;&gt;"",'DATA TILL SLU'!$J$3,"")</f>
        <v/>
      </c>
      <c r="C57" s="2" t="str">
        <f>IF(D57&lt;&gt;"",'DATA TILL SLU'!$K$3,"")</f>
        <v/>
      </c>
      <c r="D57" s="2" t="str">
        <f>IF(OR(ROW(D56)-ROW(D$1)+1&lt;=MAX(Beräkningshjälp!$F$37:$F$54),ROW(D56)-ROW(D$1)+1&lt;=ROUND((MAX(Beräkningshjälp!AB$3:AB$1082)+4)/10,0)-1),D$2,"")</f>
        <v/>
      </c>
      <c r="E57" s="136" t="str">
        <f>IF(D57&lt;&gt;"",IF(COUNTIF(Beräkningshjälp!F$38:F$49,"&gt;0")&gt;=ROW(E56)-ROW(E$1)+1,VLOOKUP((VLOOKUP(ROW(E56)-ROW(E$1)+1,Beräkningshjälp!$F$37:$H$54,IF(ISNUMBER(VLOOKUP(ROW(E56)-ROW(E$1)+1,Beräkningshjälp!$F$37:$H$54,2,FALSE)),2,3),FALSE)),Beräkningshjälp!$M$2:$O$60,3,FALSE),VLOOKUP((ROW(E56)-ROW(E$1)+1)*10+1,Beräkningshjälp!$AB$2:$AF$1082,5,FALSE)),"")</f>
        <v/>
      </c>
      <c r="F57" s="2" t="str">
        <f>IF(D57&lt;&gt;"",Beräkningshjälp!$AH$1,"")</f>
        <v/>
      </c>
      <c r="G57" s="136" t="str">
        <f>IF(D57&lt;&gt;"",IF(COUNTIF(Beräkningshjälp!F$38:F$49,"&gt;0")&gt;=ROW(E56)-ROW(E$1)+1,"INGA",IF(COUNTIF(Beräkningshjälp!$G$38:$H$49,VLOOKUP(E57,Beräkningshjälp!$AF$2:$AG$1082,2,FALSE))&gt;0,"ENSTAK",IF(VLOOKUP(VLOOKUP(E57,Beräkningshjälp!O$2:U$60,7,FALSE),Artuppgifter!$I$11:$P$22,7,FALSE)=TRUE,"MINMAX","ALLA"))),"")</f>
        <v/>
      </c>
      <c r="H57" s="2" t="str">
        <f>IF($E57&lt;&gt;"",IF(AND($E57&lt;&gt;"EJFANGST",$G57&lt;&gt;"INGA"),IF(ISNUMBER(VLOOKUP((ROW($H56)-ROW($H$1)+1)*10+COLUMN(H$1)-COLUMN($H$1)+1,Beräkningshjälp!$AB$2:$AI$1082,7,FALSE)),VLOOKUP((ROW($H56)-ROW($H$1)+1)*10+COLUMN(H$1)-COLUMN($H$1)+1,Beräkningshjälp!$AB$2:$AI$1082,7,FALSE),IF(E57&gt;0,-VLOOKUP((ROW($H56)-ROW($H$1)+1)*10+COLUMN(H$1)-COLUMN($H$1)+1,Beräkningshjälp!$AB$2:$AI$1082,3,FALSE),0)),0),"")</f>
        <v/>
      </c>
      <c r="I57" s="2" t="str">
        <f>IF($E57&lt;&gt;"",IF(AND($E57&lt;&gt;"EJFANGST",$G57&lt;&gt;"INGA"),IF(ISNUMBER(VLOOKUP((ROW($H56)-ROW($H$1)+1)*10+COLUMN(I$1)-COLUMN($H$1)+1,Beräkningshjälp!$AB$2:$AI$1082,7,FALSE)),VLOOKUP((ROW($H56)-ROW($H$1)+1)*10+COLUMN(I$1)-COLUMN($H$1)+1,Beräkningshjälp!$AB$2:$AI$1082,7,FALSE),IF(H57&gt;0,-VLOOKUP((ROW($H56)-ROW($H$1)+1)*10+COLUMN(I$1)-COLUMN($H$1)+1,Beräkningshjälp!$AB$2:$AI$1082,3,FALSE),0)),0),"")</f>
        <v/>
      </c>
      <c r="J57" s="2" t="str">
        <f>IF($E57&lt;&gt;"",IF(AND($E57&lt;&gt;"EJFANGST",$G57&lt;&gt;"INGA"),IF(ISNUMBER(VLOOKUP((ROW($H56)-ROW($H$1)+1)*10+COLUMN(J$1)-COLUMN($H$1)+1,Beräkningshjälp!$AB$2:$AI$1082,7,FALSE)),VLOOKUP((ROW($H56)-ROW($H$1)+1)*10+COLUMN(J$1)-COLUMN($H$1)+1,Beräkningshjälp!$AB$2:$AI$1082,7,FALSE),IF(I57&gt;0,-VLOOKUP((ROW($H56)-ROW($H$1)+1)*10+COLUMN(J$1)-COLUMN($H$1)+1,Beräkningshjälp!$AB$2:$AI$1082,3,FALSE),0)),0),"")</f>
        <v/>
      </c>
      <c r="K57" s="2" t="str">
        <f>IF($E57&lt;&gt;"",IF(AND($E57&lt;&gt;"EJFANGST",$G57&lt;&gt;"INGA"),IF(ISNUMBER(VLOOKUP((ROW($H56)-ROW($H$1)+1)*10+COLUMN(K$1)-COLUMN($H$1)+1,Beräkningshjälp!$AB$2:$AI$1082,7,FALSE)),VLOOKUP((ROW($H56)-ROW($H$1)+1)*10+COLUMN(K$1)-COLUMN($H$1)+1,Beräkningshjälp!$AB$2:$AI$1082,7,FALSE),IF(J57&gt;0,-VLOOKUP((ROW($H56)-ROW($H$1)+1)*10+COLUMN(K$1)-COLUMN($H$1)+1,Beräkningshjälp!$AB$2:$AI$1082,3,FALSE),0)),0),"")</f>
        <v/>
      </c>
      <c r="L57" s="2" t="str">
        <f>IF($E57&lt;&gt;"",IF(AND($E57&lt;&gt;"EJFANGST",$G57&lt;&gt;"INGA"),IF(ISNUMBER(VLOOKUP((ROW($H56)-ROW($H$1)+1)*10+COLUMN(L$1)-COLUMN($H$1)+1,Beräkningshjälp!$AB$2:$AI$1082,7,FALSE)),VLOOKUP((ROW($H56)-ROW($H$1)+1)*10+COLUMN(L$1)-COLUMN($H$1)+1,Beräkningshjälp!$AB$2:$AI$1082,7,FALSE),IF(K57&gt;0,-VLOOKUP((ROW($H56)-ROW($H$1)+1)*10+COLUMN(L$1)-COLUMN($H$1)+1,Beräkningshjälp!$AB$2:$AI$1082,3,FALSE),0)),0),"")</f>
        <v/>
      </c>
      <c r="M57" s="2" t="str">
        <f>IF($E57&lt;&gt;"",IF(AND($E57&lt;&gt;"EJFANGST",$G57&lt;&gt;"INGA"),IF(ISNUMBER(VLOOKUP((ROW($H56)-ROW($H$1)+1)*10+COLUMN(M$1)-COLUMN($H$1)+1,Beräkningshjälp!$AB$2:$AI$1082,7,FALSE)),VLOOKUP((ROW($H56)-ROW($H$1)+1)*10+COLUMN(M$1)-COLUMN($H$1)+1,Beräkningshjälp!$AB$2:$AI$1082,7,FALSE),IF(L57&gt;0,-VLOOKUP((ROW($H56)-ROW($H$1)+1)*10+COLUMN(M$1)-COLUMN($H$1)+1,Beräkningshjälp!$AB$2:$AI$1082,3,FALSE),0)),0),"")</f>
        <v/>
      </c>
      <c r="N57" s="2" t="str">
        <f>IF($E57&lt;&gt;"",IF(AND($E57&lt;&gt;"EJFANGST",$G57&lt;&gt;"INGA"),IF(ISNUMBER(VLOOKUP((ROW($H56)-ROW($H$1)+1)*10+COLUMN(N$1)-COLUMN($H$1)+1,Beräkningshjälp!$AB$2:$AI$1082,7,FALSE)),VLOOKUP((ROW($H56)-ROW($H$1)+1)*10+COLUMN(N$1)-COLUMN($H$1)+1,Beräkningshjälp!$AB$2:$AI$1082,7,FALSE),IF(M57&gt;0,-VLOOKUP((ROW($H56)-ROW($H$1)+1)*10+COLUMN(N$1)-COLUMN($H$1)+1,Beräkningshjälp!$AB$2:$AI$1082,3,FALSE),0)),0),"")</f>
        <v/>
      </c>
      <c r="O57" s="2" t="str">
        <f>IF($E57&lt;&gt;"",IF(AND($E57&lt;&gt;"EJFANGST",$G57&lt;&gt;"INGA"),IF(ISNUMBER(VLOOKUP((ROW($H56)-ROW($H$1)+1)*10+COLUMN(O$1)-COLUMN($H$1)+1,Beräkningshjälp!$AB$2:$AI$1082,7,FALSE)),VLOOKUP((ROW($H56)-ROW($H$1)+1)*10+COLUMN(O$1)-COLUMN($H$1)+1,Beräkningshjälp!$AB$2:$AI$1082,7,FALSE),IF(N57&gt;0,-VLOOKUP((ROW($H56)-ROW($H$1)+1)*10+COLUMN(O$1)-COLUMN($H$1)+1,Beräkningshjälp!$AB$2:$AI$1082,3,FALSE),0)),0),"")</f>
        <v/>
      </c>
      <c r="P57" s="2" t="str">
        <f>IF($E57&lt;&gt;"",IF(AND($E57&lt;&gt;"EJFANGST",$G57&lt;&gt;"INGA"),IF(ISNUMBER(VLOOKUP((ROW($H56)-ROW($H$1)+1)*10+COLUMN(P$1)-COLUMN($H$1)+1,Beräkningshjälp!$AB$2:$AI$1082,7,FALSE)),VLOOKUP((ROW($H56)-ROW($H$1)+1)*10+COLUMN(P$1)-COLUMN($H$1)+1,Beräkningshjälp!$AB$2:$AI$1082,7,FALSE),IF(O57&gt;0,-VLOOKUP((ROW($H56)-ROW($H$1)+1)*10+COLUMN(P$1)-COLUMN($H$1)+1,Beräkningshjälp!$AB$2:$AI$1082,3,FALSE),0)),0),"")</f>
        <v/>
      </c>
      <c r="Q57" s="2" t="str">
        <f>IF($E57&lt;&gt;"",IF(AND($E57&lt;&gt;"EJFANGST",$G57&lt;&gt;"INGA"),IF(ISNUMBER(VLOOKUP((ROW($H56)-ROW($H$1)+1)*10+COLUMN(Q$1)-COLUMN($H$1)+1,Beräkningshjälp!$AB$2:$AI$1082,7,FALSE)),VLOOKUP((ROW($H56)-ROW($H$1)+1)*10+COLUMN(Q$1)-COLUMN($H$1)+1,Beräkningshjälp!$AB$2:$AI$1082,7,FALSE),IF(P57&gt;0,-VLOOKUP((ROW($H56)-ROW($H$1)+1)*10+COLUMN(Q$1)-COLUMN($H$1)+1,Beräkningshjälp!$AB$2:$AI$1082,3,FALSE),0)),0),"")</f>
        <v/>
      </c>
      <c r="R57" s="116" t="str">
        <f>IF(COUNTIF(H57:Q57,"&gt;0")&gt;0,IF($E57&lt;&gt;"",IF(AND($E57&lt;&gt;"EJFANGST",$G57&lt;&gt;"INGA"),IF(ISNUMBER(VLOOKUP((ROW($H56)-ROW($H$1)+1)*10+COLUMN(H$1)-COLUMN($H$1)+1,Beräkningshjälp!$AB$2:$AI$1082,7,FALSE)),VLOOKUP((ROW($H56)-ROW($H$1)+1)*10+COLUMN(H$1)-COLUMN($H$1)+1,Beräkningshjälp!$AB$2:$AI$1082,3,FALSE),""),""),""),"")</f>
        <v/>
      </c>
    </row>
    <row r="58" spans="1:18" x14ac:dyDescent="0.25">
      <c r="A58" s="2" t="str">
        <f t="shared" si="0"/>
        <v/>
      </c>
      <c r="B58" s="2" t="str">
        <f>IF(D58&lt;&gt;"",'DATA TILL SLU'!$J$3,"")</f>
        <v/>
      </c>
      <c r="C58" s="2" t="str">
        <f>IF(D58&lt;&gt;"",'DATA TILL SLU'!$K$3,"")</f>
        <v/>
      </c>
      <c r="D58" s="2" t="str">
        <f>IF(OR(ROW(D57)-ROW(D$1)+1&lt;=MAX(Beräkningshjälp!$F$37:$F$54),ROW(D57)-ROW(D$1)+1&lt;=ROUND((MAX(Beräkningshjälp!AB$3:AB$1082)+4)/10,0)-1),D$2,"")</f>
        <v/>
      </c>
      <c r="E58" s="136" t="str">
        <f>IF(D58&lt;&gt;"",IF(COUNTIF(Beräkningshjälp!F$38:F$49,"&gt;0")&gt;=ROW(E57)-ROW(E$1)+1,VLOOKUP((VLOOKUP(ROW(E57)-ROW(E$1)+1,Beräkningshjälp!$F$37:$H$54,IF(ISNUMBER(VLOOKUP(ROW(E57)-ROW(E$1)+1,Beräkningshjälp!$F$37:$H$54,2,FALSE)),2,3),FALSE)),Beräkningshjälp!$M$2:$O$60,3,FALSE),VLOOKUP((ROW(E57)-ROW(E$1)+1)*10+1,Beräkningshjälp!$AB$2:$AF$1082,5,FALSE)),"")</f>
        <v/>
      </c>
      <c r="F58" s="2" t="str">
        <f>IF(D58&lt;&gt;"",Beräkningshjälp!$AH$1,"")</f>
        <v/>
      </c>
      <c r="G58" s="136" t="str">
        <f>IF(D58&lt;&gt;"",IF(COUNTIF(Beräkningshjälp!F$38:F$49,"&gt;0")&gt;=ROW(E57)-ROW(E$1)+1,"INGA",IF(COUNTIF(Beräkningshjälp!$G$38:$H$49,VLOOKUP(E58,Beräkningshjälp!$AF$2:$AG$1082,2,FALSE))&gt;0,"ENSTAK",IF(VLOOKUP(VLOOKUP(E58,Beräkningshjälp!O$2:U$60,7,FALSE),Artuppgifter!$I$11:$P$22,7,FALSE)=TRUE,"MINMAX","ALLA"))),"")</f>
        <v/>
      </c>
      <c r="H58" s="2" t="str">
        <f>IF($E58&lt;&gt;"",IF(AND($E58&lt;&gt;"EJFANGST",$G58&lt;&gt;"INGA"),IF(ISNUMBER(VLOOKUP((ROW($H57)-ROW($H$1)+1)*10+COLUMN(H$1)-COLUMN($H$1)+1,Beräkningshjälp!$AB$2:$AI$1082,7,FALSE)),VLOOKUP((ROW($H57)-ROW($H$1)+1)*10+COLUMN(H$1)-COLUMN($H$1)+1,Beräkningshjälp!$AB$2:$AI$1082,7,FALSE),IF(E58&gt;0,-VLOOKUP((ROW($H57)-ROW($H$1)+1)*10+COLUMN(H$1)-COLUMN($H$1)+1,Beräkningshjälp!$AB$2:$AI$1082,3,FALSE),0)),0),"")</f>
        <v/>
      </c>
      <c r="I58" s="2" t="str">
        <f>IF($E58&lt;&gt;"",IF(AND($E58&lt;&gt;"EJFANGST",$G58&lt;&gt;"INGA"),IF(ISNUMBER(VLOOKUP((ROW($H57)-ROW($H$1)+1)*10+COLUMN(I$1)-COLUMN($H$1)+1,Beräkningshjälp!$AB$2:$AI$1082,7,FALSE)),VLOOKUP((ROW($H57)-ROW($H$1)+1)*10+COLUMN(I$1)-COLUMN($H$1)+1,Beräkningshjälp!$AB$2:$AI$1082,7,FALSE),IF(H58&gt;0,-VLOOKUP((ROW($H57)-ROW($H$1)+1)*10+COLUMN(I$1)-COLUMN($H$1)+1,Beräkningshjälp!$AB$2:$AI$1082,3,FALSE),0)),0),"")</f>
        <v/>
      </c>
      <c r="J58" s="2" t="str">
        <f>IF($E58&lt;&gt;"",IF(AND($E58&lt;&gt;"EJFANGST",$G58&lt;&gt;"INGA"),IF(ISNUMBER(VLOOKUP((ROW($H57)-ROW($H$1)+1)*10+COLUMN(J$1)-COLUMN($H$1)+1,Beräkningshjälp!$AB$2:$AI$1082,7,FALSE)),VLOOKUP((ROW($H57)-ROW($H$1)+1)*10+COLUMN(J$1)-COLUMN($H$1)+1,Beräkningshjälp!$AB$2:$AI$1082,7,FALSE),IF(I58&gt;0,-VLOOKUP((ROW($H57)-ROW($H$1)+1)*10+COLUMN(J$1)-COLUMN($H$1)+1,Beräkningshjälp!$AB$2:$AI$1082,3,FALSE),0)),0),"")</f>
        <v/>
      </c>
      <c r="K58" s="2" t="str">
        <f>IF($E58&lt;&gt;"",IF(AND($E58&lt;&gt;"EJFANGST",$G58&lt;&gt;"INGA"),IF(ISNUMBER(VLOOKUP((ROW($H57)-ROW($H$1)+1)*10+COLUMN(K$1)-COLUMN($H$1)+1,Beräkningshjälp!$AB$2:$AI$1082,7,FALSE)),VLOOKUP((ROW($H57)-ROW($H$1)+1)*10+COLUMN(K$1)-COLUMN($H$1)+1,Beräkningshjälp!$AB$2:$AI$1082,7,FALSE),IF(J58&gt;0,-VLOOKUP((ROW($H57)-ROW($H$1)+1)*10+COLUMN(K$1)-COLUMN($H$1)+1,Beräkningshjälp!$AB$2:$AI$1082,3,FALSE),0)),0),"")</f>
        <v/>
      </c>
      <c r="L58" s="2" t="str">
        <f>IF($E58&lt;&gt;"",IF(AND($E58&lt;&gt;"EJFANGST",$G58&lt;&gt;"INGA"),IF(ISNUMBER(VLOOKUP((ROW($H57)-ROW($H$1)+1)*10+COLUMN(L$1)-COLUMN($H$1)+1,Beräkningshjälp!$AB$2:$AI$1082,7,FALSE)),VLOOKUP((ROW($H57)-ROW($H$1)+1)*10+COLUMN(L$1)-COLUMN($H$1)+1,Beräkningshjälp!$AB$2:$AI$1082,7,FALSE),IF(K58&gt;0,-VLOOKUP((ROW($H57)-ROW($H$1)+1)*10+COLUMN(L$1)-COLUMN($H$1)+1,Beräkningshjälp!$AB$2:$AI$1082,3,FALSE),0)),0),"")</f>
        <v/>
      </c>
      <c r="M58" s="2" t="str">
        <f>IF($E58&lt;&gt;"",IF(AND($E58&lt;&gt;"EJFANGST",$G58&lt;&gt;"INGA"),IF(ISNUMBER(VLOOKUP((ROW($H57)-ROW($H$1)+1)*10+COLUMN(M$1)-COLUMN($H$1)+1,Beräkningshjälp!$AB$2:$AI$1082,7,FALSE)),VLOOKUP((ROW($H57)-ROW($H$1)+1)*10+COLUMN(M$1)-COLUMN($H$1)+1,Beräkningshjälp!$AB$2:$AI$1082,7,FALSE),IF(L58&gt;0,-VLOOKUP((ROW($H57)-ROW($H$1)+1)*10+COLUMN(M$1)-COLUMN($H$1)+1,Beräkningshjälp!$AB$2:$AI$1082,3,FALSE),0)),0),"")</f>
        <v/>
      </c>
      <c r="N58" s="2" t="str">
        <f>IF($E58&lt;&gt;"",IF(AND($E58&lt;&gt;"EJFANGST",$G58&lt;&gt;"INGA"),IF(ISNUMBER(VLOOKUP((ROW($H57)-ROW($H$1)+1)*10+COLUMN(N$1)-COLUMN($H$1)+1,Beräkningshjälp!$AB$2:$AI$1082,7,FALSE)),VLOOKUP((ROW($H57)-ROW($H$1)+1)*10+COLUMN(N$1)-COLUMN($H$1)+1,Beräkningshjälp!$AB$2:$AI$1082,7,FALSE),IF(M58&gt;0,-VLOOKUP((ROW($H57)-ROW($H$1)+1)*10+COLUMN(N$1)-COLUMN($H$1)+1,Beräkningshjälp!$AB$2:$AI$1082,3,FALSE),0)),0),"")</f>
        <v/>
      </c>
      <c r="O58" s="2" t="str">
        <f>IF($E58&lt;&gt;"",IF(AND($E58&lt;&gt;"EJFANGST",$G58&lt;&gt;"INGA"),IF(ISNUMBER(VLOOKUP((ROW($H57)-ROW($H$1)+1)*10+COLUMN(O$1)-COLUMN($H$1)+1,Beräkningshjälp!$AB$2:$AI$1082,7,FALSE)),VLOOKUP((ROW($H57)-ROW($H$1)+1)*10+COLUMN(O$1)-COLUMN($H$1)+1,Beräkningshjälp!$AB$2:$AI$1082,7,FALSE),IF(N58&gt;0,-VLOOKUP((ROW($H57)-ROW($H$1)+1)*10+COLUMN(O$1)-COLUMN($H$1)+1,Beräkningshjälp!$AB$2:$AI$1082,3,FALSE),0)),0),"")</f>
        <v/>
      </c>
      <c r="P58" s="2" t="str">
        <f>IF($E58&lt;&gt;"",IF(AND($E58&lt;&gt;"EJFANGST",$G58&lt;&gt;"INGA"),IF(ISNUMBER(VLOOKUP((ROW($H57)-ROW($H$1)+1)*10+COLUMN(P$1)-COLUMN($H$1)+1,Beräkningshjälp!$AB$2:$AI$1082,7,FALSE)),VLOOKUP((ROW($H57)-ROW($H$1)+1)*10+COLUMN(P$1)-COLUMN($H$1)+1,Beräkningshjälp!$AB$2:$AI$1082,7,FALSE),IF(O58&gt;0,-VLOOKUP((ROW($H57)-ROW($H$1)+1)*10+COLUMN(P$1)-COLUMN($H$1)+1,Beräkningshjälp!$AB$2:$AI$1082,3,FALSE),0)),0),"")</f>
        <v/>
      </c>
      <c r="Q58" s="2" t="str">
        <f>IF($E58&lt;&gt;"",IF(AND($E58&lt;&gt;"EJFANGST",$G58&lt;&gt;"INGA"),IF(ISNUMBER(VLOOKUP((ROW($H57)-ROW($H$1)+1)*10+COLUMN(Q$1)-COLUMN($H$1)+1,Beräkningshjälp!$AB$2:$AI$1082,7,FALSE)),VLOOKUP((ROW($H57)-ROW($H$1)+1)*10+COLUMN(Q$1)-COLUMN($H$1)+1,Beräkningshjälp!$AB$2:$AI$1082,7,FALSE),IF(P58&gt;0,-VLOOKUP((ROW($H57)-ROW($H$1)+1)*10+COLUMN(Q$1)-COLUMN($H$1)+1,Beräkningshjälp!$AB$2:$AI$1082,3,FALSE),0)),0),"")</f>
        <v/>
      </c>
      <c r="R58" s="116" t="str">
        <f>IF(COUNTIF(H58:Q58,"&gt;0")&gt;0,IF($E58&lt;&gt;"",IF(AND($E58&lt;&gt;"EJFANGST",$G58&lt;&gt;"INGA"),IF(ISNUMBER(VLOOKUP((ROW($H57)-ROW($H$1)+1)*10+COLUMN(H$1)-COLUMN($H$1)+1,Beräkningshjälp!$AB$2:$AI$1082,7,FALSE)),VLOOKUP((ROW($H57)-ROW($H$1)+1)*10+COLUMN(H$1)-COLUMN($H$1)+1,Beräkningshjälp!$AB$2:$AI$1082,3,FALSE),""),""),""),"")</f>
        <v/>
      </c>
    </row>
    <row r="59" spans="1:18" x14ac:dyDescent="0.25">
      <c r="A59" s="2" t="str">
        <f t="shared" si="0"/>
        <v/>
      </c>
      <c r="B59" s="2" t="str">
        <f>IF(D59&lt;&gt;"",'DATA TILL SLU'!$J$3,"")</f>
        <v/>
      </c>
      <c r="C59" s="2" t="str">
        <f>IF(D59&lt;&gt;"",'DATA TILL SLU'!$K$3,"")</f>
        <v/>
      </c>
      <c r="D59" s="2" t="str">
        <f>IF(OR(ROW(D58)-ROW(D$1)+1&lt;=MAX(Beräkningshjälp!$F$37:$F$54),ROW(D58)-ROW(D$1)+1&lt;=ROUND((MAX(Beräkningshjälp!AB$3:AB$1082)+4)/10,0)-1),D$2,"")</f>
        <v/>
      </c>
      <c r="E59" s="136" t="str">
        <f>IF(D59&lt;&gt;"",IF(COUNTIF(Beräkningshjälp!F$38:F$49,"&gt;0")&gt;=ROW(E58)-ROW(E$1)+1,VLOOKUP((VLOOKUP(ROW(E58)-ROW(E$1)+1,Beräkningshjälp!$F$37:$H$54,IF(ISNUMBER(VLOOKUP(ROW(E58)-ROW(E$1)+1,Beräkningshjälp!$F$37:$H$54,2,FALSE)),2,3),FALSE)),Beräkningshjälp!$M$2:$O$60,3,FALSE),VLOOKUP((ROW(E58)-ROW(E$1)+1)*10+1,Beräkningshjälp!$AB$2:$AF$1082,5,FALSE)),"")</f>
        <v/>
      </c>
      <c r="F59" s="2" t="str">
        <f>IF(D59&lt;&gt;"",Beräkningshjälp!$AH$1,"")</f>
        <v/>
      </c>
      <c r="G59" s="136" t="str">
        <f>IF(D59&lt;&gt;"",IF(COUNTIF(Beräkningshjälp!F$38:F$49,"&gt;0")&gt;=ROW(E58)-ROW(E$1)+1,"INGA",IF(COUNTIF(Beräkningshjälp!$G$38:$H$49,VLOOKUP(E59,Beräkningshjälp!$AF$2:$AG$1082,2,FALSE))&gt;0,"ENSTAK",IF(VLOOKUP(VLOOKUP(E59,Beräkningshjälp!O$2:U$60,7,FALSE),Artuppgifter!$I$11:$P$22,7,FALSE)=TRUE,"MINMAX","ALLA"))),"")</f>
        <v/>
      </c>
      <c r="H59" s="2" t="str">
        <f>IF($E59&lt;&gt;"",IF(AND($E59&lt;&gt;"EJFANGST",$G59&lt;&gt;"INGA"),IF(ISNUMBER(VLOOKUP((ROW($H58)-ROW($H$1)+1)*10+COLUMN(H$1)-COLUMN($H$1)+1,Beräkningshjälp!$AB$2:$AI$1082,7,FALSE)),VLOOKUP((ROW($H58)-ROW($H$1)+1)*10+COLUMN(H$1)-COLUMN($H$1)+1,Beräkningshjälp!$AB$2:$AI$1082,7,FALSE),IF(E59&gt;0,-VLOOKUP((ROW($H58)-ROW($H$1)+1)*10+COLUMN(H$1)-COLUMN($H$1)+1,Beräkningshjälp!$AB$2:$AI$1082,3,FALSE),0)),0),"")</f>
        <v/>
      </c>
      <c r="I59" s="2" t="str">
        <f>IF($E59&lt;&gt;"",IF(AND($E59&lt;&gt;"EJFANGST",$G59&lt;&gt;"INGA"),IF(ISNUMBER(VLOOKUP((ROW($H58)-ROW($H$1)+1)*10+COLUMN(I$1)-COLUMN($H$1)+1,Beräkningshjälp!$AB$2:$AI$1082,7,FALSE)),VLOOKUP((ROW($H58)-ROW($H$1)+1)*10+COLUMN(I$1)-COLUMN($H$1)+1,Beräkningshjälp!$AB$2:$AI$1082,7,FALSE),IF(H59&gt;0,-VLOOKUP((ROW($H58)-ROW($H$1)+1)*10+COLUMN(I$1)-COLUMN($H$1)+1,Beräkningshjälp!$AB$2:$AI$1082,3,FALSE),0)),0),"")</f>
        <v/>
      </c>
      <c r="J59" s="2" t="str">
        <f>IF($E59&lt;&gt;"",IF(AND($E59&lt;&gt;"EJFANGST",$G59&lt;&gt;"INGA"),IF(ISNUMBER(VLOOKUP((ROW($H58)-ROW($H$1)+1)*10+COLUMN(J$1)-COLUMN($H$1)+1,Beräkningshjälp!$AB$2:$AI$1082,7,FALSE)),VLOOKUP((ROW($H58)-ROW($H$1)+1)*10+COLUMN(J$1)-COLUMN($H$1)+1,Beräkningshjälp!$AB$2:$AI$1082,7,FALSE),IF(I59&gt;0,-VLOOKUP((ROW($H58)-ROW($H$1)+1)*10+COLUMN(J$1)-COLUMN($H$1)+1,Beräkningshjälp!$AB$2:$AI$1082,3,FALSE),0)),0),"")</f>
        <v/>
      </c>
      <c r="K59" s="2" t="str">
        <f>IF($E59&lt;&gt;"",IF(AND($E59&lt;&gt;"EJFANGST",$G59&lt;&gt;"INGA"),IF(ISNUMBER(VLOOKUP((ROW($H58)-ROW($H$1)+1)*10+COLUMN(K$1)-COLUMN($H$1)+1,Beräkningshjälp!$AB$2:$AI$1082,7,FALSE)),VLOOKUP((ROW($H58)-ROW($H$1)+1)*10+COLUMN(K$1)-COLUMN($H$1)+1,Beräkningshjälp!$AB$2:$AI$1082,7,FALSE),IF(J59&gt;0,-VLOOKUP((ROW($H58)-ROW($H$1)+1)*10+COLUMN(K$1)-COLUMN($H$1)+1,Beräkningshjälp!$AB$2:$AI$1082,3,FALSE),0)),0),"")</f>
        <v/>
      </c>
      <c r="L59" s="2" t="str">
        <f>IF($E59&lt;&gt;"",IF(AND($E59&lt;&gt;"EJFANGST",$G59&lt;&gt;"INGA"),IF(ISNUMBER(VLOOKUP((ROW($H58)-ROW($H$1)+1)*10+COLUMN(L$1)-COLUMN($H$1)+1,Beräkningshjälp!$AB$2:$AI$1082,7,FALSE)),VLOOKUP((ROW($H58)-ROW($H$1)+1)*10+COLUMN(L$1)-COLUMN($H$1)+1,Beräkningshjälp!$AB$2:$AI$1082,7,FALSE),IF(K59&gt;0,-VLOOKUP((ROW($H58)-ROW($H$1)+1)*10+COLUMN(L$1)-COLUMN($H$1)+1,Beräkningshjälp!$AB$2:$AI$1082,3,FALSE),0)),0),"")</f>
        <v/>
      </c>
      <c r="M59" s="2" t="str">
        <f>IF($E59&lt;&gt;"",IF(AND($E59&lt;&gt;"EJFANGST",$G59&lt;&gt;"INGA"),IF(ISNUMBER(VLOOKUP((ROW($H58)-ROW($H$1)+1)*10+COLUMN(M$1)-COLUMN($H$1)+1,Beräkningshjälp!$AB$2:$AI$1082,7,FALSE)),VLOOKUP((ROW($H58)-ROW($H$1)+1)*10+COLUMN(M$1)-COLUMN($H$1)+1,Beräkningshjälp!$AB$2:$AI$1082,7,FALSE),IF(L59&gt;0,-VLOOKUP((ROW($H58)-ROW($H$1)+1)*10+COLUMN(M$1)-COLUMN($H$1)+1,Beräkningshjälp!$AB$2:$AI$1082,3,FALSE),0)),0),"")</f>
        <v/>
      </c>
      <c r="N59" s="2" t="str">
        <f>IF($E59&lt;&gt;"",IF(AND($E59&lt;&gt;"EJFANGST",$G59&lt;&gt;"INGA"),IF(ISNUMBER(VLOOKUP((ROW($H58)-ROW($H$1)+1)*10+COLUMN(N$1)-COLUMN($H$1)+1,Beräkningshjälp!$AB$2:$AI$1082,7,FALSE)),VLOOKUP((ROW($H58)-ROW($H$1)+1)*10+COLUMN(N$1)-COLUMN($H$1)+1,Beräkningshjälp!$AB$2:$AI$1082,7,FALSE),IF(M59&gt;0,-VLOOKUP((ROW($H58)-ROW($H$1)+1)*10+COLUMN(N$1)-COLUMN($H$1)+1,Beräkningshjälp!$AB$2:$AI$1082,3,FALSE),0)),0),"")</f>
        <v/>
      </c>
      <c r="O59" s="2" t="str">
        <f>IF($E59&lt;&gt;"",IF(AND($E59&lt;&gt;"EJFANGST",$G59&lt;&gt;"INGA"),IF(ISNUMBER(VLOOKUP((ROW($H58)-ROW($H$1)+1)*10+COLUMN(O$1)-COLUMN($H$1)+1,Beräkningshjälp!$AB$2:$AI$1082,7,FALSE)),VLOOKUP((ROW($H58)-ROW($H$1)+1)*10+COLUMN(O$1)-COLUMN($H$1)+1,Beräkningshjälp!$AB$2:$AI$1082,7,FALSE),IF(N59&gt;0,-VLOOKUP((ROW($H58)-ROW($H$1)+1)*10+COLUMN(O$1)-COLUMN($H$1)+1,Beräkningshjälp!$AB$2:$AI$1082,3,FALSE),0)),0),"")</f>
        <v/>
      </c>
      <c r="P59" s="2" t="str">
        <f>IF($E59&lt;&gt;"",IF(AND($E59&lt;&gt;"EJFANGST",$G59&lt;&gt;"INGA"),IF(ISNUMBER(VLOOKUP((ROW($H58)-ROW($H$1)+1)*10+COLUMN(P$1)-COLUMN($H$1)+1,Beräkningshjälp!$AB$2:$AI$1082,7,FALSE)),VLOOKUP((ROW($H58)-ROW($H$1)+1)*10+COLUMN(P$1)-COLUMN($H$1)+1,Beräkningshjälp!$AB$2:$AI$1082,7,FALSE),IF(O59&gt;0,-VLOOKUP((ROW($H58)-ROW($H$1)+1)*10+COLUMN(P$1)-COLUMN($H$1)+1,Beräkningshjälp!$AB$2:$AI$1082,3,FALSE),0)),0),"")</f>
        <v/>
      </c>
      <c r="Q59" s="2" t="str">
        <f>IF($E59&lt;&gt;"",IF(AND($E59&lt;&gt;"EJFANGST",$G59&lt;&gt;"INGA"),IF(ISNUMBER(VLOOKUP((ROW($H58)-ROW($H$1)+1)*10+COLUMN(Q$1)-COLUMN($H$1)+1,Beräkningshjälp!$AB$2:$AI$1082,7,FALSE)),VLOOKUP((ROW($H58)-ROW($H$1)+1)*10+COLUMN(Q$1)-COLUMN($H$1)+1,Beräkningshjälp!$AB$2:$AI$1082,7,FALSE),IF(P59&gt;0,-VLOOKUP((ROW($H58)-ROW($H$1)+1)*10+COLUMN(Q$1)-COLUMN($H$1)+1,Beräkningshjälp!$AB$2:$AI$1082,3,FALSE),0)),0),"")</f>
        <v/>
      </c>
      <c r="R59" s="116" t="str">
        <f>IF(COUNTIF(H59:Q59,"&gt;0")&gt;0,IF($E59&lt;&gt;"",IF(AND($E59&lt;&gt;"EJFANGST",$G59&lt;&gt;"INGA"),IF(ISNUMBER(VLOOKUP((ROW($H58)-ROW($H$1)+1)*10+COLUMN(H$1)-COLUMN($H$1)+1,Beräkningshjälp!$AB$2:$AI$1082,7,FALSE)),VLOOKUP((ROW($H58)-ROW($H$1)+1)*10+COLUMN(H$1)-COLUMN($H$1)+1,Beräkningshjälp!$AB$2:$AI$1082,3,FALSE),""),""),""),"")</f>
        <v/>
      </c>
    </row>
    <row r="60" spans="1:18" x14ac:dyDescent="0.25">
      <c r="A60" s="2" t="str">
        <f t="shared" si="0"/>
        <v/>
      </c>
      <c r="B60" s="2" t="str">
        <f>IF(D60&lt;&gt;"",'DATA TILL SLU'!$J$3,"")</f>
        <v/>
      </c>
      <c r="C60" s="2" t="str">
        <f>IF(D60&lt;&gt;"",'DATA TILL SLU'!$K$3,"")</f>
        <v/>
      </c>
      <c r="D60" s="2" t="str">
        <f>IF(OR(ROW(D59)-ROW(D$1)+1&lt;=MAX(Beräkningshjälp!$F$37:$F$54),ROW(D59)-ROW(D$1)+1&lt;=ROUND((MAX(Beräkningshjälp!AB$3:AB$1082)+4)/10,0)-1),D$2,"")</f>
        <v/>
      </c>
      <c r="E60" s="136" t="str">
        <f>IF(D60&lt;&gt;"",IF(COUNTIF(Beräkningshjälp!F$38:F$49,"&gt;0")&gt;=ROW(E59)-ROW(E$1)+1,VLOOKUP((VLOOKUP(ROW(E59)-ROW(E$1)+1,Beräkningshjälp!$F$37:$H$54,IF(ISNUMBER(VLOOKUP(ROW(E59)-ROW(E$1)+1,Beräkningshjälp!$F$37:$H$54,2,FALSE)),2,3),FALSE)),Beräkningshjälp!$M$2:$O$60,3,FALSE),VLOOKUP((ROW(E59)-ROW(E$1)+1)*10+1,Beräkningshjälp!$AB$2:$AF$1082,5,FALSE)),"")</f>
        <v/>
      </c>
      <c r="F60" s="2" t="str">
        <f>IF(D60&lt;&gt;"",Beräkningshjälp!$AH$1,"")</f>
        <v/>
      </c>
      <c r="G60" s="136" t="str">
        <f>IF(D60&lt;&gt;"",IF(COUNTIF(Beräkningshjälp!F$38:F$49,"&gt;0")&gt;=ROW(E59)-ROW(E$1)+1,"INGA",IF(COUNTIF(Beräkningshjälp!$G$38:$H$49,VLOOKUP(E60,Beräkningshjälp!$AF$2:$AG$1082,2,FALSE))&gt;0,"ENSTAK",IF(VLOOKUP(VLOOKUP(E60,Beräkningshjälp!O$2:U$60,7,FALSE),Artuppgifter!$I$11:$P$22,7,FALSE)=TRUE,"MINMAX","ALLA"))),"")</f>
        <v/>
      </c>
      <c r="H60" s="2" t="str">
        <f>IF($E60&lt;&gt;"",IF(AND($E60&lt;&gt;"EJFANGST",$G60&lt;&gt;"INGA"),IF(ISNUMBER(VLOOKUP((ROW($H59)-ROW($H$1)+1)*10+COLUMN(H$1)-COLUMN($H$1)+1,Beräkningshjälp!$AB$2:$AI$1082,7,FALSE)),VLOOKUP((ROW($H59)-ROW($H$1)+1)*10+COLUMN(H$1)-COLUMN($H$1)+1,Beräkningshjälp!$AB$2:$AI$1082,7,FALSE),IF(E60&gt;0,-VLOOKUP((ROW($H59)-ROW($H$1)+1)*10+COLUMN(H$1)-COLUMN($H$1)+1,Beräkningshjälp!$AB$2:$AI$1082,3,FALSE),0)),0),"")</f>
        <v/>
      </c>
      <c r="I60" s="2" t="str">
        <f>IF($E60&lt;&gt;"",IF(AND($E60&lt;&gt;"EJFANGST",$G60&lt;&gt;"INGA"),IF(ISNUMBER(VLOOKUP((ROW($H59)-ROW($H$1)+1)*10+COLUMN(I$1)-COLUMN($H$1)+1,Beräkningshjälp!$AB$2:$AI$1082,7,FALSE)),VLOOKUP((ROW($H59)-ROW($H$1)+1)*10+COLUMN(I$1)-COLUMN($H$1)+1,Beräkningshjälp!$AB$2:$AI$1082,7,FALSE),IF(H60&gt;0,-VLOOKUP((ROW($H59)-ROW($H$1)+1)*10+COLUMN(I$1)-COLUMN($H$1)+1,Beräkningshjälp!$AB$2:$AI$1082,3,FALSE),0)),0),"")</f>
        <v/>
      </c>
      <c r="J60" s="2" t="str">
        <f>IF($E60&lt;&gt;"",IF(AND($E60&lt;&gt;"EJFANGST",$G60&lt;&gt;"INGA"),IF(ISNUMBER(VLOOKUP((ROW($H59)-ROW($H$1)+1)*10+COLUMN(J$1)-COLUMN($H$1)+1,Beräkningshjälp!$AB$2:$AI$1082,7,FALSE)),VLOOKUP((ROW($H59)-ROW($H$1)+1)*10+COLUMN(J$1)-COLUMN($H$1)+1,Beräkningshjälp!$AB$2:$AI$1082,7,FALSE),IF(I60&gt;0,-VLOOKUP((ROW($H59)-ROW($H$1)+1)*10+COLUMN(J$1)-COLUMN($H$1)+1,Beräkningshjälp!$AB$2:$AI$1082,3,FALSE),0)),0),"")</f>
        <v/>
      </c>
      <c r="K60" s="2" t="str">
        <f>IF($E60&lt;&gt;"",IF(AND($E60&lt;&gt;"EJFANGST",$G60&lt;&gt;"INGA"),IF(ISNUMBER(VLOOKUP((ROW($H59)-ROW($H$1)+1)*10+COLUMN(K$1)-COLUMN($H$1)+1,Beräkningshjälp!$AB$2:$AI$1082,7,FALSE)),VLOOKUP((ROW($H59)-ROW($H$1)+1)*10+COLUMN(K$1)-COLUMN($H$1)+1,Beräkningshjälp!$AB$2:$AI$1082,7,FALSE),IF(J60&gt;0,-VLOOKUP((ROW($H59)-ROW($H$1)+1)*10+COLUMN(K$1)-COLUMN($H$1)+1,Beräkningshjälp!$AB$2:$AI$1082,3,FALSE),0)),0),"")</f>
        <v/>
      </c>
      <c r="L60" s="2" t="str">
        <f>IF($E60&lt;&gt;"",IF(AND($E60&lt;&gt;"EJFANGST",$G60&lt;&gt;"INGA"),IF(ISNUMBER(VLOOKUP((ROW($H59)-ROW($H$1)+1)*10+COLUMN(L$1)-COLUMN($H$1)+1,Beräkningshjälp!$AB$2:$AI$1082,7,FALSE)),VLOOKUP((ROW($H59)-ROW($H$1)+1)*10+COLUMN(L$1)-COLUMN($H$1)+1,Beräkningshjälp!$AB$2:$AI$1082,7,FALSE),IF(K60&gt;0,-VLOOKUP((ROW($H59)-ROW($H$1)+1)*10+COLUMN(L$1)-COLUMN($H$1)+1,Beräkningshjälp!$AB$2:$AI$1082,3,FALSE),0)),0),"")</f>
        <v/>
      </c>
      <c r="M60" s="2" t="str">
        <f>IF($E60&lt;&gt;"",IF(AND($E60&lt;&gt;"EJFANGST",$G60&lt;&gt;"INGA"),IF(ISNUMBER(VLOOKUP((ROW($H59)-ROW($H$1)+1)*10+COLUMN(M$1)-COLUMN($H$1)+1,Beräkningshjälp!$AB$2:$AI$1082,7,FALSE)),VLOOKUP((ROW($H59)-ROW($H$1)+1)*10+COLUMN(M$1)-COLUMN($H$1)+1,Beräkningshjälp!$AB$2:$AI$1082,7,FALSE),IF(L60&gt;0,-VLOOKUP((ROW($H59)-ROW($H$1)+1)*10+COLUMN(M$1)-COLUMN($H$1)+1,Beräkningshjälp!$AB$2:$AI$1082,3,FALSE),0)),0),"")</f>
        <v/>
      </c>
      <c r="N60" s="2" t="str">
        <f>IF($E60&lt;&gt;"",IF(AND($E60&lt;&gt;"EJFANGST",$G60&lt;&gt;"INGA"),IF(ISNUMBER(VLOOKUP((ROW($H59)-ROW($H$1)+1)*10+COLUMN(N$1)-COLUMN($H$1)+1,Beräkningshjälp!$AB$2:$AI$1082,7,FALSE)),VLOOKUP((ROW($H59)-ROW($H$1)+1)*10+COLUMN(N$1)-COLUMN($H$1)+1,Beräkningshjälp!$AB$2:$AI$1082,7,FALSE),IF(M60&gt;0,-VLOOKUP((ROW($H59)-ROW($H$1)+1)*10+COLUMN(N$1)-COLUMN($H$1)+1,Beräkningshjälp!$AB$2:$AI$1082,3,FALSE),0)),0),"")</f>
        <v/>
      </c>
      <c r="O60" s="2" t="str">
        <f>IF($E60&lt;&gt;"",IF(AND($E60&lt;&gt;"EJFANGST",$G60&lt;&gt;"INGA"),IF(ISNUMBER(VLOOKUP((ROW($H59)-ROW($H$1)+1)*10+COLUMN(O$1)-COLUMN($H$1)+1,Beräkningshjälp!$AB$2:$AI$1082,7,FALSE)),VLOOKUP((ROW($H59)-ROW($H$1)+1)*10+COLUMN(O$1)-COLUMN($H$1)+1,Beräkningshjälp!$AB$2:$AI$1082,7,FALSE),IF(N60&gt;0,-VLOOKUP((ROW($H59)-ROW($H$1)+1)*10+COLUMN(O$1)-COLUMN($H$1)+1,Beräkningshjälp!$AB$2:$AI$1082,3,FALSE),0)),0),"")</f>
        <v/>
      </c>
      <c r="P60" s="2" t="str">
        <f>IF($E60&lt;&gt;"",IF(AND($E60&lt;&gt;"EJFANGST",$G60&lt;&gt;"INGA"),IF(ISNUMBER(VLOOKUP((ROW($H59)-ROW($H$1)+1)*10+COLUMN(P$1)-COLUMN($H$1)+1,Beräkningshjälp!$AB$2:$AI$1082,7,FALSE)),VLOOKUP((ROW($H59)-ROW($H$1)+1)*10+COLUMN(P$1)-COLUMN($H$1)+1,Beräkningshjälp!$AB$2:$AI$1082,7,FALSE),IF(O60&gt;0,-VLOOKUP((ROW($H59)-ROW($H$1)+1)*10+COLUMN(P$1)-COLUMN($H$1)+1,Beräkningshjälp!$AB$2:$AI$1082,3,FALSE),0)),0),"")</f>
        <v/>
      </c>
      <c r="Q60" s="2" t="str">
        <f>IF($E60&lt;&gt;"",IF(AND($E60&lt;&gt;"EJFANGST",$G60&lt;&gt;"INGA"),IF(ISNUMBER(VLOOKUP((ROW($H59)-ROW($H$1)+1)*10+COLUMN(Q$1)-COLUMN($H$1)+1,Beräkningshjälp!$AB$2:$AI$1082,7,FALSE)),VLOOKUP((ROW($H59)-ROW($H$1)+1)*10+COLUMN(Q$1)-COLUMN($H$1)+1,Beräkningshjälp!$AB$2:$AI$1082,7,FALSE),IF(P60&gt;0,-VLOOKUP((ROW($H59)-ROW($H$1)+1)*10+COLUMN(Q$1)-COLUMN($H$1)+1,Beräkningshjälp!$AB$2:$AI$1082,3,FALSE),0)),0),"")</f>
        <v/>
      </c>
      <c r="R60" s="116" t="str">
        <f>IF(COUNTIF(H60:Q60,"&gt;0")&gt;0,IF($E60&lt;&gt;"",IF(AND($E60&lt;&gt;"EJFANGST",$G60&lt;&gt;"INGA"),IF(ISNUMBER(VLOOKUP((ROW($H59)-ROW($H$1)+1)*10+COLUMN(H$1)-COLUMN($H$1)+1,Beräkningshjälp!$AB$2:$AI$1082,7,FALSE)),VLOOKUP((ROW($H59)-ROW($H$1)+1)*10+COLUMN(H$1)-COLUMN($H$1)+1,Beräkningshjälp!$AB$2:$AI$1082,3,FALSE),""),""),""),"")</f>
        <v/>
      </c>
    </row>
    <row r="61" spans="1:18" x14ac:dyDescent="0.25">
      <c r="A61" s="2" t="str">
        <f t="shared" si="0"/>
        <v/>
      </c>
      <c r="B61" s="2" t="str">
        <f>IF(D61&lt;&gt;"",'DATA TILL SLU'!$J$3,"")</f>
        <v/>
      </c>
      <c r="C61" s="2" t="str">
        <f>IF(D61&lt;&gt;"",'DATA TILL SLU'!$K$3,"")</f>
        <v/>
      </c>
      <c r="D61" s="2" t="str">
        <f>IF(OR(ROW(D60)-ROW(D$1)+1&lt;=MAX(Beräkningshjälp!$F$37:$F$54),ROW(D60)-ROW(D$1)+1&lt;=ROUND((MAX(Beräkningshjälp!AB$3:AB$1082)+4)/10,0)-1),D$2,"")</f>
        <v/>
      </c>
      <c r="E61" s="136" t="str">
        <f>IF(D61&lt;&gt;"",IF(COUNTIF(Beräkningshjälp!F$38:F$49,"&gt;0")&gt;=ROW(E60)-ROW(E$1)+1,VLOOKUP((VLOOKUP(ROW(E60)-ROW(E$1)+1,Beräkningshjälp!$F$37:$H$54,IF(ISNUMBER(VLOOKUP(ROW(E60)-ROW(E$1)+1,Beräkningshjälp!$F$37:$H$54,2,FALSE)),2,3),FALSE)),Beräkningshjälp!$M$2:$O$60,3,FALSE),VLOOKUP((ROW(E60)-ROW(E$1)+1)*10+1,Beräkningshjälp!$AB$2:$AF$1082,5,FALSE)),"")</f>
        <v/>
      </c>
      <c r="F61" s="2" t="str">
        <f>IF(D61&lt;&gt;"",Beräkningshjälp!$AH$1,"")</f>
        <v/>
      </c>
      <c r="G61" s="136" t="str">
        <f>IF(D61&lt;&gt;"",IF(COUNTIF(Beräkningshjälp!F$38:F$49,"&gt;0")&gt;=ROW(E60)-ROW(E$1)+1,"INGA",IF(COUNTIF(Beräkningshjälp!$G$38:$H$49,VLOOKUP(E61,Beräkningshjälp!$AF$2:$AG$1082,2,FALSE))&gt;0,"ENSTAK",IF(VLOOKUP(VLOOKUP(E61,Beräkningshjälp!O$2:U$60,7,FALSE),Artuppgifter!$I$11:$P$22,7,FALSE)=TRUE,"MINMAX","ALLA"))),"")</f>
        <v/>
      </c>
      <c r="H61" s="2" t="str">
        <f>IF($E61&lt;&gt;"",IF(AND($E61&lt;&gt;"EJFANGST",$G61&lt;&gt;"INGA"),IF(ISNUMBER(VLOOKUP((ROW($H60)-ROW($H$1)+1)*10+COLUMN(H$1)-COLUMN($H$1)+1,Beräkningshjälp!$AB$2:$AI$1082,7,FALSE)),VLOOKUP((ROW($H60)-ROW($H$1)+1)*10+COLUMN(H$1)-COLUMN($H$1)+1,Beräkningshjälp!$AB$2:$AI$1082,7,FALSE),IF(E61&gt;0,-VLOOKUP((ROW($H60)-ROW($H$1)+1)*10+COLUMN(H$1)-COLUMN($H$1)+1,Beräkningshjälp!$AB$2:$AI$1082,3,FALSE),0)),0),"")</f>
        <v/>
      </c>
      <c r="I61" s="2" t="str">
        <f>IF($E61&lt;&gt;"",IF(AND($E61&lt;&gt;"EJFANGST",$G61&lt;&gt;"INGA"),IF(ISNUMBER(VLOOKUP((ROW($H60)-ROW($H$1)+1)*10+COLUMN(I$1)-COLUMN($H$1)+1,Beräkningshjälp!$AB$2:$AI$1082,7,FALSE)),VLOOKUP((ROW($H60)-ROW($H$1)+1)*10+COLUMN(I$1)-COLUMN($H$1)+1,Beräkningshjälp!$AB$2:$AI$1082,7,FALSE),IF(H61&gt;0,-VLOOKUP((ROW($H60)-ROW($H$1)+1)*10+COLUMN(I$1)-COLUMN($H$1)+1,Beräkningshjälp!$AB$2:$AI$1082,3,FALSE),0)),0),"")</f>
        <v/>
      </c>
      <c r="J61" s="2" t="str">
        <f>IF($E61&lt;&gt;"",IF(AND($E61&lt;&gt;"EJFANGST",$G61&lt;&gt;"INGA"),IF(ISNUMBER(VLOOKUP((ROW($H60)-ROW($H$1)+1)*10+COLUMN(J$1)-COLUMN($H$1)+1,Beräkningshjälp!$AB$2:$AI$1082,7,FALSE)),VLOOKUP((ROW($H60)-ROW($H$1)+1)*10+COLUMN(J$1)-COLUMN($H$1)+1,Beräkningshjälp!$AB$2:$AI$1082,7,FALSE),IF(I61&gt;0,-VLOOKUP((ROW($H60)-ROW($H$1)+1)*10+COLUMN(J$1)-COLUMN($H$1)+1,Beräkningshjälp!$AB$2:$AI$1082,3,FALSE),0)),0),"")</f>
        <v/>
      </c>
      <c r="K61" s="2" t="str">
        <f>IF($E61&lt;&gt;"",IF(AND($E61&lt;&gt;"EJFANGST",$G61&lt;&gt;"INGA"),IF(ISNUMBER(VLOOKUP((ROW($H60)-ROW($H$1)+1)*10+COLUMN(K$1)-COLUMN($H$1)+1,Beräkningshjälp!$AB$2:$AI$1082,7,FALSE)),VLOOKUP((ROW($H60)-ROW($H$1)+1)*10+COLUMN(K$1)-COLUMN($H$1)+1,Beräkningshjälp!$AB$2:$AI$1082,7,FALSE),IF(J61&gt;0,-VLOOKUP((ROW($H60)-ROW($H$1)+1)*10+COLUMN(K$1)-COLUMN($H$1)+1,Beräkningshjälp!$AB$2:$AI$1082,3,FALSE),0)),0),"")</f>
        <v/>
      </c>
      <c r="L61" s="2" t="str">
        <f>IF($E61&lt;&gt;"",IF(AND($E61&lt;&gt;"EJFANGST",$G61&lt;&gt;"INGA"),IF(ISNUMBER(VLOOKUP((ROW($H60)-ROW($H$1)+1)*10+COLUMN(L$1)-COLUMN($H$1)+1,Beräkningshjälp!$AB$2:$AI$1082,7,FALSE)),VLOOKUP((ROW($H60)-ROW($H$1)+1)*10+COLUMN(L$1)-COLUMN($H$1)+1,Beräkningshjälp!$AB$2:$AI$1082,7,FALSE),IF(K61&gt;0,-VLOOKUP((ROW($H60)-ROW($H$1)+1)*10+COLUMN(L$1)-COLUMN($H$1)+1,Beräkningshjälp!$AB$2:$AI$1082,3,FALSE),0)),0),"")</f>
        <v/>
      </c>
      <c r="M61" s="2" t="str">
        <f>IF($E61&lt;&gt;"",IF(AND($E61&lt;&gt;"EJFANGST",$G61&lt;&gt;"INGA"),IF(ISNUMBER(VLOOKUP((ROW($H60)-ROW($H$1)+1)*10+COLUMN(M$1)-COLUMN($H$1)+1,Beräkningshjälp!$AB$2:$AI$1082,7,FALSE)),VLOOKUP((ROW($H60)-ROW($H$1)+1)*10+COLUMN(M$1)-COLUMN($H$1)+1,Beräkningshjälp!$AB$2:$AI$1082,7,FALSE),IF(L61&gt;0,-VLOOKUP((ROW($H60)-ROW($H$1)+1)*10+COLUMN(M$1)-COLUMN($H$1)+1,Beräkningshjälp!$AB$2:$AI$1082,3,FALSE),0)),0),"")</f>
        <v/>
      </c>
      <c r="N61" s="2" t="str">
        <f>IF($E61&lt;&gt;"",IF(AND($E61&lt;&gt;"EJFANGST",$G61&lt;&gt;"INGA"),IF(ISNUMBER(VLOOKUP((ROW($H60)-ROW($H$1)+1)*10+COLUMN(N$1)-COLUMN($H$1)+1,Beräkningshjälp!$AB$2:$AI$1082,7,FALSE)),VLOOKUP((ROW($H60)-ROW($H$1)+1)*10+COLUMN(N$1)-COLUMN($H$1)+1,Beräkningshjälp!$AB$2:$AI$1082,7,FALSE),IF(M61&gt;0,-VLOOKUP((ROW($H60)-ROW($H$1)+1)*10+COLUMN(N$1)-COLUMN($H$1)+1,Beräkningshjälp!$AB$2:$AI$1082,3,FALSE),0)),0),"")</f>
        <v/>
      </c>
      <c r="O61" s="2" t="str">
        <f>IF($E61&lt;&gt;"",IF(AND($E61&lt;&gt;"EJFANGST",$G61&lt;&gt;"INGA"),IF(ISNUMBER(VLOOKUP((ROW($H60)-ROW($H$1)+1)*10+COLUMN(O$1)-COLUMN($H$1)+1,Beräkningshjälp!$AB$2:$AI$1082,7,FALSE)),VLOOKUP((ROW($H60)-ROW($H$1)+1)*10+COLUMN(O$1)-COLUMN($H$1)+1,Beräkningshjälp!$AB$2:$AI$1082,7,FALSE),IF(N61&gt;0,-VLOOKUP((ROW($H60)-ROW($H$1)+1)*10+COLUMN(O$1)-COLUMN($H$1)+1,Beräkningshjälp!$AB$2:$AI$1082,3,FALSE),0)),0),"")</f>
        <v/>
      </c>
      <c r="P61" s="2" t="str">
        <f>IF($E61&lt;&gt;"",IF(AND($E61&lt;&gt;"EJFANGST",$G61&lt;&gt;"INGA"),IF(ISNUMBER(VLOOKUP((ROW($H60)-ROW($H$1)+1)*10+COLUMN(P$1)-COLUMN($H$1)+1,Beräkningshjälp!$AB$2:$AI$1082,7,FALSE)),VLOOKUP((ROW($H60)-ROW($H$1)+1)*10+COLUMN(P$1)-COLUMN($H$1)+1,Beräkningshjälp!$AB$2:$AI$1082,7,FALSE),IF(O61&gt;0,-VLOOKUP((ROW($H60)-ROW($H$1)+1)*10+COLUMN(P$1)-COLUMN($H$1)+1,Beräkningshjälp!$AB$2:$AI$1082,3,FALSE),0)),0),"")</f>
        <v/>
      </c>
      <c r="Q61" s="2" t="str">
        <f>IF($E61&lt;&gt;"",IF(AND($E61&lt;&gt;"EJFANGST",$G61&lt;&gt;"INGA"),IF(ISNUMBER(VLOOKUP((ROW($H60)-ROW($H$1)+1)*10+COLUMN(Q$1)-COLUMN($H$1)+1,Beräkningshjälp!$AB$2:$AI$1082,7,FALSE)),VLOOKUP((ROW($H60)-ROW($H$1)+1)*10+COLUMN(Q$1)-COLUMN($H$1)+1,Beräkningshjälp!$AB$2:$AI$1082,7,FALSE),IF(P61&gt;0,-VLOOKUP((ROW($H60)-ROW($H$1)+1)*10+COLUMN(Q$1)-COLUMN($H$1)+1,Beräkningshjälp!$AB$2:$AI$1082,3,FALSE),0)),0),"")</f>
        <v/>
      </c>
      <c r="R61" s="116" t="str">
        <f>IF(COUNTIF(H61:Q61,"&gt;0")&gt;0,IF($E61&lt;&gt;"",IF(AND($E61&lt;&gt;"EJFANGST",$G61&lt;&gt;"INGA"),IF(ISNUMBER(VLOOKUP((ROW($H60)-ROW($H$1)+1)*10+COLUMN(H$1)-COLUMN($H$1)+1,Beräkningshjälp!$AB$2:$AI$1082,7,FALSE)),VLOOKUP((ROW($H60)-ROW($H$1)+1)*10+COLUMN(H$1)-COLUMN($H$1)+1,Beräkningshjälp!$AB$2:$AI$1082,3,FALSE),""),""),""),"")</f>
        <v/>
      </c>
    </row>
    <row r="62" spans="1:18" x14ac:dyDescent="0.25">
      <c r="A62" s="2" t="str">
        <f t="shared" si="0"/>
        <v/>
      </c>
      <c r="B62" s="2" t="str">
        <f>IF(D62&lt;&gt;"",'DATA TILL SLU'!$J$3,"")</f>
        <v/>
      </c>
      <c r="C62" s="2" t="str">
        <f>IF(D62&lt;&gt;"",'DATA TILL SLU'!$K$3,"")</f>
        <v/>
      </c>
      <c r="D62" s="2" t="str">
        <f>IF(OR(ROW(D61)-ROW(D$1)+1&lt;=MAX(Beräkningshjälp!$F$37:$F$54),ROW(D61)-ROW(D$1)+1&lt;=ROUND((MAX(Beräkningshjälp!AB$3:AB$1082)+4)/10,0)-1),D$2,"")</f>
        <v/>
      </c>
      <c r="E62" s="136" t="str">
        <f>IF(D62&lt;&gt;"",IF(COUNTIF(Beräkningshjälp!F$38:F$49,"&gt;0")&gt;=ROW(E61)-ROW(E$1)+1,VLOOKUP((VLOOKUP(ROW(E61)-ROW(E$1)+1,Beräkningshjälp!$F$37:$H$54,IF(ISNUMBER(VLOOKUP(ROW(E61)-ROW(E$1)+1,Beräkningshjälp!$F$37:$H$54,2,FALSE)),2,3),FALSE)),Beräkningshjälp!$M$2:$O$60,3,FALSE),VLOOKUP((ROW(E61)-ROW(E$1)+1)*10+1,Beräkningshjälp!$AB$2:$AF$1082,5,FALSE)),"")</f>
        <v/>
      </c>
      <c r="F62" s="2" t="str">
        <f>IF(D62&lt;&gt;"",Beräkningshjälp!$AH$1,"")</f>
        <v/>
      </c>
      <c r="G62" s="136" t="str">
        <f>IF(D62&lt;&gt;"",IF(COUNTIF(Beräkningshjälp!F$38:F$49,"&gt;0")&gt;=ROW(E61)-ROW(E$1)+1,"INGA",IF(COUNTIF(Beräkningshjälp!$G$38:$H$49,VLOOKUP(E62,Beräkningshjälp!$AF$2:$AG$1082,2,FALSE))&gt;0,"ENSTAK",IF(VLOOKUP(VLOOKUP(E62,Beräkningshjälp!O$2:U$60,7,FALSE),Artuppgifter!$I$11:$P$22,7,FALSE)=TRUE,"MINMAX","ALLA"))),"")</f>
        <v/>
      </c>
      <c r="H62" s="2" t="str">
        <f>IF($E62&lt;&gt;"",IF(AND($E62&lt;&gt;"EJFANGST",$G62&lt;&gt;"INGA"),IF(ISNUMBER(VLOOKUP((ROW($H61)-ROW($H$1)+1)*10+COLUMN(H$1)-COLUMN($H$1)+1,Beräkningshjälp!$AB$2:$AI$1082,7,FALSE)),VLOOKUP((ROW($H61)-ROW($H$1)+1)*10+COLUMN(H$1)-COLUMN($H$1)+1,Beräkningshjälp!$AB$2:$AI$1082,7,FALSE),IF(E62&gt;0,-VLOOKUP((ROW($H61)-ROW($H$1)+1)*10+COLUMN(H$1)-COLUMN($H$1)+1,Beräkningshjälp!$AB$2:$AI$1082,3,FALSE),0)),0),"")</f>
        <v/>
      </c>
      <c r="I62" s="2" t="str">
        <f>IF($E62&lt;&gt;"",IF(AND($E62&lt;&gt;"EJFANGST",$G62&lt;&gt;"INGA"),IF(ISNUMBER(VLOOKUP((ROW($H61)-ROW($H$1)+1)*10+COLUMN(I$1)-COLUMN($H$1)+1,Beräkningshjälp!$AB$2:$AI$1082,7,FALSE)),VLOOKUP((ROW($H61)-ROW($H$1)+1)*10+COLUMN(I$1)-COLUMN($H$1)+1,Beräkningshjälp!$AB$2:$AI$1082,7,FALSE),IF(H62&gt;0,-VLOOKUP((ROW($H61)-ROW($H$1)+1)*10+COLUMN(I$1)-COLUMN($H$1)+1,Beräkningshjälp!$AB$2:$AI$1082,3,FALSE),0)),0),"")</f>
        <v/>
      </c>
      <c r="J62" s="2" t="str">
        <f>IF($E62&lt;&gt;"",IF(AND($E62&lt;&gt;"EJFANGST",$G62&lt;&gt;"INGA"),IF(ISNUMBER(VLOOKUP((ROW($H61)-ROW($H$1)+1)*10+COLUMN(J$1)-COLUMN($H$1)+1,Beräkningshjälp!$AB$2:$AI$1082,7,FALSE)),VLOOKUP((ROW($H61)-ROW($H$1)+1)*10+COLUMN(J$1)-COLUMN($H$1)+1,Beräkningshjälp!$AB$2:$AI$1082,7,FALSE),IF(I62&gt;0,-VLOOKUP((ROW($H61)-ROW($H$1)+1)*10+COLUMN(J$1)-COLUMN($H$1)+1,Beräkningshjälp!$AB$2:$AI$1082,3,FALSE),0)),0),"")</f>
        <v/>
      </c>
      <c r="K62" s="2" t="str">
        <f>IF($E62&lt;&gt;"",IF(AND($E62&lt;&gt;"EJFANGST",$G62&lt;&gt;"INGA"),IF(ISNUMBER(VLOOKUP((ROW($H61)-ROW($H$1)+1)*10+COLUMN(K$1)-COLUMN($H$1)+1,Beräkningshjälp!$AB$2:$AI$1082,7,FALSE)),VLOOKUP((ROW($H61)-ROW($H$1)+1)*10+COLUMN(K$1)-COLUMN($H$1)+1,Beräkningshjälp!$AB$2:$AI$1082,7,FALSE),IF(J62&gt;0,-VLOOKUP((ROW($H61)-ROW($H$1)+1)*10+COLUMN(K$1)-COLUMN($H$1)+1,Beräkningshjälp!$AB$2:$AI$1082,3,FALSE),0)),0),"")</f>
        <v/>
      </c>
      <c r="L62" s="2" t="str">
        <f>IF($E62&lt;&gt;"",IF(AND($E62&lt;&gt;"EJFANGST",$G62&lt;&gt;"INGA"),IF(ISNUMBER(VLOOKUP((ROW($H61)-ROW($H$1)+1)*10+COLUMN(L$1)-COLUMN($H$1)+1,Beräkningshjälp!$AB$2:$AI$1082,7,FALSE)),VLOOKUP((ROW($H61)-ROW($H$1)+1)*10+COLUMN(L$1)-COLUMN($H$1)+1,Beräkningshjälp!$AB$2:$AI$1082,7,FALSE),IF(K62&gt;0,-VLOOKUP((ROW($H61)-ROW($H$1)+1)*10+COLUMN(L$1)-COLUMN($H$1)+1,Beräkningshjälp!$AB$2:$AI$1082,3,FALSE),0)),0),"")</f>
        <v/>
      </c>
      <c r="M62" s="2" t="str">
        <f>IF($E62&lt;&gt;"",IF(AND($E62&lt;&gt;"EJFANGST",$G62&lt;&gt;"INGA"),IF(ISNUMBER(VLOOKUP((ROW($H61)-ROW($H$1)+1)*10+COLUMN(M$1)-COLUMN($H$1)+1,Beräkningshjälp!$AB$2:$AI$1082,7,FALSE)),VLOOKUP((ROW($H61)-ROW($H$1)+1)*10+COLUMN(M$1)-COLUMN($H$1)+1,Beräkningshjälp!$AB$2:$AI$1082,7,FALSE),IF(L62&gt;0,-VLOOKUP((ROW($H61)-ROW($H$1)+1)*10+COLUMN(M$1)-COLUMN($H$1)+1,Beräkningshjälp!$AB$2:$AI$1082,3,FALSE),0)),0),"")</f>
        <v/>
      </c>
      <c r="N62" s="2" t="str">
        <f>IF($E62&lt;&gt;"",IF(AND($E62&lt;&gt;"EJFANGST",$G62&lt;&gt;"INGA"),IF(ISNUMBER(VLOOKUP((ROW($H61)-ROW($H$1)+1)*10+COLUMN(N$1)-COLUMN($H$1)+1,Beräkningshjälp!$AB$2:$AI$1082,7,FALSE)),VLOOKUP((ROW($H61)-ROW($H$1)+1)*10+COLUMN(N$1)-COLUMN($H$1)+1,Beräkningshjälp!$AB$2:$AI$1082,7,FALSE),IF(M62&gt;0,-VLOOKUP((ROW($H61)-ROW($H$1)+1)*10+COLUMN(N$1)-COLUMN($H$1)+1,Beräkningshjälp!$AB$2:$AI$1082,3,FALSE),0)),0),"")</f>
        <v/>
      </c>
      <c r="O62" s="2" t="str">
        <f>IF($E62&lt;&gt;"",IF(AND($E62&lt;&gt;"EJFANGST",$G62&lt;&gt;"INGA"),IF(ISNUMBER(VLOOKUP((ROW($H61)-ROW($H$1)+1)*10+COLUMN(O$1)-COLUMN($H$1)+1,Beräkningshjälp!$AB$2:$AI$1082,7,FALSE)),VLOOKUP((ROW($H61)-ROW($H$1)+1)*10+COLUMN(O$1)-COLUMN($H$1)+1,Beräkningshjälp!$AB$2:$AI$1082,7,FALSE),IF(N62&gt;0,-VLOOKUP((ROW($H61)-ROW($H$1)+1)*10+COLUMN(O$1)-COLUMN($H$1)+1,Beräkningshjälp!$AB$2:$AI$1082,3,FALSE),0)),0),"")</f>
        <v/>
      </c>
      <c r="P62" s="2" t="str">
        <f>IF($E62&lt;&gt;"",IF(AND($E62&lt;&gt;"EJFANGST",$G62&lt;&gt;"INGA"),IF(ISNUMBER(VLOOKUP((ROW($H61)-ROW($H$1)+1)*10+COLUMN(P$1)-COLUMN($H$1)+1,Beräkningshjälp!$AB$2:$AI$1082,7,FALSE)),VLOOKUP((ROW($H61)-ROW($H$1)+1)*10+COLUMN(P$1)-COLUMN($H$1)+1,Beräkningshjälp!$AB$2:$AI$1082,7,FALSE),IF(O62&gt;0,-VLOOKUP((ROW($H61)-ROW($H$1)+1)*10+COLUMN(P$1)-COLUMN($H$1)+1,Beräkningshjälp!$AB$2:$AI$1082,3,FALSE),0)),0),"")</f>
        <v/>
      </c>
      <c r="Q62" s="2" t="str">
        <f>IF($E62&lt;&gt;"",IF(AND($E62&lt;&gt;"EJFANGST",$G62&lt;&gt;"INGA"),IF(ISNUMBER(VLOOKUP((ROW($H61)-ROW($H$1)+1)*10+COLUMN(Q$1)-COLUMN($H$1)+1,Beräkningshjälp!$AB$2:$AI$1082,7,FALSE)),VLOOKUP((ROW($H61)-ROW($H$1)+1)*10+COLUMN(Q$1)-COLUMN($H$1)+1,Beräkningshjälp!$AB$2:$AI$1082,7,FALSE),IF(P62&gt;0,-VLOOKUP((ROW($H61)-ROW($H$1)+1)*10+COLUMN(Q$1)-COLUMN($H$1)+1,Beräkningshjälp!$AB$2:$AI$1082,3,FALSE),0)),0),"")</f>
        <v/>
      </c>
      <c r="R62" s="116" t="str">
        <f>IF(COUNTIF(H62:Q62,"&gt;0")&gt;0,IF($E62&lt;&gt;"",IF(AND($E62&lt;&gt;"EJFANGST",$G62&lt;&gt;"INGA"),IF(ISNUMBER(VLOOKUP((ROW($H61)-ROW($H$1)+1)*10+COLUMN(H$1)-COLUMN($H$1)+1,Beräkningshjälp!$AB$2:$AI$1082,7,FALSE)),VLOOKUP((ROW($H61)-ROW($H$1)+1)*10+COLUMN(H$1)-COLUMN($H$1)+1,Beräkningshjälp!$AB$2:$AI$1082,3,FALSE),""),""),""),"")</f>
        <v/>
      </c>
    </row>
    <row r="63" spans="1:18" x14ac:dyDescent="0.25">
      <c r="A63" s="2" t="str">
        <f t="shared" si="0"/>
        <v/>
      </c>
      <c r="B63" s="2" t="str">
        <f>IF(D63&lt;&gt;"",'DATA TILL SLU'!$J$3,"")</f>
        <v/>
      </c>
      <c r="C63" s="2" t="str">
        <f>IF(D63&lt;&gt;"",'DATA TILL SLU'!$K$3,"")</f>
        <v/>
      </c>
      <c r="D63" s="2" t="str">
        <f>IF(OR(ROW(D62)-ROW(D$1)+1&lt;=MAX(Beräkningshjälp!$F$37:$F$54),ROW(D62)-ROW(D$1)+1&lt;=ROUND((MAX(Beräkningshjälp!AB$3:AB$1082)+4)/10,0)-1),D$2,"")</f>
        <v/>
      </c>
      <c r="E63" s="136" t="str">
        <f>IF(D63&lt;&gt;"",IF(COUNTIF(Beräkningshjälp!F$38:F$49,"&gt;0")&gt;=ROW(E62)-ROW(E$1)+1,VLOOKUP((VLOOKUP(ROW(E62)-ROW(E$1)+1,Beräkningshjälp!$F$37:$H$54,IF(ISNUMBER(VLOOKUP(ROW(E62)-ROW(E$1)+1,Beräkningshjälp!$F$37:$H$54,2,FALSE)),2,3),FALSE)),Beräkningshjälp!$M$2:$O$60,3,FALSE),VLOOKUP((ROW(E62)-ROW(E$1)+1)*10+1,Beräkningshjälp!$AB$2:$AF$1082,5,FALSE)),"")</f>
        <v/>
      </c>
      <c r="F63" s="2" t="str">
        <f>IF(D63&lt;&gt;"",Beräkningshjälp!$AH$1,"")</f>
        <v/>
      </c>
      <c r="G63" s="136" t="str">
        <f>IF(D63&lt;&gt;"",IF(COUNTIF(Beräkningshjälp!F$38:F$49,"&gt;0")&gt;=ROW(E62)-ROW(E$1)+1,"INGA",IF(COUNTIF(Beräkningshjälp!$G$38:$H$49,VLOOKUP(E63,Beräkningshjälp!$AF$2:$AG$1082,2,FALSE))&gt;0,"ENSTAK",IF(VLOOKUP(VLOOKUP(E63,Beräkningshjälp!O$2:U$60,7,FALSE),Artuppgifter!$I$11:$P$22,7,FALSE)=TRUE,"MINMAX","ALLA"))),"")</f>
        <v/>
      </c>
      <c r="H63" s="2" t="str">
        <f>IF($E63&lt;&gt;"",IF(AND($E63&lt;&gt;"EJFANGST",$G63&lt;&gt;"INGA"),IF(ISNUMBER(VLOOKUP((ROW($H62)-ROW($H$1)+1)*10+COLUMN(H$1)-COLUMN($H$1)+1,Beräkningshjälp!$AB$2:$AI$1082,7,FALSE)),VLOOKUP((ROW($H62)-ROW($H$1)+1)*10+COLUMN(H$1)-COLUMN($H$1)+1,Beräkningshjälp!$AB$2:$AI$1082,7,FALSE),IF(E63&gt;0,-VLOOKUP((ROW($H62)-ROW($H$1)+1)*10+COLUMN(H$1)-COLUMN($H$1)+1,Beräkningshjälp!$AB$2:$AI$1082,3,FALSE),0)),0),"")</f>
        <v/>
      </c>
      <c r="I63" s="2" t="str">
        <f>IF($E63&lt;&gt;"",IF(AND($E63&lt;&gt;"EJFANGST",$G63&lt;&gt;"INGA"),IF(ISNUMBER(VLOOKUP((ROW($H62)-ROW($H$1)+1)*10+COLUMN(I$1)-COLUMN($H$1)+1,Beräkningshjälp!$AB$2:$AI$1082,7,FALSE)),VLOOKUP((ROW($H62)-ROW($H$1)+1)*10+COLUMN(I$1)-COLUMN($H$1)+1,Beräkningshjälp!$AB$2:$AI$1082,7,FALSE),IF(H63&gt;0,-VLOOKUP((ROW($H62)-ROW($H$1)+1)*10+COLUMN(I$1)-COLUMN($H$1)+1,Beräkningshjälp!$AB$2:$AI$1082,3,FALSE),0)),0),"")</f>
        <v/>
      </c>
      <c r="J63" s="2" t="str">
        <f>IF($E63&lt;&gt;"",IF(AND($E63&lt;&gt;"EJFANGST",$G63&lt;&gt;"INGA"),IF(ISNUMBER(VLOOKUP((ROW($H62)-ROW($H$1)+1)*10+COLUMN(J$1)-COLUMN($H$1)+1,Beräkningshjälp!$AB$2:$AI$1082,7,FALSE)),VLOOKUP((ROW($H62)-ROW($H$1)+1)*10+COLUMN(J$1)-COLUMN($H$1)+1,Beräkningshjälp!$AB$2:$AI$1082,7,FALSE),IF(I63&gt;0,-VLOOKUP((ROW($H62)-ROW($H$1)+1)*10+COLUMN(J$1)-COLUMN($H$1)+1,Beräkningshjälp!$AB$2:$AI$1082,3,FALSE),0)),0),"")</f>
        <v/>
      </c>
      <c r="K63" s="2" t="str">
        <f>IF($E63&lt;&gt;"",IF(AND($E63&lt;&gt;"EJFANGST",$G63&lt;&gt;"INGA"),IF(ISNUMBER(VLOOKUP((ROW($H62)-ROW($H$1)+1)*10+COLUMN(K$1)-COLUMN($H$1)+1,Beräkningshjälp!$AB$2:$AI$1082,7,FALSE)),VLOOKUP((ROW($H62)-ROW($H$1)+1)*10+COLUMN(K$1)-COLUMN($H$1)+1,Beräkningshjälp!$AB$2:$AI$1082,7,FALSE),IF(J63&gt;0,-VLOOKUP((ROW($H62)-ROW($H$1)+1)*10+COLUMN(K$1)-COLUMN($H$1)+1,Beräkningshjälp!$AB$2:$AI$1082,3,FALSE),0)),0),"")</f>
        <v/>
      </c>
      <c r="L63" s="2" t="str">
        <f>IF($E63&lt;&gt;"",IF(AND($E63&lt;&gt;"EJFANGST",$G63&lt;&gt;"INGA"),IF(ISNUMBER(VLOOKUP((ROW($H62)-ROW($H$1)+1)*10+COLUMN(L$1)-COLUMN($H$1)+1,Beräkningshjälp!$AB$2:$AI$1082,7,FALSE)),VLOOKUP((ROW($H62)-ROW($H$1)+1)*10+COLUMN(L$1)-COLUMN($H$1)+1,Beräkningshjälp!$AB$2:$AI$1082,7,FALSE),IF(K63&gt;0,-VLOOKUP((ROW($H62)-ROW($H$1)+1)*10+COLUMN(L$1)-COLUMN($H$1)+1,Beräkningshjälp!$AB$2:$AI$1082,3,FALSE),0)),0),"")</f>
        <v/>
      </c>
      <c r="M63" s="2" t="str">
        <f>IF($E63&lt;&gt;"",IF(AND($E63&lt;&gt;"EJFANGST",$G63&lt;&gt;"INGA"),IF(ISNUMBER(VLOOKUP((ROW($H62)-ROW($H$1)+1)*10+COLUMN(M$1)-COLUMN($H$1)+1,Beräkningshjälp!$AB$2:$AI$1082,7,FALSE)),VLOOKUP((ROW($H62)-ROW($H$1)+1)*10+COLUMN(M$1)-COLUMN($H$1)+1,Beräkningshjälp!$AB$2:$AI$1082,7,FALSE),IF(L63&gt;0,-VLOOKUP((ROW($H62)-ROW($H$1)+1)*10+COLUMN(M$1)-COLUMN($H$1)+1,Beräkningshjälp!$AB$2:$AI$1082,3,FALSE),0)),0),"")</f>
        <v/>
      </c>
      <c r="N63" s="2" t="str">
        <f>IF($E63&lt;&gt;"",IF(AND($E63&lt;&gt;"EJFANGST",$G63&lt;&gt;"INGA"),IF(ISNUMBER(VLOOKUP((ROW($H62)-ROW($H$1)+1)*10+COLUMN(N$1)-COLUMN($H$1)+1,Beräkningshjälp!$AB$2:$AI$1082,7,FALSE)),VLOOKUP((ROW($H62)-ROW($H$1)+1)*10+COLUMN(N$1)-COLUMN($H$1)+1,Beräkningshjälp!$AB$2:$AI$1082,7,FALSE),IF(M63&gt;0,-VLOOKUP((ROW($H62)-ROW($H$1)+1)*10+COLUMN(N$1)-COLUMN($H$1)+1,Beräkningshjälp!$AB$2:$AI$1082,3,FALSE),0)),0),"")</f>
        <v/>
      </c>
      <c r="O63" s="2" t="str">
        <f>IF($E63&lt;&gt;"",IF(AND($E63&lt;&gt;"EJFANGST",$G63&lt;&gt;"INGA"),IF(ISNUMBER(VLOOKUP((ROW($H62)-ROW($H$1)+1)*10+COLUMN(O$1)-COLUMN($H$1)+1,Beräkningshjälp!$AB$2:$AI$1082,7,FALSE)),VLOOKUP((ROW($H62)-ROW($H$1)+1)*10+COLUMN(O$1)-COLUMN($H$1)+1,Beräkningshjälp!$AB$2:$AI$1082,7,FALSE),IF(N63&gt;0,-VLOOKUP((ROW($H62)-ROW($H$1)+1)*10+COLUMN(O$1)-COLUMN($H$1)+1,Beräkningshjälp!$AB$2:$AI$1082,3,FALSE),0)),0),"")</f>
        <v/>
      </c>
      <c r="P63" s="2" t="str">
        <f>IF($E63&lt;&gt;"",IF(AND($E63&lt;&gt;"EJFANGST",$G63&lt;&gt;"INGA"),IF(ISNUMBER(VLOOKUP((ROW($H62)-ROW($H$1)+1)*10+COLUMN(P$1)-COLUMN($H$1)+1,Beräkningshjälp!$AB$2:$AI$1082,7,FALSE)),VLOOKUP((ROW($H62)-ROW($H$1)+1)*10+COLUMN(P$1)-COLUMN($H$1)+1,Beräkningshjälp!$AB$2:$AI$1082,7,FALSE),IF(O63&gt;0,-VLOOKUP((ROW($H62)-ROW($H$1)+1)*10+COLUMN(P$1)-COLUMN($H$1)+1,Beräkningshjälp!$AB$2:$AI$1082,3,FALSE),0)),0),"")</f>
        <v/>
      </c>
      <c r="Q63" s="2" t="str">
        <f>IF($E63&lt;&gt;"",IF(AND($E63&lt;&gt;"EJFANGST",$G63&lt;&gt;"INGA"),IF(ISNUMBER(VLOOKUP((ROW($H62)-ROW($H$1)+1)*10+COLUMN(Q$1)-COLUMN($H$1)+1,Beräkningshjälp!$AB$2:$AI$1082,7,FALSE)),VLOOKUP((ROW($H62)-ROW($H$1)+1)*10+COLUMN(Q$1)-COLUMN($H$1)+1,Beräkningshjälp!$AB$2:$AI$1082,7,FALSE),IF(P63&gt;0,-VLOOKUP((ROW($H62)-ROW($H$1)+1)*10+COLUMN(Q$1)-COLUMN($H$1)+1,Beräkningshjälp!$AB$2:$AI$1082,3,FALSE),0)),0),"")</f>
        <v/>
      </c>
      <c r="R63" s="116" t="str">
        <f>IF(COUNTIF(H63:Q63,"&gt;0")&gt;0,IF($E63&lt;&gt;"",IF(AND($E63&lt;&gt;"EJFANGST",$G63&lt;&gt;"INGA"),IF(ISNUMBER(VLOOKUP((ROW($H62)-ROW($H$1)+1)*10+COLUMN(H$1)-COLUMN($H$1)+1,Beräkningshjälp!$AB$2:$AI$1082,7,FALSE)),VLOOKUP((ROW($H62)-ROW($H$1)+1)*10+COLUMN(H$1)-COLUMN($H$1)+1,Beräkningshjälp!$AB$2:$AI$1082,3,FALSE),""),""),""),"")</f>
        <v/>
      </c>
    </row>
    <row r="64" spans="1:18" x14ac:dyDescent="0.25">
      <c r="A64" s="2" t="str">
        <f t="shared" si="0"/>
        <v/>
      </c>
      <c r="B64" s="2" t="str">
        <f>IF(D64&lt;&gt;"",'DATA TILL SLU'!$J$3,"")</f>
        <v/>
      </c>
      <c r="C64" s="2" t="str">
        <f>IF(D64&lt;&gt;"",'DATA TILL SLU'!$K$3,"")</f>
        <v/>
      </c>
      <c r="D64" s="2" t="str">
        <f>IF(OR(ROW(D63)-ROW(D$1)+1&lt;=MAX(Beräkningshjälp!$F$37:$F$54),ROW(D63)-ROW(D$1)+1&lt;=ROUND((MAX(Beräkningshjälp!AB$3:AB$1082)+4)/10,0)-1),D$2,"")</f>
        <v/>
      </c>
      <c r="E64" s="136" t="str">
        <f>IF(D64&lt;&gt;"",IF(COUNTIF(Beräkningshjälp!F$38:F$49,"&gt;0")&gt;=ROW(E63)-ROW(E$1)+1,VLOOKUP((VLOOKUP(ROW(E63)-ROW(E$1)+1,Beräkningshjälp!$F$37:$H$54,IF(ISNUMBER(VLOOKUP(ROW(E63)-ROW(E$1)+1,Beräkningshjälp!$F$37:$H$54,2,FALSE)),2,3),FALSE)),Beräkningshjälp!$M$2:$O$60,3,FALSE),VLOOKUP((ROW(E63)-ROW(E$1)+1)*10+1,Beräkningshjälp!$AB$2:$AF$1082,5,FALSE)),"")</f>
        <v/>
      </c>
      <c r="F64" s="2" t="str">
        <f>IF(D64&lt;&gt;"",Beräkningshjälp!$AH$1,"")</f>
        <v/>
      </c>
      <c r="G64" s="136" t="str">
        <f>IF(D64&lt;&gt;"",IF(COUNTIF(Beräkningshjälp!F$38:F$49,"&gt;0")&gt;=ROW(E63)-ROW(E$1)+1,"INGA",IF(COUNTIF(Beräkningshjälp!$G$38:$H$49,VLOOKUP(E64,Beräkningshjälp!$AF$2:$AG$1082,2,FALSE))&gt;0,"ENSTAK",IF(VLOOKUP(VLOOKUP(E64,Beräkningshjälp!O$2:U$60,7,FALSE),Artuppgifter!$I$11:$P$22,7,FALSE)=TRUE,"MINMAX","ALLA"))),"")</f>
        <v/>
      </c>
      <c r="H64" s="2" t="str">
        <f>IF($E64&lt;&gt;"",IF(AND($E64&lt;&gt;"EJFANGST",$G64&lt;&gt;"INGA"),IF(ISNUMBER(VLOOKUP((ROW($H63)-ROW($H$1)+1)*10+COLUMN(H$1)-COLUMN($H$1)+1,Beräkningshjälp!$AB$2:$AI$1082,7,FALSE)),VLOOKUP((ROW($H63)-ROW($H$1)+1)*10+COLUMN(H$1)-COLUMN($H$1)+1,Beräkningshjälp!$AB$2:$AI$1082,7,FALSE),IF(E64&gt;0,-VLOOKUP((ROW($H63)-ROW($H$1)+1)*10+COLUMN(H$1)-COLUMN($H$1)+1,Beräkningshjälp!$AB$2:$AI$1082,3,FALSE),0)),0),"")</f>
        <v/>
      </c>
      <c r="I64" s="2" t="str">
        <f>IF($E64&lt;&gt;"",IF(AND($E64&lt;&gt;"EJFANGST",$G64&lt;&gt;"INGA"),IF(ISNUMBER(VLOOKUP((ROW($H63)-ROW($H$1)+1)*10+COLUMN(I$1)-COLUMN($H$1)+1,Beräkningshjälp!$AB$2:$AI$1082,7,FALSE)),VLOOKUP((ROW($H63)-ROW($H$1)+1)*10+COLUMN(I$1)-COLUMN($H$1)+1,Beräkningshjälp!$AB$2:$AI$1082,7,FALSE),IF(H64&gt;0,-VLOOKUP((ROW($H63)-ROW($H$1)+1)*10+COLUMN(I$1)-COLUMN($H$1)+1,Beräkningshjälp!$AB$2:$AI$1082,3,FALSE),0)),0),"")</f>
        <v/>
      </c>
      <c r="J64" s="2" t="str">
        <f>IF($E64&lt;&gt;"",IF(AND($E64&lt;&gt;"EJFANGST",$G64&lt;&gt;"INGA"),IF(ISNUMBER(VLOOKUP((ROW($H63)-ROW($H$1)+1)*10+COLUMN(J$1)-COLUMN($H$1)+1,Beräkningshjälp!$AB$2:$AI$1082,7,FALSE)),VLOOKUP((ROW($H63)-ROW($H$1)+1)*10+COLUMN(J$1)-COLUMN($H$1)+1,Beräkningshjälp!$AB$2:$AI$1082,7,FALSE),IF(I64&gt;0,-VLOOKUP((ROW($H63)-ROW($H$1)+1)*10+COLUMN(J$1)-COLUMN($H$1)+1,Beräkningshjälp!$AB$2:$AI$1082,3,FALSE),0)),0),"")</f>
        <v/>
      </c>
      <c r="K64" s="2" t="str">
        <f>IF($E64&lt;&gt;"",IF(AND($E64&lt;&gt;"EJFANGST",$G64&lt;&gt;"INGA"),IF(ISNUMBER(VLOOKUP((ROW($H63)-ROW($H$1)+1)*10+COLUMN(K$1)-COLUMN($H$1)+1,Beräkningshjälp!$AB$2:$AI$1082,7,FALSE)),VLOOKUP((ROW($H63)-ROW($H$1)+1)*10+COLUMN(K$1)-COLUMN($H$1)+1,Beräkningshjälp!$AB$2:$AI$1082,7,FALSE),IF(J64&gt;0,-VLOOKUP((ROW($H63)-ROW($H$1)+1)*10+COLUMN(K$1)-COLUMN($H$1)+1,Beräkningshjälp!$AB$2:$AI$1082,3,FALSE),0)),0),"")</f>
        <v/>
      </c>
      <c r="L64" s="2" t="str">
        <f>IF($E64&lt;&gt;"",IF(AND($E64&lt;&gt;"EJFANGST",$G64&lt;&gt;"INGA"),IF(ISNUMBER(VLOOKUP((ROW($H63)-ROW($H$1)+1)*10+COLUMN(L$1)-COLUMN($H$1)+1,Beräkningshjälp!$AB$2:$AI$1082,7,FALSE)),VLOOKUP((ROW($H63)-ROW($H$1)+1)*10+COLUMN(L$1)-COLUMN($H$1)+1,Beräkningshjälp!$AB$2:$AI$1082,7,FALSE),IF(K64&gt;0,-VLOOKUP((ROW($H63)-ROW($H$1)+1)*10+COLUMN(L$1)-COLUMN($H$1)+1,Beräkningshjälp!$AB$2:$AI$1082,3,FALSE),0)),0),"")</f>
        <v/>
      </c>
      <c r="M64" s="2" t="str">
        <f>IF($E64&lt;&gt;"",IF(AND($E64&lt;&gt;"EJFANGST",$G64&lt;&gt;"INGA"),IF(ISNUMBER(VLOOKUP((ROW($H63)-ROW($H$1)+1)*10+COLUMN(M$1)-COLUMN($H$1)+1,Beräkningshjälp!$AB$2:$AI$1082,7,FALSE)),VLOOKUP((ROW($H63)-ROW($H$1)+1)*10+COLUMN(M$1)-COLUMN($H$1)+1,Beräkningshjälp!$AB$2:$AI$1082,7,FALSE),IF(L64&gt;0,-VLOOKUP((ROW($H63)-ROW($H$1)+1)*10+COLUMN(M$1)-COLUMN($H$1)+1,Beräkningshjälp!$AB$2:$AI$1082,3,FALSE),0)),0),"")</f>
        <v/>
      </c>
      <c r="N64" s="2" t="str">
        <f>IF($E64&lt;&gt;"",IF(AND($E64&lt;&gt;"EJFANGST",$G64&lt;&gt;"INGA"),IF(ISNUMBER(VLOOKUP((ROW($H63)-ROW($H$1)+1)*10+COLUMN(N$1)-COLUMN($H$1)+1,Beräkningshjälp!$AB$2:$AI$1082,7,FALSE)),VLOOKUP((ROW($H63)-ROW($H$1)+1)*10+COLUMN(N$1)-COLUMN($H$1)+1,Beräkningshjälp!$AB$2:$AI$1082,7,FALSE),IF(M64&gt;0,-VLOOKUP((ROW($H63)-ROW($H$1)+1)*10+COLUMN(N$1)-COLUMN($H$1)+1,Beräkningshjälp!$AB$2:$AI$1082,3,FALSE),0)),0),"")</f>
        <v/>
      </c>
      <c r="O64" s="2" t="str">
        <f>IF($E64&lt;&gt;"",IF(AND($E64&lt;&gt;"EJFANGST",$G64&lt;&gt;"INGA"),IF(ISNUMBER(VLOOKUP((ROW($H63)-ROW($H$1)+1)*10+COLUMN(O$1)-COLUMN($H$1)+1,Beräkningshjälp!$AB$2:$AI$1082,7,FALSE)),VLOOKUP((ROW($H63)-ROW($H$1)+1)*10+COLUMN(O$1)-COLUMN($H$1)+1,Beräkningshjälp!$AB$2:$AI$1082,7,FALSE),IF(N64&gt;0,-VLOOKUP((ROW($H63)-ROW($H$1)+1)*10+COLUMN(O$1)-COLUMN($H$1)+1,Beräkningshjälp!$AB$2:$AI$1082,3,FALSE),0)),0),"")</f>
        <v/>
      </c>
      <c r="P64" s="2" t="str">
        <f>IF($E64&lt;&gt;"",IF(AND($E64&lt;&gt;"EJFANGST",$G64&lt;&gt;"INGA"),IF(ISNUMBER(VLOOKUP((ROW($H63)-ROW($H$1)+1)*10+COLUMN(P$1)-COLUMN($H$1)+1,Beräkningshjälp!$AB$2:$AI$1082,7,FALSE)),VLOOKUP((ROW($H63)-ROW($H$1)+1)*10+COLUMN(P$1)-COLUMN($H$1)+1,Beräkningshjälp!$AB$2:$AI$1082,7,FALSE),IF(O64&gt;0,-VLOOKUP((ROW($H63)-ROW($H$1)+1)*10+COLUMN(P$1)-COLUMN($H$1)+1,Beräkningshjälp!$AB$2:$AI$1082,3,FALSE),0)),0),"")</f>
        <v/>
      </c>
      <c r="Q64" s="2" t="str">
        <f>IF($E64&lt;&gt;"",IF(AND($E64&lt;&gt;"EJFANGST",$G64&lt;&gt;"INGA"),IF(ISNUMBER(VLOOKUP((ROW($H63)-ROW($H$1)+1)*10+COLUMN(Q$1)-COLUMN($H$1)+1,Beräkningshjälp!$AB$2:$AI$1082,7,FALSE)),VLOOKUP((ROW($H63)-ROW($H$1)+1)*10+COLUMN(Q$1)-COLUMN($H$1)+1,Beräkningshjälp!$AB$2:$AI$1082,7,FALSE),IF(P64&gt;0,-VLOOKUP((ROW($H63)-ROW($H$1)+1)*10+COLUMN(Q$1)-COLUMN($H$1)+1,Beräkningshjälp!$AB$2:$AI$1082,3,FALSE),0)),0),"")</f>
        <v/>
      </c>
      <c r="R64" s="116" t="str">
        <f>IF(COUNTIF(H64:Q64,"&gt;0")&gt;0,IF($E64&lt;&gt;"",IF(AND($E64&lt;&gt;"EJFANGST",$G64&lt;&gt;"INGA"),IF(ISNUMBER(VLOOKUP((ROW($H63)-ROW($H$1)+1)*10+COLUMN(H$1)-COLUMN($H$1)+1,Beräkningshjälp!$AB$2:$AI$1082,7,FALSE)),VLOOKUP((ROW($H63)-ROW($H$1)+1)*10+COLUMN(H$1)-COLUMN($H$1)+1,Beräkningshjälp!$AB$2:$AI$1082,3,FALSE),""),""),""),"")</f>
        <v/>
      </c>
    </row>
    <row r="65" spans="1:18" x14ac:dyDescent="0.25">
      <c r="A65" s="2" t="str">
        <f t="shared" si="0"/>
        <v/>
      </c>
      <c r="B65" s="2" t="str">
        <f>IF(D65&lt;&gt;"",'DATA TILL SLU'!$J$3,"")</f>
        <v/>
      </c>
      <c r="C65" s="2" t="str">
        <f>IF(D65&lt;&gt;"",'DATA TILL SLU'!$K$3,"")</f>
        <v/>
      </c>
      <c r="D65" s="2" t="str">
        <f>IF(OR(ROW(D64)-ROW(D$1)+1&lt;=MAX(Beräkningshjälp!$F$37:$F$54),ROW(D64)-ROW(D$1)+1&lt;=ROUND((MAX(Beräkningshjälp!AB$3:AB$1082)+4)/10,0)-1),D$2,"")</f>
        <v/>
      </c>
      <c r="E65" s="136" t="str">
        <f>IF(D65&lt;&gt;"",IF(COUNTIF(Beräkningshjälp!F$38:F$49,"&gt;0")&gt;=ROW(E64)-ROW(E$1)+1,VLOOKUP((VLOOKUP(ROW(E64)-ROW(E$1)+1,Beräkningshjälp!$F$37:$H$54,IF(ISNUMBER(VLOOKUP(ROW(E64)-ROW(E$1)+1,Beräkningshjälp!$F$37:$H$54,2,FALSE)),2,3),FALSE)),Beräkningshjälp!$M$2:$O$60,3,FALSE),VLOOKUP((ROW(E64)-ROW(E$1)+1)*10+1,Beräkningshjälp!$AB$2:$AF$1082,5,FALSE)),"")</f>
        <v/>
      </c>
      <c r="F65" s="2" t="str">
        <f>IF(D65&lt;&gt;"",Beräkningshjälp!$AH$1,"")</f>
        <v/>
      </c>
      <c r="G65" s="136" t="str">
        <f>IF(D65&lt;&gt;"",IF(COUNTIF(Beräkningshjälp!F$38:F$49,"&gt;0")&gt;=ROW(E64)-ROW(E$1)+1,"INGA",IF(COUNTIF(Beräkningshjälp!$G$38:$H$49,VLOOKUP(E65,Beräkningshjälp!$AF$2:$AG$1082,2,FALSE))&gt;0,"ENSTAK",IF(VLOOKUP(VLOOKUP(E65,Beräkningshjälp!O$2:U$60,7,FALSE),Artuppgifter!$I$11:$P$22,7,FALSE)=TRUE,"MINMAX","ALLA"))),"")</f>
        <v/>
      </c>
      <c r="H65" s="2" t="str">
        <f>IF($E65&lt;&gt;"",IF(AND($E65&lt;&gt;"EJFANGST",$G65&lt;&gt;"INGA"),IF(ISNUMBER(VLOOKUP((ROW($H64)-ROW($H$1)+1)*10+COLUMN(H$1)-COLUMN($H$1)+1,Beräkningshjälp!$AB$2:$AI$1082,7,FALSE)),VLOOKUP((ROW($H64)-ROW($H$1)+1)*10+COLUMN(H$1)-COLUMN($H$1)+1,Beräkningshjälp!$AB$2:$AI$1082,7,FALSE),IF(E65&gt;0,-VLOOKUP((ROW($H64)-ROW($H$1)+1)*10+COLUMN(H$1)-COLUMN($H$1)+1,Beräkningshjälp!$AB$2:$AI$1082,3,FALSE),0)),0),"")</f>
        <v/>
      </c>
      <c r="I65" s="2" t="str">
        <f>IF($E65&lt;&gt;"",IF(AND($E65&lt;&gt;"EJFANGST",$G65&lt;&gt;"INGA"),IF(ISNUMBER(VLOOKUP((ROW($H64)-ROW($H$1)+1)*10+COLUMN(I$1)-COLUMN($H$1)+1,Beräkningshjälp!$AB$2:$AI$1082,7,FALSE)),VLOOKUP((ROW($H64)-ROW($H$1)+1)*10+COLUMN(I$1)-COLUMN($H$1)+1,Beräkningshjälp!$AB$2:$AI$1082,7,FALSE),IF(H65&gt;0,-VLOOKUP((ROW($H64)-ROW($H$1)+1)*10+COLUMN(I$1)-COLUMN($H$1)+1,Beräkningshjälp!$AB$2:$AI$1082,3,FALSE),0)),0),"")</f>
        <v/>
      </c>
      <c r="J65" s="2" t="str">
        <f>IF($E65&lt;&gt;"",IF(AND($E65&lt;&gt;"EJFANGST",$G65&lt;&gt;"INGA"),IF(ISNUMBER(VLOOKUP((ROW($H64)-ROW($H$1)+1)*10+COLUMN(J$1)-COLUMN($H$1)+1,Beräkningshjälp!$AB$2:$AI$1082,7,FALSE)),VLOOKUP((ROW($H64)-ROW($H$1)+1)*10+COLUMN(J$1)-COLUMN($H$1)+1,Beräkningshjälp!$AB$2:$AI$1082,7,FALSE),IF(I65&gt;0,-VLOOKUP((ROW($H64)-ROW($H$1)+1)*10+COLUMN(J$1)-COLUMN($H$1)+1,Beräkningshjälp!$AB$2:$AI$1082,3,FALSE),0)),0),"")</f>
        <v/>
      </c>
      <c r="K65" s="2" t="str">
        <f>IF($E65&lt;&gt;"",IF(AND($E65&lt;&gt;"EJFANGST",$G65&lt;&gt;"INGA"),IF(ISNUMBER(VLOOKUP((ROW($H64)-ROW($H$1)+1)*10+COLUMN(K$1)-COLUMN($H$1)+1,Beräkningshjälp!$AB$2:$AI$1082,7,FALSE)),VLOOKUP((ROW($H64)-ROW($H$1)+1)*10+COLUMN(K$1)-COLUMN($H$1)+1,Beräkningshjälp!$AB$2:$AI$1082,7,FALSE),IF(J65&gt;0,-VLOOKUP((ROW($H64)-ROW($H$1)+1)*10+COLUMN(K$1)-COLUMN($H$1)+1,Beräkningshjälp!$AB$2:$AI$1082,3,FALSE),0)),0),"")</f>
        <v/>
      </c>
      <c r="L65" s="2" t="str">
        <f>IF($E65&lt;&gt;"",IF(AND($E65&lt;&gt;"EJFANGST",$G65&lt;&gt;"INGA"),IF(ISNUMBER(VLOOKUP((ROW($H64)-ROW($H$1)+1)*10+COLUMN(L$1)-COLUMN($H$1)+1,Beräkningshjälp!$AB$2:$AI$1082,7,FALSE)),VLOOKUP((ROW($H64)-ROW($H$1)+1)*10+COLUMN(L$1)-COLUMN($H$1)+1,Beräkningshjälp!$AB$2:$AI$1082,7,FALSE),IF(K65&gt;0,-VLOOKUP((ROW($H64)-ROW($H$1)+1)*10+COLUMN(L$1)-COLUMN($H$1)+1,Beräkningshjälp!$AB$2:$AI$1082,3,FALSE),0)),0),"")</f>
        <v/>
      </c>
      <c r="M65" s="2" t="str">
        <f>IF($E65&lt;&gt;"",IF(AND($E65&lt;&gt;"EJFANGST",$G65&lt;&gt;"INGA"),IF(ISNUMBER(VLOOKUP((ROW($H64)-ROW($H$1)+1)*10+COLUMN(M$1)-COLUMN($H$1)+1,Beräkningshjälp!$AB$2:$AI$1082,7,FALSE)),VLOOKUP((ROW($H64)-ROW($H$1)+1)*10+COLUMN(M$1)-COLUMN($H$1)+1,Beräkningshjälp!$AB$2:$AI$1082,7,FALSE),IF(L65&gt;0,-VLOOKUP((ROW($H64)-ROW($H$1)+1)*10+COLUMN(M$1)-COLUMN($H$1)+1,Beräkningshjälp!$AB$2:$AI$1082,3,FALSE),0)),0),"")</f>
        <v/>
      </c>
      <c r="N65" s="2" t="str">
        <f>IF($E65&lt;&gt;"",IF(AND($E65&lt;&gt;"EJFANGST",$G65&lt;&gt;"INGA"),IF(ISNUMBER(VLOOKUP((ROW($H64)-ROW($H$1)+1)*10+COLUMN(N$1)-COLUMN($H$1)+1,Beräkningshjälp!$AB$2:$AI$1082,7,FALSE)),VLOOKUP((ROW($H64)-ROW($H$1)+1)*10+COLUMN(N$1)-COLUMN($H$1)+1,Beräkningshjälp!$AB$2:$AI$1082,7,FALSE),IF(M65&gt;0,-VLOOKUP((ROW($H64)-ROW($H$1)+1)*10+COLUMN(N$1)-COLUMN($H$1)+1,Beräkningshjälp!$AB$2:$AI$1082,3,FALSE),0)),0),"")</f>
        <v/>
      </c>
      <c r="O65" s="2" t="str">
        <f>IF($E65&lt;&gt;"",IF(AND($E65&lt;&gt;"EJFANGST",$G65&lt;&gt;"INGA"),IF(ISNUMBER(VLOOKUP((ROW($H64)-ROW($H$1)+1)*10+COLUMN(O$1)-COLUMN($H$1)+1,Beräkningshjälp!$AB$2:$AI$1082,7,FALSE)),VLOOKUP((ROW($H64)-ROW($H$1)+1)*10+COLUMN(O$1)-COLUMN($H$1)+1,Beräkningshjälp!$AB$2:$AI$1082,7,FALSE),IF(N65&gt;0,-VLOOKUP((ROW($H64)-ROW($H$1)+1)*10+COLUMN(O$1)-COLUMN($H$1)+1,Beräkningshjälp!$AB$2:$AI$1082,3,FALSE),0)),0),"")</f>
        <v/>
      </c>
      <c r="P65" s="2" t="str">
        <f>IF($E65&lt;&gt;"",IF(AND($E65&lt;&gt;"EJFANGST",$G65&lt;&gt;"INGA"),IF(ISNUMBER(VLOOKUP((ROW($H64)-ROW($H$1)+1)*10+COLUMN(P$1)-COLUMN($H$1)+1,Beräkningshjälp!$AB$2:$AI$1082,7,FALSE)),VLOOKUP((ROW($H64)-ROW($H$1)+1)*10+COLUMN(P$1)-COLUMN($H$1)+1,Beräkningshjälp!$AB$2:$AI$1082,7,FALSE),IF(O65&gt;0,-VLOOKUP((ROW($H64)-ROW($H$1)+1)*10+COLUMN(P$1)-COLUMN($H$1)+1,Beräkningshjälp!$AB$2:$AI$1082,3,FALSE),0)),0),"")</f>
        <v/>
      </c>
      <c r="Q65" s="2" t="str">
        <f>IF($E65&lt;&gt;"",IF(AND($E65&lt;&gt;"EJFANGST",$G65&lt;&gt;"INGA"),IF(ISNUMBER(VLOOKUP((ROW($H64)-ROW($H$1)+1)*10+COLUMN(Q$1)-COLUMN($H$1)+1,Beräkningshjälp!$AB$2:$AI$1082,7,FALSE)),VLOOKUP((ROW($H64)-ROW($H$1)+1)*10+COLUMN(Q$1)-COLUMN($H$1)+1,Beräkningshjälp!$AB$2:$AI$1082,7,FALSE),IF(P65&gt;0,-VLOOKUP((ROW($H64)-ROW($H$1)+1)*10+COLUMN(Q$1)-COLUMN($H$1)+1,Beräkningshjälp!$AB$2:$AI$1082,3,FALSE),0)),0),"")</f>
        <v/>
      </c>
      <c r="R65" s="116" t="str">
        <f>IF(COUNTIF(H65:Q65,"&gt;0")&gt;0,IF($E65&lt;&gt;"",IF(AND($E65&lt;&gt;"EJFANGST",$G65&lt;&gt;"INGA"),IF(ISNUMBER(VLOOKUP((ROW($H64)-ROW($H$1)+1)*10+COLUMN(H$1)-COLUMN($H$1)+1,Beräkningshjälp!$AB$2:$AI$1082,7,FALSE)),VLOOKUP((ROW($H64)-ROW($H$1)+1)*10+COLUMN(H$1)-COLUMN($H$1)+1,Beräkningshjälp!$AB$2:$AI$1082,3,FALSE),""),""),""),"")</f>
        <v/>
      </c>
    </row>
    <row r="66" spans="1:18" x14ac:dyDescent="0.25">
      <c r="A66" s="2" t="str">
        <f t="shared" si="0"/>
        <v/>
      </c>
      <c r="B66" s="2" t="str">
        <f>IF(D66&lt;&gt;"",'DATA TILL SLU'!$J$3,"")</f>
        <v/>
      </c>
      <c r="C66" s="2" t="str">
        <f>IF(D66&lt;&gt;"",'DATA TILL SLU'!$K$3,"")</f>
        <v/>
      </c>
      <c r="D66" s="2" t="str">
        <f>IF(OR(ROW(D65)-ROW(D$1)+1&lt;=MAX(Beräkningshjälp!$F$37:$F$54),ROW(D65)-ROW(D$1)+1&lt;=ROUND((MAX(Beräkningshjälp!AB$3:AB$1082)+4)/10,0)-1),D$2,"")</f>
        <v/>
      </c>
      <c r="E66" s="136" t="str">
        <f>IF(D66&lt;&gt;"",IF(COUNTIF(Beräkningshjälp!F$38:F$49,"&gt;0")&gt;=ROW(E65)-ROW(E$1)+1,VLOOKUP((VLOOKUP(ROW(E65)-ROW(E$1)+1,Beräkningshjälp!$F$37:$H$54,IF(ISNUMBER(VLOOKUP(ROW(E65)-ROW(E$1)+1,Beräkningshjälp!$F$37:$H$54,2,FALSE)),2,3),FALSE)),Beräkningshjälp!$M$2:$O$60,3,FALSE),VLOOKUP((ROW(E65)-ROW(E$1)+1)*10+1,Beräkningshjälp!$AB$2:$AF$1082,5,FALSE)),"")</f>
        <v/>
      </c>
      <c r="F66" s="2" t="str">
        <f>IF(D66&lt;&gt;"",Beräkningshjälp!$AH$1,"")</f>
        <v/>
      </c>
      <c r="G66" s="136" t="str">
        <f>IF(D66&lt;&gt;"",IF(COUNTIF(Beräkningshjälp!F$38:F$49,"&gt;0")&gt;=ROW(E65)-ROW(E$1)+1,"INGA",IF(COUNTIF(Beräkningshjälp!$G$38:$H$49,VLOOKUP(E66,Beräkningshjälp!$AF$2:$AG$1082,2,FALSE))&gt;0,"ENSTAK",IF(VLOOKUP(VLOOKUP(E66,Beräkningshjälp!O$2:U$60,7,FALSE),Artuppgifter!$I$11:$P$22,7,FALSE)=TRUE,"MINMAX","ALLA"))),"")</f>
        <v/>
      </c>
      <c r="H66" s="2" t="str">
        <f>IF($E66&lt;&gt;"",IF(AND($E66&lt;&gt;"EJFANGST",$G66&lt;&gt;"INGA"),IF(ISNUMBER(VLOOKUP((ROW($H65)-ROW($H$1)+1)*10+COLUMN(H$1)-COLUMN($H$1)+1,Beräkningshjälp!$AB$2:$AI$1082,7,FALSE)),VLOOKUP((ROW($H65)-ROW($H$1)+1)*10+COLUMN(H$1)-COLUMN($H$1)+1,Beräkningshjälp!$AB$2:$AI$1082,7,FALSE),IF(E66&gt;0,-VLOOKUP((ROW($H65)-ROW($H$1)+1)*10+COLUMN(H$1)-COLUMN($H$1)+1,Beräkningshjälp!$AB$2:$AI$1082,3,FALSE),0)),0),"")</f>
        <v/>
      </c>
      <c r="I66" s="2" t="str">
        <f>IF($E66&lt;&gt;"",IF(AND($E66&lt;&gt;"EJFANGST",$G66&lt;&gt;"INGA"),IF(ISNUMBER(VLOOKUP((ROW($H65)-ROW($H$1)+1)*10+COLUMN(I$1)-COLUMN($H$1)+1,Beräkningshjälp!$AB$2:$AI$1082,7,FALSE)),VLOOKUP((ROW($H65)-ROW($H$1)+1)*10+COLUMN(I$1)-COLUMN($H$1)+1,Beräkningshjälp!$AB$2:$AI$1082,7,FALSE),IF(H66&gt;0,-VLOOKUP((ROW($H65)-ROW($H$1)+1)*10+COLUMN(I$1)-COLUMN($H$1)+1,Beräkningshjälp!$AB$2:$AI$1082,3,FALSE),0)),0),"")</f>
        <v/>
      </c>
      <c r="J66" s="2" t="str">
        <f>IF($E66&lt;&gt;"",IF(AND($E66&lt;&gt;"EJFANGST",$G66&lt;&gt;"INGA"),IF(ISNUMBER(VLOOKUP((ROW($H65)-ROW($H$1)+1)*10+COLUMN(J$1)-COLUMN($H$1)+1,Beräkningshjälp!$AB$2:$AI$1082,7,FALSE)),VLOOKUP((ROW($H65)-ROW($H$1)+1)*10+COLUMN(J$1)-COLUMN($H$1)+1,Beräkningshjälp!$AB$2:$AI$1082,7,FALSE),IF(I66&gt;0,-VLOOKUP((ROW($H65)-ROW($H$1)+1)*10+COLUMN(J$1)-COLUMN($H$1)+1,Beräkningshjälp!$AB$2:$AI$1082,3,FALSE),0)),0),"")</f>
        <v/>
      </c>
      <c r="K66" s="2" t="str">
        <f>IF($E66&lt;&gt;"",IF(AND($E66&lt;&gt;"EJFANGST",$G66&lt;&gt;"INGA"),IF(ISNUMBER(VLOOKUP((ROW($H65)-ROW($H$1)+1)*10+COLUMN(K$1)-COLUMN($H$1)+1,Beräkningshjälp!$AB$2:$AI$1082,7,FALSE)),VLOOKUP((ROW($H65)-ROW($H$1)+1)*10+COLUMN(K$1)-COLUMN($H$1)+1,Beräkningshjälp!$AB$2:$AI$1082,7,FALSE),IF(J66&gt;0,-VLOOKUP((ROW($H65)-ROW($H$1)+1)*10+COLUMN(K$1)-COLUMN($H$1)+1,Beräkningshjälp!$AB$2:$AI$1082,3,FALSE),0)),0),"")</f>
        <v/>
      </c>
      <c r="L66" s="2" t="str">
        <f>IF($E66&lt;&gt;"",IF(AND($E66&lt;&gt;"EJFANGST",$G66&lt;&gt;"INGA"),IF(ISNUMBER(VLOOKUP((ROW($H65)-ROW($H$1)+1)*10+COLUMN(L$1)-COLUMN($H$1)+1,Beräkningshjälp!$AB$2:$AI$1082,7,FALSE)),VLOOKUP((ROW($H65)-ROW($H$1)+1)*10+COLUMN(L$1)-COLUMN($H$1)+1,Beräkningshjälp!$AB$2:$AI$1082,7,FALSE),IF(K66&gt;0,-VLOOKUP((ROW($H65)-ROW($H$1)+1)*10+COLUMN(L$1)-COLUMN($H$1)+1,Beräkningshjälp!$AB$2:$AI$1082,3,FALSE),0)),0),"")</f>
        <v/>
      </c>
      <c r="M66" s="2" t="str">
        <f>IF($E66&lt;&gt;"",IF(AND($E66&lt;&gt;"EJFANGST",$G66&lt;&gt;"INGA"),IF(ISNUMBER(VLOOKUP((ROW($H65)-ROW($H$1)+1)*10+COLUMN(M$1)-COLUMN($H$1)+1,Beräkningshjälp!$AB$2:$AI$1082,7,FALSE)),VLOOKUP((ROW($H65)-ROW($H$1)+1)*10+COLUMN(M$1)-COLUMN($H$1)+1,Beräkningshjälp!$AB$2:$AI$1082,7,FALSE),IF(L66&gt;0,-VLOOKUP((ROW($H65)-ROW($H$1)+1)*10+COLUMN(M$1)-COLUMN($H$1)+1,Beräkningshjälp!$AB$2:$AI$1082,3,FALSE),0)),0),"")</f>
        <v/>
      </c>
      <c r="N66" s="2" t="str">
        <f>IF($E66&lt;&gt;"",IF(AND($E66&lt;&gt;"EJFANGST",$G66&lt;&gt;"INGA"),IF(ISNUMBER(VLOOKUP((ROW($H65)-ROW($H$1)+1)*10+COLUMN(N$1)-COLUMN($H$1)+1,Beräkningshjälp!$AB$2:$AI$1082,7,FALSE)),VLOOKUP((ROW($H65)-ROW($H$1)+1)*10+COLUMN(N$1)-COLUMN($H$1)+1,Beräkningshjälp!$AB$2:$AI$1082,7,FALSE),IF(M66&gt;0,-VLOOKUP((ROW($H65)-ROW($H$1)+1)*10+COLUMN(N$1)-COLUMN($H$1)+1,Beräkningshjälp!$AB$2:$AI$1082,3,FALSE),0)),0),"")</f>
        <v/>
      </c>
      <c r="O66" s="2" t="str">
        <f>IF($E66&lt;&gt;"",IF(AND($E66&lt;&gt;"EJFANGST",$G66&lt;&gt;"INGA"),IF(ISNUMBER(VLOOKUP((ROW($H65)-ROW($H$1)+1)*10+COLUMN(O$1)-COLUMN($H$1)+1,Beräkningshjälp!$AB$2:$AI$1082,7,FALSE)),VLOOKUP((ROW($H65)-ROW($H$1)+1)*10+COLUMN(O$1)-COLUMN($H$1)+1,Beräkningshjälp!$AB$2:$AI$1082,7,FALSE),IF(N66&gt;0,-VLOOKUP((ROW($H65)-ROW($H$1)+1)*10+COLUMN(O$1)-COLUMN($H$1)+1,Beräkningshjälp!$AB$2:$AI$1082,3,FALSE),0)),0),"")</f>
        <v/>
      </c>
      <c r="P66" s="2" t="str">
        <f>IF($E66&lt;&gt;"",IF(AND($E66&lt;&gt;"EJFANGST",$G66&lt;&gt;"INGA"),IF(ISNUMBER(VLOOKUP((ROW($H65)-ROW($H$1)+1)*10+COLUMN(P$1)-COLUMN($H$1)+1,Beräkningshjälp!$AB$2:$AI$1082,7,FALSE)),VLOOKUP((ROW($H65)-ROW($H$1)+1)*10+COLUMN(P$1)-COLUMN($H$1)+1,Beräkningshjälp!$AB$2:$AI$1082,7,FALSE),IF(O66&gt;0,-VLOOKUP((ROW($H65)-ROW($H$1)+1)*10+COLUMN(P$1)-COLUMN($H$1)+1,Beräkningshjälp!$AB$2:$AI$1082,3,FALSE),0)),0),"")</f>
        <v/>
      </c>
      <c r="Q66" s="2" t="str">
        <f>IF($E66&lt;&gt;"",IF(AND($E66&lt;&gt;"EJFANGST",$G66&lt;&gt;"INGA"),IF(ISNUMBER(VLOOKUP((ROW($H65)-ROW($H$1)+1)*10+COLUMN(Q$1)-COLUMN($H$1)+1,Beräkningshjälp!$AB$2:$AI$1082,7,FALSE)),VLOOKUP((ROW($H65)-ROW($H$1)+1)*10+COLUMN(Q$1)-COLUMN($H$1)+1,Beräkningshjälp!$AB$2:$AI$1082,7,FALSE),IF(P66&gt;0,-VLOOKUP((ROW($H65)-ROW($H$1)+1)*10+COLUMN(Q$1)-COLUMN($H$1)+1,Beräkningshjälp!$AB$2:$AI$1082,3,FALSE),0)),0),"")</f>
        <v/>
      </c>
      <c r="R66" s="116" t="str">
        <f>IF(COUNTIF(H66:Q66,"&gt;0")&gt;0,IF($E66&lt;&gt;"",IF(AND($E66&lt;&gt;"EJFANGST",$G66&lt;&gt;"INGA"),IF(ISNUMBER(VLOOKUP((ROW($H65)-ROW($H$1)+1)*10+COLUMN(H$1)-COLUMN($H$1)+1,Beräkningshjälp!$AB$2:$AI$1082,7,FALSE)),VLOOKUP((ROW($H65)-ROW($H$1)+1)*10+COLUMN(H$1)-COLUMN($H$1)+1,Beräkningshjälp!$AB$2:$AI$1082,3,FALSE),""),""),""),"")</f>
        <v/>
      </c>
    </row>
    <row r="67" spans="1:18" x14ac:dyDescent="0.25">
      <c r="A67" s="2" t="str">
        <f t="shared" ref="A67:A121" si="1">IF(D67&lt;&gt;"","LANGDER","")</f>
        <v/>
      </c>
      <c r="B67" s="2" t="str">
        <f>IF(D67&lt;&gt;"",'DATA TILL SLU'!$J$3,"")</f>
        <v/>
      </c>
      <c r="C67" s="2" t="str">
        <f>IF(D67&lt;&gt;"",'DATA TILL SLU'!$K$3,"")</f>
        <v/>
      </c>
      <c r="D67" s="2" t="str">
        <f>IF(OR(ROW(D66)-ROW(D$1)+1&lt;=MAX(Beräkningshjälp!$F$37:$F$54),ROW(D66)-ROW(D$1)+1&lt;=ROUND((MAX(Beräkningshjälp!AB$3:AB$1082)+4)/10,0)-1),D$2,"")</f>
        <v/>
      </c>
      <c r="E67" s="136" t="str">
        <f>IF(D67&lt;&gt;"",IF(COUNTIF(Beräkningshjälp!F$38:F$49,"&gt;0")&gt;=ROW(E66)-ROW(E$1)+1,VLOOKUP((VLOOKUP(ROW(E66)-ROW(E$1)+1,Beräkningshjälp!$F$37:$H$54,IF(ISNUMBER(VLOOKUP(ROW(E66)-ROW(E$1)+1,Beräkningshjälp!$F$37:$H$54,2,FALSE)),2,3),FALSE)),Beräkningshjälp!$M$2:$O$60,3,FALSE),VLOOKUP((ROW(E66)-ROW(E$1)+1)*10+1,Beräkningshjälp!$AB$2:$AF$1082,5,FALSE)),"")</f>
        <v/>
      </c>
      <c r="F67" s="2" t="str">
        <f>IF(D67&lt;&gt;"",Beräkningshjälp!$AH$1,"")</f>
        <v/>
      </c>
      <c r="G67" s="136" t="str">
        <f>IF(D67&lt;&gt;"",IF(COUNTIF(Beräkningshjälp!F$38:F$49,"&gt;0")&gt;=ROW(E66)-ROW(E$1)+1,"INGA",IF(COUNTIF(Beräkningshjälp!$G$38:$H$49,VLOOKUP(E67,Beräkningshjälp!$AF$2:$AG$1082,2,FALSE))&gt;0,"ENSTAK",IF(VLOOKUP(VLOOKUP(E67,Beräkningshjälp!O$2:U$60,7,FALSE),Artuppgifter!$I$11:$P$22,7,FALSE)=TRUE,"MINMAX","ALLA"))),"")</f>
        <v/>
      </c>
      <c r="H67" s="2" t="str">
        <f>IF($E67&lt;&gt;"",IF(AND($E67&lt;&gt;"EJFANGST",$G67&lt;&gt;"INGA"),IF(ISNUMBER(VLOOKUP((ROW($H66)-ROW($H$1)+1)*10+COLUMN(H$1)-COLUMN($H$1)+1,Beräkningshjälp!$AB$2:$AI$1082,7,FALSE)),VLOOKUP((ROW($H66)-ROW($H$1)+1)*10+COLUMN(H$1)-COLUMN($H$1)+1,Beräkningshjälp!$AB$2:$AI$1082,7,FALSE),IF(E67&gt;0,-VLOOKUP((ROW($H66)-ROW($H$1)+1)*10+COLUMN(H$1)-COLUMN($H$1)+1,Beräkningshjälp!$AB$2:$AI$1082,3,FALSE),0)),0),"")</f>
        <v/>
      </c>
      <c r="I67" s="2" t="str">
        <f>IF($E67&lt;&gt;"",IF(AND($E67&lt;&gt;"EJFANGST",$G67&lt;&gt;"INGA"),IF(ISNUMBER(VLOOKUP((ROW($H66)-ROW($H$1)+1)*10+COLUMN(I$1)-COLUMN($H$1)+1,Beräkningshjälp!$AB$2:$AI$1082,7,FALSE)),VLOOKUP((ROW($H66)-ROW($H$1)+1)*10+COLUMN(I$1)-COLUMN($H$1)+1,Beräkningshjälp!$AB$2:$AI$1082,7,FALSE),IF(H67&gt;0,-VLOOKUP((ROW($H66)-ROW($H$1)+1)*10+COLUMN(I$1)-COLUMN($H$1)+1,Beräkningshjälp!$AB$2:$AI$1082,3,FALSE),0)),0),"")</f>
        <v/>
      </c>
      <c r="J67" s="2" t="str">
        <f>IF($E67&lt;&gt;"",IF(AND($E67&lt;&gt;"EJFANGST",$G67&lt;&gt;"INGA"),IF(ISNUMBER(VLOOKUP((ROW($H66)-ROW($H$1)+1)*10+COLUMN(J$1)-COLUMN($H$1)+1,Beräkningshjälp!$AB$2:$AI$1082,7,FALSE)),VLOOKUP((ROW($H66)-ROW($H$1)+1)*10+COLUMN(J$1)-COLUMN($H$1)+1,Beräkningshjälp!$AB$2:$AI$1082,7,FALSE),IF(I67&gt;0,-VLOOKUP((ROW($H66)-ROW($H$1)+1)*10+COLUMN(J$1)-COLUMN($H$1)+1,Beräkningshjälp!$AB$2:$AI$1082,3,FALSE),0)),0),"")</f>
        <v/>
      </c>
      <c r="K67" s="2" t="str">
        <f>IF($E67&lt;&gt;"",IF(AND($E67&lt;&gt;"EJFANGST",$G67&lt;&gt;"INGA"),IF(ISNUMBER(VLOOKUP((ROW($H66)-ROW($H$1)+1)*10+COLUMN(K$1)-COLUMN($H$1)+1,Beräkningshjälp!$AB$2:$AI$1082,7,FALSE)),VLOOKUP((ROW($H66)-ROW($H$1)+1)*10+COLUMN(K$1)-COLUMN($H$1)+1,Beräkningshjälp!$AB$2:$AI$1082,7,FALSE),IF(J67&gt;0,-VLOOKUP((ROW($H66)-ROW($H$1)+1)*10+COLUMN(K$1)-COLUMN($H$1)+1,Beräkningshjälp!$AB$2:$AI$1082,3,FALSE),0)),0),"")</f>
        <v/>
      </c>
      <c r="L67" s="2" t="str">
        <f>IF($E67&lt;&gt;"",IF(AND($E67&lt;&gt;"EJFANGST",$G67&lt;&gt;"INGA"),IF(ISNUMBER(VLOOKUP((ROW($H66)-ROW($H$1)+1)*10+COLUMN(L$1)-COLUMN($H$1)+1,Beräkningshjälp!$AB$2:$AI$1082,7,FALSE)),VLOOKUP((ROW($H66)-ROW($H$1)+1)*10+COLUMN(L$1)-COLUMN($H$1)+1,Beräkningshjälp!$AB$2:$AI$1082,7,FALSE),IF(K67&gt;0,-VLOOKUP((ROW($H66)-ROW($H$1)+1)*10+COLUMN(L$1)-COLUMN($H$1)+1,Beräkningshjälp!$AB$2:$AI$1082,3,FALSE),0)),0),"")</f>
        <v/>
      </c>
      <c r="M67" s="2" t="str">
        <f>IF($E67&lt;&gt;"",IF(AND($E67&lt;&gt;"EJFANGST",$G67&lt;&gt;"INGA"),IF(ISNUMBER(VLOOKUP((ROW($H66)-ROW($H$1)+1)*10+COLUMN(M$1)-COLUMN($H$1)+1,Beräkningshjälp!$AB$2:$AI$1082,7,FALSE)),VLOOKUP((ROW($H66)-ROW($H$1)+1)*10+COLUMN(M$1)-COLUMN($H$1)+1,Beräkningshjälp!$AB$2:$AI$1082,7,FALSE),IF(L67&gt;0,-VLOOKUP((ROW($H66)-ROW($H$1)+1)*10+COLUMN(M$1)-COLUMN($H$1)+1,Beräkningshjälp!$AB$2:$AI$1082,3,FALSE),0)),0),"")</f>
        <v/>
      </c>
      <c r="N67" s="2" t="str">
        <f>IF($E67&lt;&gt;"",IF(AND($E67&lt;&gt;"EJFANGST",$G67&lt;&gt;"INGA"),IF(ISNUMBER(VLOOKUP((ROW($H66)-ROW($H$1)+1)*10+COLUMN(N$1)-COLUMN($H$1)+1,Beräkningshjälp!$AB$2:$AI$1082,7,FALSE)),VLOOKUP((ROW($H66)-ROW($H$1)+1)*10+COLUMN(N$1)-COLUMN($H$1)+1,Beräkningshjälp!$AB$2:$AI$1082,7,FALSE),IF(M67&gt;0,-VLOOKUP((ROW($H66)-ROW($H$1)+1)*10+COLUMN(N$1)-COLUMN($H$1)+1,Beräkningshjälp!$AB$2:$AI$1082,3,FALSE),0)),0),"")</f>
        <v/>
      </c>
      <c r="O67" s="2" t="str">
        <f>IF($E67&lt;&gt;"",IF(AND($E67&lt;&gt;"EJFANGST",$G67&lt;&gt;"INGA"),IF(ISNUMBER(VLOOKUP((ROW($H66)-ROW($H$1)+1)*10+COLUMN(O$1)-COLUMN($H$1)+1,Beräkningshjälp!$AB$2:$AI$1082,7,FALSE)),VLOOKUP((ROW($H66)-ROW($H$1)+1)*10+COLUMN(O$1)-COLUMN($H$1)+1,Beräkningshjälp!$AB$2:$AI$1082,7,FALSE),IF(N67&gt;0,-VLOOKUP((ROW($H66)-ROW($H$1)+1)*10+COLUMN(O$1)-COLUMN($H$1)+1,Beräkningshjälp!$AB$2:$AI$1082,3,FALSE),0)),0),"")</f>
        <v/>
      </c>
      <c r="P67" s="2" t="str">
        <f>IF($E67&lt;&gt;"",IF(AND($E67&lt;&gt;"EJFANGST",$G67&lt;&gt;"INGA"),IF(ISNUMBER(VLOOKUP((ROW($H66)-ROW($H$1)+1)*10+COLUMN(P$1)-COLUMN($H$1)+1,Beräkningshjälp!$AB$2:$AI$1082,7,FALSE)),VLOOKUP((ROW($H66)-ROW($H$1)+1)*10+COLUMN(P$1)-COLUMN($H$1)+1,Beräkningshjälp!$AB$2:$AI$1082,7,FALSE),IF(O67&gt;0,-VLOOKUP((ROW($H66)-ROW($H$1)+1)*10+COLUMN(P$1)-COLUMN($H$1)+1,Beräkningshjälp!$AB$2:$AI$1082,3,FALSE),0)),0),"")</f>
        <v/>
      </c>
      <c r="Q67" s="2" t="str">
        <f>IF($E67&lt;&gt;"",IF(AND($E67&lt;&gt;"EJFANGST",$G67&lt;&gt;"INGA"),IF(ISNUMBER(VLOOKUP((ROW($H66)-ROW($H$1)+1)*10+COLUMN(Q$1)-COLUMN($H$1)+1,Beräkningshjälp!$AB$2:$AI$1082,7,FALSE)),VLOOKUP((ROW($H66)-ROW($H$1)+1)*10+COLUMN(Q$1)-COLUMN($H$1)+1,Beräkningshjälp!$AB$2:$AI$1082,7,FALSE),IF(P67&gt;0,-VLOOKUP((ROW($H66)-ROW($H$1)+1)*10+COLUMN(Q$1)-COLUMN($H$1)+1,Beräkningshjälp!$AB$2:$AI$1082,3,FALSE),0)),0),"")</f>
        <v/>
      </c>
      <c r="R67" s="116" t="str">
        <f>IF(COUNTIF(H67:Q67,"&gt;0")&gt;0,IF($E67&lt;&gt;"",IF(AND($E67&lt;&gt;"EJFANGST",$G67&lt;&gt;"INGA"),IF(ISNUMBER(VLOOKUP((ROW($H66)-ROW($H$1)+1)*10+COLUMN(H$1)-COLUMN($H$1)+1,Beräkningshjälp!$AB$2:$AI$1082,7,FALSE)),VLOOKUP((ROW($H66)-ROW($H$1)+1)*10+COLUMN(H$1)-COLUMN($H$1)+1,Beräkningshjälp!$AB$2:$AI$1082,3,FALSE),""),""),""),"")</f>
        <v/>
      </c>
    </row>
    <row r="68" spans="1:18" x14ac:dyDescent="0.25">
      <c r="A68" s="2" t="str">
        <f t="shared" si="1"/>
        <v/>
      </c>
      <c r="B68" s="2" t="str">
        <f>IF(D68&lt;&gt;"",'DATA TILL SLU'!$J$3,"")</f>
        <v/>
      </c>
      <c r="C68" s="2" t="str">
        <f>IF(D68&lt;&gt;"",'DATA TILL SLU'!$K$3,"")</f>
        <v/>
      </c>
      <c r="D68" s="2" t="str">
        <f>IF(OR(ROW(D67)-ROW(D$1)+1&lt;=MAX(Beräkningshjälp!$F$37:$F$54),ROW(D67)-ROW(D$1)+1&lt;=ROUND((MAX(Beräkningshjälp!AB$3:AB$1082)+4)/10,0)-1),D$2,"")</f>
        <v/>
      </c>
      <c r="E68" s="136" t="str">
        <f>IF(D68&lt;&gt;"",IF(COUNTIF(Beräkningshjälp!F$38:F$49,"&gt;0")&gt;=ROW(E67)-ROW(E$1)+1,VLOOKUP((VLOOKUP(ROW(E67)-ROW(E$1)+1,Beräkningshjälp!$F$37:$H$54,IF(ISNUMBER(VLOOKUP(ROW(E67)-ROW(E$1)+1,Beräkningshjälp!$F$37:$H$54,2,FALSE)),2,3),FALSE)),Beräkningshjälp!$M$2:$O$60,3,FALSE),VLOOKUP((ROW(E67)-ROW(E$1)+1)*10+1,Beräkningshjälp!$AB$2:$AF$1082,5,FALSE)),"")</f>
        <v/>
      </c>
      <c r="F68" s="2" t="str">
        <f>IF(D68&lt;&gt;"",Beräkningshjälp!$AH$1,"")</f>
        <v/>
      </c>
      <c r="G68" s="136" t="str">
        <f>IF(D68&lt;&gt;"",IF(COUNTIF(Beräkningshjälp!F$38:F$49,"&gt;0")&gt;=ROW(E67)-ROW(E$1)+1,"INGA",IF(COUNTIF(Beräkningshjälp!$G$38:$H$49,VLOOKUP(E68,Beräkningshjälp!$AF$2:$AG$1082,2,FALSE))&gt;0,"ENSTAK",IF(VLOOKUP(VLOOKUP(E68,Beräkningshjälp!O$2:U$60,7,FALSE),Artuppgifter!$I$11:$P$22,7,FALSE)=TRUE,"MINMAX","ALLA"))),"")</f>
        <v/>
      </c>
      <c r="H68" s="2" t="str">
        <f>IF($E68&lt;&gt;"",IF(AND($E68&lt;&gt;"EJFANGST",$G68&lt;&gt;"INGA"),IF(ISNUMBER(VLOOKUP((ROW($H67)-ROW($H$1)+1)*10+COLUMN(H$1)-COLUMN($H$1)+1,Beräkningshjälp!$AB$2:$AI$1082,7,FALSE)),VLOOKUP((ROW($H67)-ROW($H$1)+1)*10+COLUMN(H$1)-COLUMN($H$1)+1,Beräkningshjälp!$AB$2:$AI$1082,7,FALSE),IF(E68&gt;0,-VLOOKUP((ROW($H67)-ROW($H$1)+1)*10+COLUMN(H$1)-COLUMN($H$1)+1,Beräkningshjälp!$AB$2:$AI$1082,3,FALSE),0)),0),"")</f>
        <v/>
      </c>
      <c r="I68" s="2" t="str">
        <f>IF($E68&lt;&gt;"",IF(AND($E68&lt;&gt;"EJFANGST",$G68&lt;&gt;"INGA"),IF(ISNUMBER(VLOOKUP((ROW($H67)-ROW($H$1)+1)*10+COLUMN(I$1)-COLUMN($H$1)+1,Beräkningshjälp!$AB$2:$AI$1082,7,FALSE)),VLOOKUP((ROW($H67)-ROW($H$1)+1)*10+COLUMN(I$1)-COLUMN($H$1)+1,Beräkningshjälp!$AB$2:$AI$1082,7,FALSE),IF(H68&gt;0,-VLOOKUP((ROW($H67)-ROW($H$1)+1)*10+COLUMN(I$1)-COLUMN($H$1)+1,Beräkningshjälp!$AB$2:$AI$1082,3,FALSE),0)),0),"")</f>
        <v/>
      </c>
      <c r="J68" s="2" t="str">
        <f>IF($E68&lt;&gt;"",IF(AND($E68&lt;&gt;"EJFANGST",$G68&lt;&gt;"INGA"),IF(ISNUMBER(VLOOKUP((ROW($H67)-ROW($H$1)+1)*10+COLUMN(J$1)-COLUMN($H$1)+1,Beräkningshjälp!$AB$2:$AI$1082,7,FALSE)),VLOOKUP((ROW($H67)-ROW($H$1)+1)*10+COLUMN(J$1)-COLUMN($H$1)+1,Beräkningshjälp!$AB$2:$AI$1082,7,FALSE),IF(I68&gt;0,-VLOOKUP((ROW($H67)-ROW($H$1)+1)*10+COLUMN(J$1)-COLUMN($H$1)+1,Beräkningshjälp!$AB$2:$AI$1082,3,FALSE),0)),0),"")</f>
        <v/>
      </c>
      <c r="K68" s="2" t="str">
        <f>IF($E68&lt;&gt;"",IF(AND($E68&lt;&gt;"EJFANGST",$G68&lt;&gt;"INGA"),IF(ISNUMBER(VLOOKUP((ROW($H67)-ROW($H$1)+1)*10+COLUMN(K$1)-COLUMN($H$1)+1,Beräkningshjälp!$AB$2:$AI$1082,7,FALSE)),VLOOKUP((ROW($H67)-ROW($H$1)+1)*10+COLUMN(K$1)-COLUMN($H$1)+1,Beräkningshjälp!$AB$2:$AI$1082,7,FALSE),IF(J68&gt;0,-VLOOKUP((ROW($H67)-ROW($H$1)+1)*10+COLUMN(K$1)-COLUMN($H$1)+1,Beräkningshjälp!$AB$2:$AI$1082,3,FALSE),0)),0),"")</f>
        <v/>
      </c>
      <c r="L68" s="2" t="str">
        <f>IF($E68&lt;&gt;"",IF(AND($E68&lt;&gt;"EJFANGST",$G68&lt;&gt;"INGA"),IF(ISNUMBER(VLOOKUP((ROW($H67)-ROW($H$1)+1)*10+COLUMN(L$1)-COLUMN($H$1)+1,Beräkningshjälp!$AB$2:$AI$1082,7,FALSE)),VLOOKUP((ROW($H67)-ROW($H$1)+1)*10+COLUMN(L$1)-COLUMN($H$1)+1,Beräkningshjälp!$AB$2:$AI$1082,7,FALSE),IF(K68&gt;0,-VLOOKUP((ROW($H67)-ROW($H$1)+1)*10+COLUMN(L$1)-COLUMN($H$1)+1,Beräkningshjälp!$AB$2:$AI$1082,3,FALSE),0)),0),"")</f>
        <v/>
      </c>
      <c r="M68" s="2" t="str">
        <f>IF($E68&lt;&gt;"",IF(AND($E68&lt;&gt;"EJFANGST",$G68&lt;&gt;"INGA"),IF(ISNUMBER(VLOOKUP((ROW($H67)-ROW($H$1)+1)*10+COLUMN(M$1)-COLUMN($H$1)+1,Beräkningshjälp!$AB$2:$AI$1082,7,FALSE)),VLOOKUP((ROW($H67)-ROW($H$1)+1)*10+COLUMN(M$1)-COLUMN($H$1)+1,Beräkningshjälp!$AB$2:$AI$1082,7,FALSE),IF(L68&gt;0,-VLOOKUP((ROW($H67)-ROW($H$1)+1)*10+COLUMN(M$1)-COLUMN($H$1)+1,Beräkningshjälp!$AB$2:$AI$1082,3,FALSE),0)),0),"")</f>
        <v/>
      </c>
      <c r="N68" s="2" t="str">
        <f>IF($E68&lt;&gt;"",IF(AND($E68&lt;&gt;"EJFANGST",$G68&lt;&gt;"INGA"),IF(ISNUMBER(VLOOKUP((ROW($H67)-ROW($H$1)+1)*10+COLUMN(N$1)-COLUMN($H$1)+1,Beräkningshjälp!$AB$2:$AI$1082,7,FALSE)),VLOOKUP((ROW($H67)-ROW($H$1)+1)*10+COLUMN(N$1)-COLUMN($H$1)+1,Beräkningshjälp!$AB$2:$AI$1082,7,FALSE),IF(M68&gt;0,-VLOOKUP((ROW($H67)-ROW($H$1)+1)*10+COLUMN(N$1)-COLUMN($H$1)+1,Beräkningshjälp!$AB$2:$AI$1082,3,FALSE),0)),0),"")</f>
        <v/>
      </c>
      <c r="O68" s="2" t="str">
        <f>IF($E68&lt;&gt;"",IF(AND($E68&lt;&gt;"EJFANGST",$G68&lt;&gt;"INGA"),IF(ISNUMBER(VLOOKUP((ROW($H67)-ROW($H$1)+1)*10+COLUMN(O$1)-COLUMN($H$1)+1,Beräkningshjälp!$AB$2:$AI$1082,7,FALSE)),VLOOKUP((ROW($H67)-ROW($H$1)+1)*10+COLUMN(O$1)-COLUMN($H$1)+1,Beräkningshjälp!$AB$2:$AI$1082,7,FALSE),IF(N68&gt;0,-VLOOKUP((ROW($H67)-ROW($H$1)+1)*10+COLUMN(O$1)-COLUMN($H$1)+1,Beräkningshjälp!$AB$2:$AI$1082,3,FALSE),0)),0),"")</f>
        <v/>
      </c>
      <c r="P68" s="2" t="str">
        <f>IF($E68&lt;&gt;"",IF(AND($E68&lt;&gt;"EJFANGST",$G68&lt;&gt;"INGA"),IF(ISNUMBER(VLOOKUP((ROW($H67)-ROW($H$1)+1)*10+COLUMN(P$1)-COLUMN($H$1)+1,Beräkningshjälp!$AB$2:$AI$1082,7,FALSE)),VLOOKUP((ROW($H67)-ROW($H$1)+1)*10+COLUMN(P$1)-COLUMN($H$1)+1,Beräkningshjälp!$AB$2:$AI$1082,7,FALSE),IF(O68&gt;0,-VLOOKUP((ROW($H67)-ROW($H$1)+1)*10+COLUMN(P$1)-COLUMN($H$1)+1,Beräkningshjälp!$AB$2:$AI$1082,3,FALSE),0)),0),"")</f>
        <v/>
      </c>
      <c r="Q68" s="2" t="str">
        <f>IF($E68&lt;&gt;"",IF(AND($E68&lt;&gt;"EJFANGST",$G68&lt;&gt;"INGA"),IF(ISNUMBER(VLOOKUP((ROW($H67)-ROW($H$1)+1)*10+COLUMN(Q$1)-COLUMN($H$1)+1,Beräkningshjälp!$AB$2:$AI$1082,7,FALSE)),VLOOKUP((ROW($H67)-ROW($H$1)+1)*10+COLUMN(Q$1)-COLUMN($H$1)+1,Beräkningshjälp!$AB$2:$AI$1082,7,FALSE),IF(P68&gt;0,-VLOOKUP((ROW($H67)-ROW($H$1)+1)*10+COLUMN(Q$1)-COLUMN($H$1)+1,Beräkningshjälp!$AB$2:$AI$1082,3,FALSE),0)),0),"")</f>
        <v/>
      </c>
      <c r="R68" s="116" t="str">
        <f>IF(COUNTIF(H68:Q68,"&gt;0")&gt;0,IF($E68&lt;&gt;"",IF(AND($E68&lt;&gt;"EJFANGST",$G68&lt;&gt;"INGA"),IF(ISNUMBER(VLOOKUP((ROW($H67)-ROW($H$1)+1)*10+COLUMN(H$1)-COLUMN($H$1)+1,Beräkningshjälp!$AB$2:$AI$1082,7,FALSE)),VLOOKUP((ROW($H67)-ROW($H$1)+1)*10+COLUMN(H$1)-COLUMN($H$1)+1,Beräkningshjälp!$AB$2:$AI$1082,3,FALSE),""),""),""),"")</f>
        <v/>
      </c>
    </row>
    <row r="69" spans="1:18" x14ac:dyDescent="0.25">
      <c r="A69" s="2" t="str">
        <f t="shared" si="1"/>
        <v/>
      </c>
      <c r="B69" s="2" t="str">
        <f>IF(D69&lt;&gt;"",'DATA TILL SLU'!$J$3,"")</f>
        <v/>
      </c>
      <c r="C69" s="2" t="str">
        <f>IF(D69&lt;&gt;"",'DATA TILL SLU'!$K$3,"")</f>
        <v/>
      </c>
      <c r="D69" s="2" t="str">
        <f>IF(OR(ROW(D68)-ROW(D$1)+1&lt;=MAX(Beräkningshjälp!$F$37:$F$54),ROW(D68)-ROW(D$1)+1&lt;=ROUND((MAX(Beräkningshjälp!AB$3:AB$1082)+4)/10,0)-1),D$2,"")</f>
        <v/>
      </c>
      <c r="E69" s="136" t="str">
        <f>IF(D69&lt;&gt;"",IF(COUNTIF(Beräkningshjälp!F$38:F$49,"&gt;0")&gt;=ROW(E68)-ROW(E$1)+1,VLOOKUP((VLOOKUP(ROW(E68)-ROW(E$1)+1,Beräkningshjälp!$F$37:$H$54,IF(ISNUMBER(VLOOKUP(ROW(E68)-ROW(E$1)+1,Beräkningshjälp!$F$37:$H$54,2,FALSE)),2,3),FALSE)),Beräkningshjälp!$M$2:$O$60,3,FALSE),VLOOKUP((ROW(E68)-ROW(E$1)+1)*10+1,Beräkningshjälp!$AB$2:$AF$1082,5,FALSE)),"")</f>
        <v/>
      </c>
      <c r="F69" s="2" t="str">
        <f>IF(D69&lt;&gt;"",Beräkningshjälp!$AH$1,"")</f>
        <v/>
      </c>
      <c r="G69" s="136" t="str">
        <f>IF(D69&lt;&gt;"",IF(COUNTIF(Beräkningshjälp!F$38:F$49,"&gt;0")&gt;=ROW(E68)-ROW(E$1)+1,"INGA",IF(COUNTIF(Beräkningshjälp!$G$38:$H$49,VLOOKUP(E69,Beräkningshjälp!$AF$2:$AG$1082,2,FALSE))&gt;0,"ENSTAK",IF(VLOOKUP(VLOOKUP(E69,Beräkningshjälp!O$2:U$60,7,FALSE),Artuppgifter!$I$11:$P$22,7,FALSE)=TRUE,"MINMAX","ALLA"))),"")</f>
        <v/>
      </c>
      <c r="H69" s="2" t="str">
        <f>IF($E69&lt;&gt;"",IF(AND($E69&lt;&gt;"EJFANGST",$G69&lt;&gt;"INGA"),IF(ISNUMBER(VLOOKUP((ROW($H68)-ROW($H$1)+1)*10+COLUMN(H$1)-COLUMN($H$1)+1,Beräkningshjälp!$AB$2:$AI$1082,7,FALSE)),VLOOKUP((ROW($H68)-ROW($H$1)+1)*10+COLUMN(H$1)-COLUMN($H$1)+1,Beräkningshjälp!$AB$2:$AI$1082,7,FALSE),IF(E69&gt;0,-VLOOKUP((ROW($H68)-ROW($H$1)+1)*10+COLUMN(H$1)-COLUMN($H$1)+1,Beräkningshjälp!$AB$2:$AI$1082,3,FALSE),0)),0),"")</f>
        <v/>
      </c>
      <c r="I69" s="2" t="str">
        <f>IF($E69&lt;&gt;"",IF(AND($E69&lt;&gt;"EJFANGST",$G69&lt;&gt;"INGA"),IF(ISNUMBER(VLOOKUP((ROW($H68)-ROW($H$1)+1)*10+COLUMN(I$1)-COLUMN($H$1)+1,Beräkningshjälp!$AB$2:$AI$1082,7,FALSE)),VLOOKUP((ROW($H68)-ROW($H$1)+1)*10+COLUMN(I$1)-COLUMN($H$1)+1,Beräkningshjälp!$AB$2:$AI$1082,7,FALSE),IF(H69&gt;0,-VLOOKUP((ROW($H68)-ROW($H$1)+1)*10+COLUMN(I$1)-COLUMN($H$1)+1,Beräkningshjälp!$AB$2:$AI$1082,3,FALSE),0)),0),"")</f>
        <v/>
      </c>
      <c r="J69" s="2" t="str">
        <f>IF($E69&lt;&gt;"",IF(AND($E69&lt;&gt;"EJFANGST",$G69&lt;&gt;"INGA"),IF(ISNUMBER(VLOOKUP((ROW($H68)-ROW($H$1)+1)*10+COLUMN(J$1)-COLUMN($H$1)+1,Beräkningshjälp!$AB$2:$AI$1082,7,FALSE)),VLOOKUP((ROW($H68)-ROW($H$1)+1)*10+COLUMN(J$1)-COLUMN($H$1)+1,Beräkningshjälp!$AB$2:$AI$1082,7,FALSE),IF(I69&gt;0,-VLOOKUP((ROW($H68)-ROW($H$1)+1)*10+COLUMN(J$1)-COLUMN($H$1)+1,Beräkningshjälp!$AB$2:$AI$1082,3,FALSE),0)),0),"")</f>
        <v/>
      </c>
      <c r="K69" s="2" t="str">
        <f>IF($E69&lt;&gt;"",IF(AND($E69&lt;&gt;"EJFANGST",$G69&lt;&gt;"INGA"),IF(ISNUMBER(VLOOKUP((ROW($H68)-ROW($H$1)+1)*10+COLUMN(K$1)-COLUMN($H$1)+1,Beräkningshjälp!$AB$2:$AI$1082,7,FALSE)),VLOOKUP((ROW($H68)-ROW($H$1)+1)*10+COLUMN(K$1)-COLUMN($H$1)+1,Beräkningshjälp!$AB$2:$AI$1082,7,FALSE),IF(J69&gt;0,-VLOOKUP((ROW($H68)-ROW($H$1)+1)*10+COLUMN(K$1)-COLUMN($H$1)+1,Beräkningshjälp!$AB$2:$AI$1082,3,FALSE),0)),0),"")</f>
        <v/>
      </c>
      <c r="L69" s="2" t="str">
        <f>IF($E69&lt;&gt;"",IF(AND($E69&lt;&gt;"EJFANGST",$G69&lt;&gt;"INGA"),IF(ISNUMBER(VLOOKUP((ROW($H68)-ROW($H$1)+1)*10+COLUMN(L$1)-COLUMN($H$1)+1,Beräkningshjälp!$AB$2:$AI$1082,7,FALSE)),VLOOKUP((ROW($H68)-ROW($H$1)+1)*10+COLUMN(L$1)-COLUMN($H$1)+1,Beräkningshjälp!$AB$2:$AI$1082,7,FALSE),IF(K69&gt;0,-VLOOKUP((ROW($H68)-ROW($H$1)+1)*10+COLUMN(L$1)-COLUMN($H$1)+1,Beräkningshjälp!$AB$2:$AI$1082,3,FALSE),0)),0),"")</f>
        <v/>
      </c>
      <c r="M69" s="2" t="str">
        <f>IF($E69&lt;&gt;"",IF(AND($E69&lt;&gt;"EJFANGST",$G69&lt;&gt;"INGA"),IF(ISNUMBER(VLOOKUP((ROW($H68)-ROW($H$1)+1)*10+COLUMN(M$1)-COLUMN($H$1)+1,Beräkningshjälp!$AB$2:$AI$1082,7,FALSE)),VLOOKUP((ROW($H68)-ROW($H$1)+1)*10+COLUMN(M$1)-COLUMN($H$1)+1,Beräkningshjälp!$AB$2:$AI$1082,7,FALSE),IF(L69&gt;0,-VLOOKUP((ROW($H68)-ROW($H$1)+1)*10+COLUMN(M$1)-COLUMN($H$1)+1,Beräkningshjälp!$AB$2:$AI$1082,3,FALSE),0)),0),"")</f>
        <v/>
      </c>
      <c r="N69" s="2" t="str">
        <f>IF($E69&lt;&gt;"",IF(AND($E69&lt;&gt;"EJFANGST",$G69&lt;&gt;"INGA"),IF(ISNUMBER(VLOOKUP((ROW($H68)-ROW($H$1)+1)*10+COLUMN(N$1)-COLUMN($H$1)+1,Beräkningshjälp!$AB$2:$AI$1082,7,FALSE)),VLOOKUP((ROW($H68)-ROW($H$1)+1)*10+COLUMN(N$1)-COLUMN($H$1)+1,Beräkningshjälp!$AB$2:$AI$1082,7,FALSE),IF(M69&gt;0,-VLOOKUP((ROW($H68)-ROW($H$1)+1)*10+COLUMN(N$1)-COLUMN($H$1)+1,Beräkningshjälp!$AB$2:$AI$1082,3,FALSE),0)),0),"")</f>
        <v/>
      </c>
      <c r="O69" s="2" t="str">
        <f>IF($E69&lt;&gt;"",IF(AND($E69&lt;&gt;"EJFANGST",$G69&lt;&gt;"INGA"),IF(ISNUMBER(VLOOKUP((ROW($H68)-ROW($H$1)+1)*10+COLUMN(O$1)-COLUMN($H$1)+1,Beräkningshjälp!$AB$2:$AI$1082,7,FALSE)),VLOOKUP((ROW($H68)-ROW($H$1)+1)*10+COLUMN(O$1)-COLUMN($H$1)+1,Beräkningshjälp!$AB$2:$AI$1082,7,FALSE),IF(N69&gt;0,-VLOOKUP((ROW($H68)-ROW($H$1)+1)*10+COLUMN(O$1)-COLUMN($H$1)+1,Beräkningshjälp!$AB$2:$AI$1082,3,FALSE),0)),0),"")</f>
        <v/>
      </c>
      <c r="P69" s="2" t="str">
        <f>IF($E69&lt;&gt;"",IF(AND($E69&lt;&gt;"EJFANGST",$G69&lt;&gt;"INGA"),IF(ISNUMBER(VLOOKUP((ROW($H68)-ROW($H$1)+1)*10+COLUMN(P$1)-COLUMN($H$1)+1,Beräkningshjälp!$AB$2:$AI$1082,7,FALSE)),VLOOKUP((ROW($H68)-ROW($H$1)+1)*10+COLUMN(P$1)-COLUMN($H$1)+1,Beräkningshjälp!$AB$2:$AI$1082,7,FALSE),IF(O69&gt;0,-VLOOKUP((ROW($H68)-ROW($H$1)+1)*10+COLUMN(P$1)-COLUMN($H$1)+1,Beräkningshjälp!$AB$2:$AI$1082,3,FALSE),0)),0),"")</f>
        <v/>
      </c>
      <c r="Q69" s="2" t="str">
        <f>IF($E69&lt;&gt;"",IF(AND($E69&lt;&gt;"EJFANGST",$G69&lt;&gt;"INGA"),IF(ISNUMBER(VLOOKUP((ROW($H68)-ROW($H$1)+1)*10+COLUMN(Q$1)-COLUMN($H$1)+1,Beräkningshjälp!$AB$2:$AI$1082,7,FALSE)),VLOOKUP((ROW($H68)-ROW($H$1)+1)*10+COLUMN(Q$1)-COLUMN($H$1)+1,Beräkningshjälp!$AB$2:$AI$1082,7,FALSE),IF(P69&gt;0,-VLOOKUP((ROW($H68)-ROW($H$1)+1)*10+COLUMN(Q$1)-COLUMN($H$1)+1,Beräkningshjälp!$AB$2:$AI$1082,3,FALSE),0)),0),"")</f>
        <v/>
      </c>
      <c r="R69" s="116" t="str">
        <f>IF(COUNTIF(H69:Q69,"&gt;0")&gt;0,IF($E69&lt;&gt;"",IF(AND($E69&lt;&gt;"EJFANGST",$G69&lt;&gt;"INGA"),IF(ISNUMBER(VLOOKUP((ROW($H68)-ROW($H$1)+1)*10+COLUMN(H$1)-COLUMN($H$1)+1,Beräkningshjälp!$AB$2:$AI$1082,7,FALSE)),VLOOKUP((ROW($H68)-ROW($H$1)+1)*10+COLUMN(H$1)-COLUMN($H$1)+1,Beräkningshjälp!$AB$2:$AI$1082,3,FALSE),""),""),""),"")</f>
        <v/>
      </c>
    </row>
    <row r="70" spans="1:18" x14ac:dyDescent="0.25">
      <c r="A70" s="2" t="str">
        <f t="shared" si="1"/>
        <v/>
      </c>
      <c r="B70" s="2" t="str">
        <f>IF(D70&lt;&gt;"",'DATA TILL SLU'!$J$3,"")</f>
        <v/>
      </c>
      <c r="C70" s="2" t="str">
        <f>IF(D70&lt;&gt;"",'DATA TILL SLU'!$K$3,"")</f>
        <v/>
      </c>
      <c r="D70" s="2" t="str">
        <f>IF(OR(ROW(D69)-ROW(D$1)+1&lt;=MAX(Beräkningshjälp!$F$37:$F$54),ROW(D69)-ROW(D$1)+1&lt;=ROUND((MAX(Beräkningshjälp!AB$3:AB$1082)+4)/10,0)-1),D$2,"")</f>
        <v/>
      </c>
      <c r="E70" s="136" t="str">
        <f>IF(D70&lt;&gt;"",IF(COUNTIF(Beräkningshjälp!F$38:F$49,"&gt;0")&gt;=ROW(E69)-ROW(E$1)+1,VLOOKUP((VLOOKUP(ROW(E69)-ROW(E$1)+1,Beräkningshjälp!$F$37:$H$54,IF(ISNUMBER(VLOOKUP(ROW(E69)-ROW(E$1)+1,Beräkningshjälp!$F$37:$H$54,2,FALSE)),2,3),FALSE)),Beräkningshjälp!$M$2:$O$60,3,FALSE),VLOOKUP((ROW(E69)-ROW(E$1)+1)*10+1,Beräkningshjälp!$AB$2:$AF$1082,5,FALSE)),"")</f>
        <v/>
      </c>
      <c r="F70" s="2" t="str">
        <f>IF(D70&lt;&gt;"",Beräkningshjälp!$AH$1,"")</f>
        <v/>
      </c>
      <c r="G70" s="136" t="str">
        <f>IF(D70&lt;&gt;"",IF(COUNTIF(Beräkningshjälp!F$38:F$49,"&gt;0")&gt;=ROW(E69)-ROW(E$1)+1,"INGA",IF(COUNTIF(Beräkningshjälp!$G$38:$H$49,VLOOKUP(E70,Beräkningshjälp!$AF$2:$AG$1082,2,FALSE))&gt;0,"ENSTAK",IF(VLOOKUP(VLOOKUP(E70,Beräkningshjälp!O$2:U$60,7,FALSE),Artuppgifter!$I$11:$P$22,7,FALSE)=TRUE,"MINMAX","ALLA"))),"")</f>
        <v/>
      </c>
      <c r="H70" s="2" t="str">
        <f>IF($E70&lt;&gt;"",IF(AND($E70&lt;&gt;"EJFANGST",$G70&lt;&gt;"INGA"),IF(ISNUMBER(VLOOKUP((ROW($H69)-ROW($H$1)+1)*10+COLUMN(H$1)-COLUMN($H$1)+1,Beräkningshjälp!$AB$2:$AI$1082,7,FALSE)),VLOOKUP((ROW($H69)-ROW($H$1)+1)*10+COLUMN(H$1)-COLUMN($H$1)+1,Beräkningshjälp!$AB$2:$AI$1082,7,FALSE),IF(E70&gt;0,-VLOOKUP((ROW($H69)-ROW($H$1)+1)*10+COLUMN(H$1)-COLUMN($H$1)+1,Beräkningshjälp!$AB$2:$AI$1082,3,FALSE),0)),0),"")</f>
        <v/>
      </c>
      <c r="I70" s="2" t="str">
        <f>IF($E70&lt;&gt;"",IF(AND($E70&lt;&gt;"EJFANGST",$G70&lt;&gt;"INGA"),IF(ISNUMBER(VLOOKUP((ROW($H69)-ROW($H$1)+1)*10+COLUMN(I$1)-COLUMN($H$1)+1,Beräkningshjälp!$AB$2:$AI$1082,7,FALSE)),VLOOKUP((ROW($H69)-ROW($H$1)+1)*10+COLUMN(I$1)-COLUMN($H$1)+1,Beräkningshjälp!$AB$2:$AI$1082,7,FALSE),IF(H70&gt;0,-VLOOKUP((ROW($H69)-ROW($H$1)+1)*10+COLUMN(I$1)-COLUMN($H$1)+1,Beräkningshjälp!$AB$2:$AI$1082,3,FALSE),0)),0),"")</f>
        <v/>
      </c>
      <c r="J70" s="2" t="str">
        <f>IF($E70&lt;&gt;"",IF(AND($E70&lt;&gt;"EJFANGST",$G70&lt;&gt;"INGA"),IF(ISNUMBER(VLOOKUP((ROW($H69)-ROW($H$1)+1)*10+COLUMN(J$1)-COLUMN($H$1)+1,Beräkningshjälp!$AB$2:$AI$1082,7,FALSE)),VLOOKUP((ROW($H69)-ROW($H$1)+1)*10+COLUMN(J$1)-COLUMN($H$1)+1,Beräkningshjälp!$AB$2:$AI$1082,7,FALSE),IF(I70&gt;0,-VLOOKUP((ROW($H69)-ROW($H$1)+1)*10+COLUMN(J$1)-COLUMN($H$1)+1,Beräkningshjälp!$AB$2:$AI$1082,3,FALSE),0)),0),"")</f>
        <v/>
      </c>
      <c r="K70" s="2" t="str">
        <f>IF($E70&lt;&gt;"",IF(AND($E70&lt;&gt;"EJFANGST",$G70&lt;&gt;"INGA"),IF(ISNUMBER(VLOOKUP((ROW($H69)-ROW($H$1)+1)*10+COLUMN(K$1)-COLUMN($H$1)+1,Beräkningshjälp!$AB$2:$AI$1082,7,FALSE)),VLOOKUP((ROW($H69)-ROW($H$1)+1)*10+COLUMN(K$1)-COLUMN($H$1)+1,Beräkningshjälp!$AB$2:$AI$1082,7,FALSE),IF(J70&gt;0,-VLOOKUP((ROW($H69)-ROW($H$1)+1)*10+COLUMN(K$1)-COLUMN($H$1)+1,Beräkningshjälp!$AB$2:$AI$1082,3,FALSE),0)),0),"")</f>
        <v/>
      </c>
      <c r="L70" s="2" t="str">
        <f>IF($E70&lt;&gt;"",IF(AND($E70&lt;&gt;"EJFANGST",$G70&lt;&gt;"INGA"),IF(ISNUMBER(VLOOKUP((ROW($H69)-ROW($H$1)+1)*10+COLUMN(L$1)-COLUMN($H$1)+1,Beräkningshjälp!$AB$2:$AI$1082,7,FALSE)),VLOOKUP((ROW($H69)-ROW($H$1)+1)*10+COLUMN(L$1)-COLUMN($H$1)+1,Beräkningshjälp!$AB$2:$AI$1082,7,FALSE),IF(K70&gt;0,-VLOOKUP((ROW($H69)-ROW($H$1)+1)*10+COLUMN(L$1)-COLUMN($H$1)+1,Beräkningshjälp!$AB$2:$AI$1082,3,FALSE),0)),0),"")</f>
        <v/>
      </c>
      <c r="M70" s="2" t="str">
        <f>IF($E70&lt;&gt;"",IF(AND($E70&lt;&gt;"EJFANGST",$G70&lt;&gt;"INGA"),IF(ISNUMBER(VLOOKUP((ROW($H69)-ROW($H$1)+1)*10+COLUMN(M$1)-COLUMN($H$1)+1,Beräkningshjälp!$AB$2:$AI$1082,7,FALSE)),VLOOKUP((ROW($H69)-ROW($H$1)+1)*10+COLUMN(M$1)-COLUMN($H$1)+1,Beräkningshjälp!$AB$2:$AI$1082,7,FALSE),IF(L70&gt;0,-VLOOKUP((ROW($H69)-ROW($H$1)+1)*10+COLUMN(M$1)-COLUMN($H$1)+1,Beräkningshjälp!$AB$2:$AI$1082,3,FALSE),0)),0),"")</f>
        <v/>
      </c>
      <c r="N70" s="2" t="str">
        <f>IF($E70&lt;&gt;"",IF(AND($E70&lt;&gt;"EJFANGST",$G70&lt;&gt;"INGA"),IF(ISNUMBER(VLOOKUP((ROW($H69)-ROW($H$1)+1)*10+COLUMN(N$1)-COLUMN($H$1)+1,Beräkningshjälp!$AB$2:$AI$1082,7,FALSE)),VLOOKUP((ROW($H69)-ROW($H$1)+1)*10+COLUMN(N$1)-COLUMN($H$1)+1,Beräkningshjälp!$AB$2:$AI$1082,7,FALSE),IF(M70&gt;0,-VLOOKUP((ROW($H69)-ROW($H$1)+1)*10+COLUMN(N$1)-COLUMN($H$1)+1,Beräkningshjälp!$AB$2:$AI$1082,3,FALSE),0)),0),"")</f>
        <v/>
      </c>
      <c r="O70" s="2" t="str">
        <f>IF($E70&lt;&gt;"",IF(AND($E70&lt;&gt;"EJFANGST",$G70&lt;&gt;"INGA"),IF(ISNUMBER(VLOOKUP((ROW($H69)-ROW($H$1)+1)*10+COLUMN(O$1)-COLUMN($H$1)+1,Beräkningshjälp!$AB$2:$AI$1082,7,FALSE)),VLOOKUP((ROW($H69)-ROW($H$1)+1)*10+COLUMN(O$1)-COLUMN($H$1)+1,Beräkningshjälp!$AB$2:$AI$1082,7,FALSE),IF(N70&gt;0,-VLOOKUP((ROW($H69)-ROW($H$1)+1)*10+COLUMN(O$1)-COLUMN($H$1)+1,Beräkningshjälp!$AB$2:$AI$1082,3,FALSE),0)),0),"")</f>
        <v/>
      </c>
      <c r="P70" s="2" t="str">
        <f>IF($E70&lt;&gt;"",IF(AND($E70&lt;&gt;"EJFANGST",$G70&lt;&gt;"INGA"),IF(ISNUMBER(VLOOKUP((ROW($H69)-ROW($H$1)+1)*10+COLUMN(P$1)-COLUMN($H$1)+1,Beräkningshjälp!$AB$2:$AI$1082,7,FALSE)),VLOOKUP((ROW($H69)-ROW($H$1)+1)*10+COLUMN(P$1)-COLUMN($H$1)+1,Beräkningshjälp!$AB$2:$AI$1082,7,FALSE),IF(O70&gt;0,-VLOOKUP((ROW($H69)-ROW($H$1)+1)*10+COLUMN(P$1)-COLUMN($H$1)+1,Beräkningshjälp!$AB$2:$AI$1082,3,FALSE),0)),0),"")</f>
        <v/>
      </c>
      <c r="Q70" s="2" t="str">
        <f>IF($E70&lt;&gt;"",IF(AND($E70&lt;&gt;"EJFANGST",$G70&lt;&gt;"INGA"),IF(ISNUMBER(VLOOKUP((ROW($H69)-ROW($H$1)+1)*10+COLUMN(Q$1)-COLUMN($H$1)+1,Beräkningshjälp!$AB$2:$AI$1082,7,FALSE)),VLOOKUP((ROW($H69)-ROW($H$1)+1)*10+COLUMN(Q$1)-COLUMN($H$1)+1,Beräkningshjälp!$AB$2:$AI$1082,7,FALSE),IF(P70&gt;0,-VLOOKUP((ROW($H69)-ROW($H$1)+1)*10+COLUMN(Q$1)-COLUMN($H$1)+1,Beräkningshjälp!$AB$2:$AI$1082,3,FALSE),0)),0),"")</f>
        <v/>
      </c>
      <c r="R70" s="116" t="str">
        <f>IF(COUNTIF(H70:Q70,"&gt;0")&gt;0,IF($E70&lt;&gt;"",IF(AND($E70&lt;&gt;"EJFANGST",$G70&lt;&gt;"INGA"),IF(ISNUMBER(VLOOKUP((ROW($H69)-ROW($H$1)+1)*10+COLUMN(H$1)-COLUMN($H$1)+1,Beräkningshjälp!$AB$2:$AI$1082,7,FALSE)),VLOOKUP((ROW($H69)-ROW($H$1)+1)*10+COLUMN(H$1)-COLUMN($H$1)+1,Beräkningshjälp!$AB$2:$AI$1082,3,FALSE),""),""),""),"")</f>
        <v/>
      </c>
    </row>
    <row r="71" spans="1:18" x14ac:dyDescent="0.25">
      <c r="A71" s="2" t="str">
        <f t="shared" si="1"/>
        <v/>
      </c>
      <c r="B71" s="2" t="str">
        <f>IF(D71&lt;&gt;"",'DATA TILL SLU'!$J$3,"")</f>
        <v/>
      </c>
      <c r="C71" s="2" t="str">
        <f>IF(D71&lt;&gt;"",'DATA TILL SLU'!$K$3,"")</f>
        <v/>
      </c>
      <c r="D71" s="2" t="str">
        <f>IF(OR(ROW(D70)-ROW(D$1)+1&lt;=MAX(Beräkningshjälp!$F$37:$F$54),ROW(D70)-ROW(D$1)+1&lt;=ROUND((MAX(Beräkningshjälp!AB$3:AB$1082)+4)/10,0)-1),D$2,"")</f>
        <v/>
      </c>
      <c r="E71" s="136" t="str">
        <f>IF(D71&lt;&gt;"",IF(COUNTIF(Beräkningshjälp!F$38:F$49,"&gt;0")&gt;=ROW(E70)-ROW(E$1)+1,VLOOKUP((VLOOKUP(ROW(E70)-ROW(E$1)+1,Beräkningshjälp!$F$37:$H$54,IF(ISNUMBER(VLOOKUP(ROW(E70)-ROW(E$1)+1,Beräkningshjälp!$F$37:$H$54,2,FALSE)),2,3),FALSE)),Beräkningshjälp!$M$2:$O$60,3,FALSE),VLOOKUP((ROW(E70)-ROW(E$1)+1)*10+1,Beräkningshjälp!$AB$2:$AF$1082,5,FALSE)),"")</f>
        <v/>
      </c>
      <c r="F71" s="2" t="str">
        <f>IF(D71&lt;&gt;"",Beräkningshjälp!$AH$1,"")</f>
        <v/>
      </c>
      <c r="G71" s="136" t="str">
        <f>IF(D71&lt;&gt;"",IF(COUNTIF(Beräkningshjälp!F$38:F$49,"&gt;0")&gt;=ROW(E70)-ROW(E$1)+1,"INGA",IF(COUNTIF(Beräkningshjälp!$G$38:$H$49,VLOOKUP(E71,Beräkningshjälp!$AF$2:$AG$1082,2,FALSE))&gt;0,"ENSTAK",IF(VLOOKUP(VLOOKUP(E71,Beräkningshjälp!O$2:U$60,7,FALSE),Artuppgifter!$I$11:$P$22,7,FALSE)=TRUE,"MINMAX","ALLA"))),"")</f>
        <v/>
      </c>
      <c r="H71" s="2" t="str">
        <f>IF($E71&lt;&gt;"",IF(AND($E71&lt;&gt;"EJFANGST",$G71&lt;&gt;"INGA"),IF(ISNUMBER(VLOOKUP((ROW($H70)-ROW($H$1)+1)*10+COLUMN(H$1)-COLUMN($H$1)+1,Beräkningshjälp!$AB$2:$AI$1082,7,FALSE)),VLOOKUP((ROW($H70)-ROW($H$1)+1)*10+COLUMN(H$1)-COLUMN($H$1)+1,Beräkningshjälp!$AB$2:$AI$1082,7,FALSE),IF(E71&gt;0,-VLOOKUP((ROW($H70)-ROW($H$1)+1)*10+COLUMN(H$1)-COLUMN($H$1)+1,Beräkningshjälp!$AB$2:$AI$1082,3,FALSE),0)),0),"")</f>
        <v/>
      </c>
      <c r="I71" s="2" t="str">
        <f>IF($E71&lt;&gt;"",IF(AND($E71&lt;&gt;"EJFANGST",$G71&lt;&gt;"INGA"),IF(ISNUMBER(VLOOKUP((ROW($H70)-ROW($H$1)+1)*10+COLUMN(I$1)-COLUMN($H$1)+1,Beräkningshjälp!$AB$2:$AI$1082,7,FALSE)),VLOOKUP((ROW($H70)-ROW($H$1)+1)*10+COLUMN(I$1)-COLUMN($H$1)+1,Beräkningshjälp!$AB$2:$AI$1082,7,FALSE),IF(H71&gt;0,-VLOOKUP((ROW($H70)-ROW($H$1)+1)*10+COLUMN(I$1)-COLUMN($H$1)+1,Beräkningshjälp!$AB$2:$AI$1082,3,FALSE),0)),0),"")</f>
        <v/>
      </c>
      <c r="J71" s="2" t="str">
        <f>IF($E71&lt;&gt;"",IF(AND($E71&lt;&gt;"EJFANGST",$G71&lt;&gt;"INGA"),IF(ISNUMBER(VLOOKUP((ROW($H70)-ROW($H$1)+1)*10+COLUMN(J$1)-COLUMN($H$1)+1,Beräkningshjälp!$AB$2:$AI$1082,7,FALSE)),VLOOKUP((ROW($H70)-ROW($H$1)+1)*10+COLUMN(J$1)-COLUMN($H$1)+1,Beräkningshjälp!$AB$2:$AI$1082,7,FALSE),IF(I71&gt;0,-VLOOKUP((ROW($H70)-ROW($H$1)+1)*10+COLUMN(J$1)-COLUMN($H$1)+1,Beräkningshjälp!$AB$2:$AI$1082,3,FALSE),0)),0),"")</f>
        <v/>
      </c>
      <c r="K71" s="2" t="str">
        <f>IF($E71&lt;&gt;"",IF(AND($E71&lt;&gt;"EJFANGST",$G71&lt;&gt;"INGA"),IF(ISNUMBER(VLOOKUP((ROW($H70)-ROW($H$1)+1)*10+COLUMN(K$1)-COLUMN($H$1)+1,Beräkningshjälp!$AB$2:$AI$1082,7,FALSE)),VLOOKUP((ROW($H70)-ROW($H$1)+1)*10+COLUMN(K$1)-COLUMN($H$1)+1,Beräkningshjälp!$AB$2:$AI$1082,7,FALSE),IF(J71&gt;0,-VLOOKUP((ROW($H70)-ROW($H$1)+1)*10+COLUMN(K$1)-COLUMN($H$1)+1,Beräkningshjälp!$AB$2:$AI$1082,3,FALSE),0)),0),"")</f>
        <v/>
      </c>
      <c r="L71" s="2" t="str">
        <f>IF($E71&lt;&gt;"",IF(AND($E71&lt;&gt;"EJFANGST",$G71&lt;&gt;"INGA"),IF(ISNUMBER(VLOOKUP((ROW($H70)-ROW($H$1)+1)*10+COLUMN(L$1)-COLUMN($H$1)+1,Beräkningshjälp!$AB$2:$AI$1082,7,FALSE)),VLOOKUP((ROW($H70)-ROW($H$1)+1)*10+COLUMN(L$1)-COLUMN($H$1)+1,Beräkningshjälp!$AB$2:$AI$1082,7,FALSE),IF(K71&gt;0,-VLOOKUP((ROW($H70)-ROW($H$1)+1)*10+COLUMN(L$1)-COLUMN($H$1)+1,Beräkningshjälp!$AB$2:$AI$1082,3,FALSE),0)),0),"")</f>
        <v/>
      </c>
      <c r="M71" s="2" t="str">
        <f>IF($E71&lt;&gt;"",IF(AND($E71&lt;&gt;"EJFANGST",$G71&lt;&gt;"INGA"),IF(ISNUMBER(VLOOKUP((ROW($H70)-ROW($H$1)+1)*10+COLUMN(M$1)-COLUMN($H$1)+1,Beräkningshjälp!$AB$2:$AI$1082,7,FALSE)),VLOOKUP((ROW($H70)-ROW($H$1)+1)*10+COLUMN(M$1)-COLUMN($H$1)+1,Beräkningshjälp!$AB$2:$AI$1082,7,FALSE),IF(L71&gt;0,-VLOOKUP((ROW($H70)-ROW($H$1)+1)*10+COLUMN(M$1)-COLUMN($H$1)+1,Beräkningshjälp!$AB$2:$AI$1082,3,FALSE),0)),0),"")</f>
        <v/>
      </c>
      <c r="N71" s="2" t="str">
        <f>IF($E71&lt;&gt;"",IF(AND($E71&lt;&gt;"EJFANGST",$G71&lt;&gt;"INGA"),IF(ISNUMBER(VLOOKUP((ROW($H70)-ROW($H$1)+1)*10+COLUMN(N$1)-COLUMN($H$1)+1,Beräkningshjälp!$AB$2:$AI$1082,7,FALSE)),VLOOKUP((ROW($H70)-ROW($H$1)+1)*10+COLUMN(N$1)-COLUMN($H$1)+1,Beräkningshjälp!$AB$2:$AI$1082,7,FALSE),IF(M71&gt;0,-VLOOKUP((ROW($H70)-ROW($H$1)+1)*10+COLUMN(N$1)-COLUMN($H$1)+1,Beräkningshjälp!$AB$2:$AI$1082,3,FALSE),0)),0),"")</f>
        <v/>
      </c>
      <c r="O71" s="2" t="str">
        <f>IF($E71&lt;&gt;"",IF(AND($E71&lt;&gt;"EJFANGST",$G71&lt;&gt;"INGA"),IF(ISNUMBER(VLOOKUP((ROW($H70)-ROW($H$1)+1)*10+COLUMN(O$1)-COLUMN($H$1)+1,Beräkningshjälp!$AB$2:$AI$1082,7,FALSE)),VLOOKUP((ROW($H70)-ROW($H$1)+1)*10+COLUMN(O$1)-COLUMN($H$1)+1,Beräkningshjälp!$AB$2:$AI$1082,7,FALSE),IF(N71&gt;0,-VLOOKUP((ROW($H70)-ROW($H$1)+1)*10+COLUMN(O$1)-COLUMN($H$1)+1,Beräkningshjälp!$AB$2:$AI$1082,3,FALSE),0)),0),"")</f>
        <v/>
      </c>
      <c r="P71" s="2" t="str">
        <f>IF($E71&lt;&gt;"",IF(AND($E71&lt;&gt;"EJFANGST",$G71&lt;&gt;"INGA"),IF(ISNUMBER(VLOOKUP((ROW($H70)-ROW($H$1)+1)*10+COLUMN(P$1)-COLUMN($H$1)+1,Beräkningshjälp!$AB$2:$AI$1082,7,FALSE)),VLOOKUP((ROW($H70)-ROW($H$1)+1)*10+COLUMN(P$1)-COLUMN($H$1)+1,Beräkningshjälp!$AB$2:$AI$1082,7,FALSE),IF(O71&gt;0,-VLOOKUP((ROW($H70)-ROW($H$1)+1)*10+COLUMN(P$1)-COLUMN($H$1)+1,Beräkningshjälp!$AB$2:$AI$1082,3,FALSE),0)),0),"")</f>
        <v/>
      </c>
      <c r="Q71" s="2" t="str">
        <f>IF($E71&lt;&gt;"",IF(AND($E71&lt;&gt;"EJFANGST",$G71&lt;&gt;"INGA"),IF(ISNUMBER(VLOOKUP((ROW($H70)-ROW($H$1)+1)*10+COLUMN(Q$1)-COLUMN($H$1)+1,Beräkningshjälp!$AB$2:$AI$1082,7,FALSE)),VLOOKUP((ROW($H70)-ROW($H$1)+1)*10+COLUMN(Q$1)-COLUMN($H$1)+1,Beräkningshjälp!$AB$2:$AI$1082,7,FALSE),IF(P71&gt;0,-VLOOKUP((ROW($H70)-ROW($H$1)+1)*10+COLUMN(Q$1)-COLUMN($H$1)+1,Beräkningshjälp!$AB$2:$AI$1082,3,FALSE),0)),0),"")</f>
        <v/>
      </c>
      <c r="R71" s="116" t="str">
        <f>IF(COUNTIF(H71:Q71,"&gt;0")&gt;0,IF($E71&lt;&gt;"",IF(AND($E71&lt;&gt;"EJFANGST",$G71&lt;&gt;"INGA"),IF(ISNUMBER(VLOOKUP((ROW($H70)-ROW($H$1)+1)*10+COLUMN(H$1)-COLUMN($H$1)+1,Beräkningshjälp!$AB$2:$AI$1082,7,FALSE)),VLOOKUP((ROW($H70)-ROW($H$1)+1)*10+COLUMN(H$1)-COLUMN($H$1)+1,Beräkningshjälp!$AB$2:$AI$1082,3,FALSE),""),""),""),"")</f>
        <v/>
      </c>
    </row>
    <row r="72" spans="1:18" x14ac:dyDescent="0.25">
      <c r="A72" s="2" t="str">
        <f t="shared" si="1"/>
        <v/>
      </c>
      <c r="B72" s="2" t="str">
        <f>IF(D72&lt;&gt;"",'DATA TILL SLU'!$J$3,"")</f>
        <v/>
      </c>
      <c r="C72" s="2" t="str">
        <f>IF(D72&lt;&gt;"",'DATA TILL SLU'!$K$3,"")</f>
        <v/>
      </c>
      <c r="D72" s="2" t="str">
        <f>IF(OR(ROW(D71)-ROW(D$1)+1&lt;=MAX(Beräkningshjälp!$F$37:$F$54),ROW(D71)-ROW(D$1)+1&lt;=ROUND((MAX(Beräkningshjälp!AB$3:AB$1082)+4)/10,0)-1),D$2,"")</f>
        <v/>
      </c>
      <c r="E72" s="136" t="str">
        <f>IF(D72&lt;&gt;"",IF(COUNTIF(Beräkningshjälp!F$38:F$49,"&gt;0")&gt;=ROW(E71)-ROW(E$1)+1,VLOOKUP((VLOOKUP(ROW(E71)-ROW(E$1)+1,Beräkningshjälp!$F$37:$H$54,IF(ISNUMBER(VLOOKUP(ROW(E71)-ROW(E$1)+1,Beräkningshjälp!$F$37:$H$54,2,FALSE)),2,3),FALSE)),Beräkningshjälp!$M$2:$O$60,3,FALSE),VLOOKUP((ROW(E71)-ROW(E$1)+1)*10+1,Beräkningshjälp!$AB$2:$AF$1082,5,FALSE)),"")</f>
        <v/>
      </c>
      <c r="F72" s="2" t="str">
        <f>IF(D72&lt;&gt;"",Beräkningshjälp!$AH$1,"")</f>
        <v/>
      </c>
      <c r="G72" s="136" t="str">
        <f>IF(D72&lt;&gt;"",IF(COUNTIF(Beräkningshjälp!F$38:F$49,"&gt;0")&gt;=ROW(E71)-ROW(E$1)+1,"INGA",IF(COUNTIF(Beräkningshjälp!$G$38:$H$49,VLOOKUP(E72,Beräkningshjälp!$AF$2:$AG$1082,2,FALSE))&gt;0,"ENSTAK",IF(VLOOKUP(VLOOKUP(E72,Beräkningshjälp!O$2:U$60,7,FALSE),Artuppgifter!$I$11:$P$22,7,FALSE)=TRUE,"MINMAX","ALLA"))),"")</f>
        <v/>
      </c>
      <c r="H72" s="2" t="str">
        <f>IF($E72&lt;&gt;"",IF(AND($E72&lt;&gt;"EJFANGST",$G72&lt;&gt;"INGA"),IF(ISNUMBER(VLOOKUP((ROW($H71)-ROW($H$1)+1)*10+COLUMN(H$1)-COLUMN($H$1)+1,Beräkningshjälp!$AB$2:$AI$1082,7,FALSE)),VLOOKUP((ROW($H71)-ROW($H$1)+1)*10+COLUMN(H$1)-COLUMN($H$1)+1,Beräkningshjälp!$AB$2:$AI$1082,7,FALSE),IF(E72&gt;0,-VLOOKUP((ROW($H71)-ROW($H$1)+1)*10+COLUMN(H$1)-COLUMN($H$1)+1,Beräkningshjälp!$AB$2:$AI$1082,3,FALSE),0)),0),"")</f>
        <v/>
      </c>
      <c r="I72" s="2" t="str">
        <f>IF($E72&lt;&gt;"",IF(AND($E72&lt;&gt;"EJFANGST",$G72&lt;&gt;"INGA"),IF(ISNUMBER(VLOOKUP((ROW($H71)-ROW($H$1)+1)*10+COLUMN(I$1)-COLUMN($H$1)+1,Beräkningshjälp!$AB$2:$AI$1082,7,FALSE)),VLOOKUP((ROW($H71)-ROW($H$1)+1)*10+COLUMN(I$1)-COLUMN($H$1)+1,Beräkningshjälp!$AB$2:$AI$1082,7,FALSE),IF(H72&gt;0,-VLOOKUP((ROW($H71)-ROW($H$1)+1)*10+COLUMN(I$1)-COLUMN($H$1)+1,Beräkningshjälp!$AB$2:$AI$1082,3,FALSE),0)),0),"")</f>
        <v/>
      </c>
      <c r="J72" s="2" t="str">
        <f>IF($E72&lt;&gt;"",IF(AND($E72&lt;&gt;"EJFANGST",$G72&lt;&gt;"INGA"),IF(ISNUMBER(VLOOKUP((ROW($H71)-ROW($H$1)+1)*10+COLUMN(J$1)-COLUMN($H$1)+1,Beräkningshjälp!$AB$2:$AI$1082,7,FALSE)),VLOOKUP((ROW($H71)-ROW($H$1)+1)*10+COLUMN(J$1)-COLUMN($H$1)+1,Beräkningshjälp!$AB$2:$AI$1082,7,FALSE),IF(I72&gt;0,-VLOOKUP((ROW($H71)-ROW($H$1)+1)*10+COLUMN(J$1)-COLUMN($H$1)+1,Beräkningshjälp!$AB$2:$AI$1082,3,FALSE),0)),0),"")</f>
        <v/>
      </c>
      <c r="K72" s="2" t="str">
        <f>IF($E72&lt;&gt;"",IF(AND($E72&lt;&gt;"EJFANGST",$G72&lt;&gt;"INGA"),IF(ISNUMBER(VLOOKUP((ROW($H71)-ROW($H$1)+1)*10+COLUMN(K$1)-COLUMN($H$1)+1,Beräkningshjälp!$AB$2:$AI$1082,7,FALSE)),VLOOKUP((ROW($H71)-ROW($H$1)+1)*10+COLUMN(K$1)-COLUMN($H$1)+1,Beräkningshjälp!$AB$2:$AI$1082,7,FALSE),IF(J72&gt;0,-VLOOKUP((ROW($H71)-ROW($H$1)+1)*10+COLUMN(K$1)-COLUMN($H$1)+1,Beräkningshjälp!$AB$2:$AI$1082,3,FALSE),0)),0),"")</f>
        <v/>
      </c>
      <c r="L72" s="2" t="str">
        <f>IF($E72&lt;&gt;"",IF(AND($E72&lt;&gt;"EJFANGST",$G72&lt;&gt;"INGA"),IF(ISNUMBER(VLOOKUP((ROW($H71)-ROW($H$1)+1)*10+COLUMN(L$1)-COLUMN($H$1)+1,Beräkningshjälp!$AB$2:$AI$1082,7,FALSE)),VLOOKUP((ROW($H71)-ROW($H$1)+1)*10+COLUMN(L$1)-COLUMN($H$1)+1,Beräkningshjälp!$AB$2:$AI$1082,7,FALSE),IF(K72&gt;0,-VLOOKUP((ROW($H71)-ROW($H$1)+1)*10+COLUMN(L$1)-COLUMN($H$1)+1,Beräkningshjälp!$AB$2:$AI$1082,3,FALSE),0)),0),"")</f>
        <v/>
      </c>
      <c r="M72" s="2" t="str">
        <f>IF($E72&lt;&gt;"",IF(AND($E72&lt;&gt;"EJFANGST",$G72&lt;&gt;"INGA"),IF(ISNUMBER(VLOOKUP((ROW($H71)-ROW($H$1)+1)*10+COLUMN(M$1)-COLUMN($H$1)+1,Beräkningshjälp!$AB$2:$AI$1082,7,FALSE)),VLOOKUP((ROW($H71)-ROW($H$1)+1)*10+COLUMN(M$1)-COLUMN($H$1)+1,Beräkningshjälp!$AB$2:$AI$1082,7,FALSE),IF(L72&gt;0,-VLOOKUP((ROW($H71)-ROW($H$1)+1)*10+COLUMN(M$1)-COLUMN($H$1)+1,Beräkningshjälp!$AB$2:$AI$1082,3,FALSE),0)),0),"")</f>
        <v/>
      </c>
      <c r="N72" s="2" t="str">
        <f>IF($E72&lt;&gt;"",IF(AND($E72&lt;&gt;"EJFANGST",$G72&lt;&gt;"INGA"),IF(ISNUMBER(VLOOKUP((ROW($H71)-ROW($H$1)+1)*10+COLUMN(N$1)-COLUMN($H$1)+1,Beräkningshjälp!$AB$2:$AI$1082,7,FALSE)),VLOOKUP((ROW($H71)-ROW($H$1)+1)*10+COLUMN(N$1)-COLUMN($H$1)+1,Beräkningshjälp!$AB$2:$AI$1082,7,FALSE),IF(M72&gt;0,-VLOOKUP((ROW($H71)-ROW($H$1)+1)*10+COLUMN(N$1)-COLUMN($H$1)+1,Beräkningshjälp!$AB$2:$AI$1082,3,FALSE),0)),0),"")</f>
        <v/>
      </c>
      <c r="O72" s="2" t="str">
        <f>IF($E72&lt;&gt;"",IF(AND($E72&lt;&gt;"EJFANGST",$G72&lt;&gt;"INGA"),IF(ISNUMBER(VLOOKUP((ROW($H71)-ROW($H$1)+1)*10+COLUMN(O$1)-COLUMN($H$1)+1,Beräkningshjälp!$AB$2:$AI$1082,7,FALSE)),VLOOKUP((ROW($H71)-ROW($H$1)+1)*10+COLUMN(O$1)-COLUMN($H$1)+1,Beräkningshjälp!$AB$2:$AI$1082,7,FALSE),IF(N72&gt;0,-VLOOKUP((ROW($H71)-ROW($H$1)+1)*10+COLUMN(O$1)-COLUMN($H$1)+1,Beräkningshjälp!$AB$2:$AI$1082,3,FALSE),0)),0),"")</f>
        <v/>
      </c>
      <c r="P72" s="2" t="str">
        <f>IF($E72&lt;&gt;"",IF(AND($E72&lt;&gt;"EJFANGST",$G72&lt;&gt;"INGA"),IF(ISNUMBER(VLOOKUP((ROW($H71)-ROW($H$1)+1)*10+COLUMN(P$1)-COLUMN($H$1)+1,Beräkningshjälp!$AB$2:$AI$1082,7,FALSE)),VLOOKUP((ROW($H71)-ROW($H$1)+1)*10+COLUMN(P$1)-COLUMN($H$1)+1,Beräkningshjälp!$AB$2:$AI$1082,7,FALSE),IF(O72&gt;0,-VLOOKUP((ROW($H71)-ROW($H$1)+1)*10+COLUMN(P$1)-COLUMN($H$1)+1,Beräkningshjälp!$AB$2:$AI$1082,3,FALSE),0)),0),"")</f>
        <v/>
      </c>
      <c r="Q72" s="2" t="str">
        <f>IF($E72&lt;&gt;"",IF(AND($E72&lt;&gt;"EJFANGST",$G72&lt;&gt;"INGA"),IF(ISNUMBER(VLOOKUP((ROW($H71)-ROW($H$1)+1)*10+COLUMN(Q$1)-COLUMN($H$1)+1,Beräkningshjälp!$AB$2:$AI$1082,7,FALSE)),VLOOKUP((ROW($H71)-ROW($H$1)+1)*10+COLUMN(Q$1)-COLUMN($H$1)+1,Beräkningshjälp!$AB$2:$AI$1082,7,FALSE),IF(P72&gt;0,-VLOOKUP((ROW($H71)-ROW($H$1)+1)*10+COLUMN(Q$1)-COLUMN($H$1)+1,Beräkningshjälp!$AB$2:$AI$1082,3,FALSE),0)),0),"")</f>
        <v/>
      </c>
      <c r="R72" s="116" t="str">
        <f>IF(COUNTIF(H72:Q72,"&gt;0")&gt;0,IF($E72&lt;&gt;"",IF(AND($E72&lt;&gt;"EJFANGST",$G72&lt;&gt;"INGA"),IF(ISNUMBER(VLOOKUP((ROW($H71)-ROW($H$1)+1)*10+COLUMN(H$1)-COLUMN($H$1)+1,Beräkningshjälp!$AB$2:$AI$1082,7,FALSE)),VLOOKUP((ROW($H71)-ROW($H$1)+1)*10+COLUMN(H$1)-COLUMN($H$1)+1,Beräkningshjälp!$AB$2:$AI$1082,3,FALSE),""),""),""),"")</f>
        <v/>
      </c>
    </row>
    <row r="73" spans="1:18" x14ac:dyDescent="0.25">
      <c r="A73" s="2" t="str">
        <f t="shared" si="1"/>
        <v/>
      </c>
      <c r="B73" s="2" t="str">
        <f>IF(D73&lt;&gt;"",'DATA TILL SLU'!$J$3,"")</f>
        <v/>
      </c>
      <c r="C73" s="2" t="str">
        <f>IF(D73&lt;&gt;"",'DATA TILL SLU'!$K$3,"")</f>
        <v/>
      </c>
      <c r="D73" s="2" t="str">
        <f>IF(OR(ROW(D72)-ROW(D$1)+1&lt;=MAX(Beräkningshjälp!$F$37:$F$54),ROW(D72)-ROW(D$1)+1&lt;=ROUND((MAX(Beräkningshjälp!AB$3:AB$1082)+4)/10,0)-1),D$2,"")</f>
        <v/>
      </c>
      <c r="E73" s="136" t="str">
        <f>IF(D73&lt;&gt;"",IF(COUNTIF(Beräkningshjälp!F$38:F$49,"&gt;0")&gt;=ROW(E72)-ROW(E$1)+1,VLOOKUP((VLOOKUP(ROW(E72)-ROW(E$1)+1,Beräkningshjälp!$F$37:$H$54,IF(ISNUMBER(VLOOKUP(ROW(E72)-ROW(E$1)+1,Beräkningshjälp!$F$37:$H$54,2,FALSE)),2,3),FALSE)),Beräkningshjälp!$M$2:$O$60,3,FALSE),VLOOKUP((ROW(E72)-ROW(E$1)+1)*10+1,Beräkningshjälp!$AB$2:$AF$1082,5,FALSE)),"")</f>
        <v/>
      </c>
      <c r="F73" s="2" t="str">
        <f>IF(D73&lt;&gt;"",Beräkningshjälp!$AH$1,"")</f>
        <v/>
      </c>
      <c r="G73" s="136" t="str">
        <f>IF(D73&lt;&gt;"",IF(COUNTIF(Beräkningshjälp!F$38:F$49,"&gt;0")&gt;=ROW(E72)-ROW(E$1)+1,"INGA",IF(COUNTIF(Beräkningshjälp!$G$38:$H$49,VLOOKUP(E73,Beräkningshjälp!$AF$2:$AG$1082,2,FALSE))&gt;0,"ENSTAK",IF(VLOOKUP(VLOOKUP(E73,Beräkningshjälp!O$2:U$60,7,FALSE),Artuppgifter!$I$11:$P$22,7,FALSE)=TRUE,"MINMAX","ALLA"))),"")</f>
        <v/>
      </c>
      <c r="H73" s="2" t="str">
        <f>IF($E73&lt;&gt;"",IF(AND($E73&lt;&gt;"EJFANGST",$G73&lt;&gt;"INGA"),IF(ISNUMBER(VLOOKUP((ROW($H72)-ROW($H$1)+1)*10+COLUMN(H$1)-COLUMN($H$1)+1,Beräkningshjälp!$AB$2:$AI$1082,7,FALSE)),VLOOKUP((ROW($H72)-ROW($H$1)+1)*10+COLUMN(H$1)-COLUMN($H$1)+1,Beräkningshjälp!$AB$2:$AI$1082,7,FALSE),IF(E73&gt;0,-VLOOKUP((ROW($H72)-ROW($H$1)+1)*10+COLUMN(H$1)-COLUMN($H$1)+1,Beräkningshjälp!$AB$2:$AI$1082,3,FALSE),0)),0),"")</f>
        <v/>
      </c>
      <c r="I73" s="2" t="str">
        <f>IF($E73&lt;&gt;"",IF(AND($E73&lt;&gt;"EJFANGST",$G73&lt;&gt;"INGA"),IF(ISNUMBER(VLOOKUP((ROW($H72)-ROW($H$1)+1)*10+COLUMN(I$1)-COLUMN($H$1)+1,Beräkningshjälp!$AB$2:$AI$1082,7,FALSE)),VLOOKUP((ROW($H72)-ROW($H$1)+1)*10+COLUMN(I$1)-COLUMN($H$1)+1,Beräkningshjälp!$AB$2:$AI$1082,7,FALSE),IF(H73&gt;0,-VLOOKUP((ROW($H72)-ROW($H$1)+1)*10+COLUMN(I$1)-COLUMN($H$1)+1,Beräkningshjälp!$AB$2:$AI$1082,3,FALSE),0)),0),"")</f>
        <v/>
      </c>
      <c r="J73" s="2" t="str">
        <f>IF($E73&lt;&gt;"",IF(AND($E73&lt;&gt;"EJFANGST",$G73&lt;&gt;"INGA"),IF(ISNUMBER(VLOOKUP((ROW($H72)-ROW($H$1)+1)*10+COLUMN(J$1)-COLUMN($H$1)+1,Beräkningshjälp!$AB$2:$AI$1082,7,FALSE)),VLOOKUP((ROW($H72)-ROW($H$1)+1)*10+COLUMN(J$1)-COLUMN($H$1)+1,Beräkningshjälp!$AB$2:$AI$1082,7,FALSE),IF(I73&gt;0,-VLOOKUP((ROW($H72)-ROW($H$1)+1)*10+COLUMN(J$1)-COLUMN($H$1)+1,Beräkningshjälp!$AB$2:$AI$1082,3,FALSE),0)),0),"")</f>
        <v/>
      </c>
      <c r="K73" s="2" t="str">
        <f>IF($E73&lt;&gt;"",IF(AND($E73&lt;&gt;"EJFANGST",$G73&lt;&gt;"INGA"),IF(ISNUMBER(VLOOKUP((ROW($H72)-ROW($H$1)+1)*10+COLUMN(K$1)-COLUMN($H$1)+1,Beräkningshjälp!$AB$2:$AI$1082,7,FALSE)),VLOOKUP((ROW($H72)-ROW($H$1)+1)*10+COLUMN(K$1)-COLUMN($H$1)+1,Beräkningshjälp!$AB$2:$AI$1082,7,FALSE),IF(J73&gt;0,-VLOOKUP((ROW($H72)-ROW($H$1)+1)*10+COLUMN(K$1)-COLUMN($H$1)+1,Beräkningshjälp!$AB$2:$AI$1082,3,FALSE),0)),0),"")</f>
        <v/>
      </c>
      <c r="L73" s="2" t="str">
        <f>IF($E73&lt;&gt;"",IF(AND($E73&lt;&gt;"EJFANGST",$G73&lt;&gt;"INGA"),IF(ISNUMBER(VLOOKUP((ROW($H72)-ROW($H$1)+1)*10+COLUMN(L$1)-COLUMN($H$1)+1,Beräkningshjälp!$AB$2:$AI$1082,7,FALSE)),VLOOKUP((ROW($H72)-ROW($H$1)+1)*10+COLUMN(L$1)-COLUMN($H$1)+1,Beräkningshjälp!$AB$2:$AI$1082,7,FALSE),IF(K73&gt;0,-VLOOKUP((ROW($H72)-ROW($H$1)+1)*10+COLUMN(L$1)-COLUMN($H$1)+1,Beräkningshjälp!$AB$2:$AI$1082,3,FALSE),0)),0),"")</f>
        <v/>
      </c>
      <c r="M73" s="2" t="str">
        <f>IF($E73&lt;&gt;"",IF(AND($E73&lt;&gt;"EJFANGST",$G73&lt;&gt;"INGA"),IF(ISNUMBER(VLOOKUP((ROW($H72)-ROW($H$1)+1)*10+COLUMN(M$1)-COLUMN($H$1)+1,Beräkningshjälp!$AB$2:$AI$1082,7,FALSE)),VLOOKUP((ROW($H72)-ROW($H$1)+1)*10+COLUMN(M$1)-COLUMN($H$1)+1,Beräkningshjälp!$AB$2:$AI$1082,7,FALSE),IF(L73&gt;0,-VLOOKUP((ROW($H72)-ROW($H$1)+1)*10+COLUMN(M$1)-COLUMN($H$1)+1,Beräkningshjälp!$AB$2:$AI$1082,3,FALSE),0)),0),"")</f>
        <v/>
      </c>
      <c r="N73" s="2" t="str">
        <f>IF($E73&lt;&gt;"",IF(AND($E73&lt;&gt;"EJFANGST",$G73&lt;&gt;"INGA"),IF(ISNUMBER(VLOOKUP((ROW($H72)-ROW($H$1)+1)*10+COLUMN(N$1)-COLUMN($H$1)+1,Beräkningshjälp!$AB$2:$AI$1082,7,FALSE)),VLOOKUP((ROW($H72)-ROW($H$1)+1)*10+COLUMN(N$1)-COLUMN($H$1)+1,Beräkningshjälp!$AB$2:$AI$1082,7,FALSE),IF(M73&gt;0,-VLOOKUP((ROW($H72)-ROW($H$1)+1)*10+COLUMN(N$1)-COLUMN($H$1)+1,Beräkningshjälp!$AB$2:$AI$1082,3,FALSE),0)),0),"")</f>
        <v/>
      </c>
      <c r="O73" s="2" t="str">
        <f>IF($E73&lt;&gt;"",IF(AND($E73&lt;&gt;"EJFANGST",$G73&lt;&gt;"INGA"),IF(ISNUMBER(VLOOKUP((ROW($H72)-ROW($H$1)+1)*10+COLUMN(O$1)-COLUMN($H$1)+1,Beräkningshjälp!$AB$2:$AI$1082,7,FALSE)),VLOOKUP((ROW($H72)-ROW($H$1)+1)*10+COLUMN(O$1)-COLUMN($H$1)+1,Beräkningshjälp!$AB$2:$AI$1082,7,FALSE),IF(N73&gt;0,-VLOOKUP((ROW($H72)-ROW($H$1)+1)*10+COLUMN(O$1)-COLUMN($H$1)+1,Beräkningshjälp!$AB$2:$AI$1082,3,FALSE),0)),0),"")</f>
        <v/>
      </c>
      <c r="P73" s="2" t="str">
        <f>IF($E73&lt;&gt;"",IF(AND($E73&lt;&gt;"EJFANGST",$G73&lt;&gt;"INGA"),IF(ISNUMBER(VLOOKUP((ROW($H72)-ROW($H$1)+1)*10+COLUMN(P$1)-COLUMN($H$1)+1,Beräkningshjälp!$AB$2:$AI$1082,7,FALSE)),VLOOKUP((ROW($H72)-ROW($H$1)+1)*10+COLUMN(P$1)-COLUMN($H$1)+1,Beräkningshjälp!$AB$2:$AI$1082,7,FALSE),IF(O73&gt;0,-VLOOKUP((ROW($H72)-ROW($H$1)+1)*10+COLUMN(P$1)-COLUMN($H$1)+1,Beräkningshjälp!$AB$2:$AI$1082,3,FALSE),0)),0),"")</f>
        <v/>
      </c>
      <c r="Q73" s="2" t="str">
        <f>IF($E73&lt;&gt;"",IF(AND($E73&lt;&gt;"EJFANGST",$G73&lt;&gt;"INGA"),IF(ISNUMBER(VLOOKUP((ROW($H72)-ROW($H$1)+1)*10+COLUMN(Q$1)-COLUMN($H$1)+1,Beräkningshjälp!$AB$2:$AI$1082,7,FALSE)),VLOOKUP((ROW($H72)-ROW($H$1)+1)*10+COLUMN(Q$1)-COLUMN($H$1)+1,Beräkningshjälp!$AB$2:$AI$1082,7,FALSE),IF(P73&gt;0,-VLOOKUP((ROW($H72)-ROW($H$1)+1)*10+COLUMN(Q$1)-COLUMN($H$1)+1,Beräkningshjälp!$AB$2:$AI$1082,3,FALSE),0)),0),"")</f>
        <v/>
      </c>
      <c r="R73" s="116" t="str">
        <f>IF(COUNTIF(H73:Q73,"&gt;0")&gt;0,IF($E73&lt;&gt;"",IF(AND($E73&lt;&gt;"EJFANGST",$G73&lt;&gt;"INGA"),IF(ISNUMBER(VLOOKUP((ROW($H72)-ROW($H$1)+1)*10+COLUMN(H$1)-COLUMN($H$1)+1,Beräkningshjälp!$AB$2:$AI$1082,7,FALSE)),VLOOKUP((ROW($H72)-ROW($H$1)+1)*10+COLUMN(H$1)-COLUMN($H$1)+1,Beräkningshjälp!$AB$2:$AI$1082,3,FALSE),""),""),""),"")</f>
        <v/>
      </c>
    </row>
    <row r="74" spans="1:18" x14ac:dyDescent="0.25">
      <c r="A74" s="2" t="str">
        <f t="shared" si="1"/>
        <v/>
      </c>
      <c r="B74" s="2" t="str">
        <f>IF(D74&lt;&gt;"",'DATA TILL SLU'!$J$3,"")</f>
        <v/>
      </c>
      <c r="C74" s="2" t="str">
        <f>IF(D74&lt;&gt;"",'DATA TILL SLU'!$K$3,"")</f>
        <v/>
      </c>
      <c r="D74" s="2" t="str">
        <f>IF(OR(ROW(D73)-ROW(D$1)+1&lt;=MAX(Beräkningshjälp!$F$37:$F$54),ROW(D73)-ROW(D$1)+1&lt;=ROUND((MAX(Beräkningshjälp!AB$3:AB$1082)+4)/10,0)-1),D$2,"")</f>
        <v/>
      </c>
      <c r="E74" s="136" t="str">
        <f>IF(D74&lt;&gt;"",IF(COUNTIF(Beräkningshjälp!F$38:F$49,"&gt;0")&gt;=ROW(E73)-ROW(E$1)+1,VLOOKUP((VLOOKUP(ROW(E73)-ROW(E$1)+1,Beräkningshjälp!$F$37:$H$54,IF(ISNUMBER(VLOOKUP(ROW(E73)-ROW(E$1)+1,Beräkningshjälp!$F$37:$H$54,2,FALSE)),2,3),FALSE)),Beräkningshjälp!$M$2:$O$60,3,FALSE),VLOOKUP((ROW(E73)-ROW(E$1)+1)*10+1,Beräkningshjälp!$AB$2:$AF$1082,5,FALSE)),"")</f>
        <v/>
      </c>
      <c r="F74" s="2" t="str">
        <f>IF(D74&lt;&gt;"",Beräkningshjälp!$AH$1,"")</f>
        <v/>
      </c>
      <c r="G74" s="136" t="str">
        <f>IF(D74&lt;&gt;"",IF(COUNTIF(Beräkningshjälp!F$38:F$49,"&gt;0")&gt;=ROW(E73)-ROW(E$1)+1,"INGA",IF(COUNTIF(Beräkningshjälp!$G$38:$H$49,VLOOKUP(E74,Beräkningshjälp!$AF$2:$AG$1082,2,FALSE))&gt;0,"ENSTAK",IF(VLOOKUP(VLOOKUP(E74,Beräkningshjälp!O$2:U$60,7,FALSE),Artuppgifter!$I$11:$P$22,7,FALSE)=TRUE,"MINMAX","ALLA"))),"")</f>
        <v/>
      </c>
      <c r="H74" s="2" t="str">
        <f>IF($E74&lt;&gt;"",IF(AND($E74&lt;&gt;"EJFANGST",$G74&lt;&gt;"INGA"),IF(ISNUMBER(VLOOKUP((ROW($H73)-ROW($H$1)+1)*10+COLUMN(H$1)-COLUMN($H$1)+1,Beräkningshjälp!$AB$2:$AI$1082,7,FALSE)),VLOOKUP((ROW($H73)-ROW($H$1)+1)*10+COLUMN(H$1)-COLUMN($H$1)+1,Beräkningshjälp!$AB$2:$AI$1082,7,FALSE),IF(E74&gt;0,-VLOOKUP((ROW($H73)-ROW($H$1)+1)*10+COLUMN(H$1)-COLUMN($H$1)+1,Beräkningshjälp!$AB$2:$AI$1082,3,FALSE),0)),0),"")</f>
        <v/>
      </c>
      <c r="I74" s="2" t="str">
        <f>IF($E74&lt;&gt;"",IF(AND($E74&lt;&gt;"EJFANGST",$G74&lt;&gt;"INGA"),IF(ISNUMBER(VLOOKUP((ROW($H73)-ROW($H$1)+1)*10+COLUMN(I$1)-COLUMN($H$1)+1,Beräkningshjälp!$AB$2:$AI$1082,7,FALSE)),VLOOKUP((ROW($H73)-ROW($H$1)+1)*10+COLUMN(I$1)-COLUMN($H$1)+1,Beräkningshjälp!$AB$2:$AI$1082,7,FALSE),IF(H74&gt;0,-VLOOKUP((ROW($H73)-ROW($H$1)+1)*10+COLUMN(I$1)-COLUMN($H$1)+1,Beräkningshjälp!$AB$2:$AI$1082,3,FALSE),0)),0),"")</f>
        <v/>
      </c>
      <c r="J74" s="2" t="str">
        <f>IF($E74&lt;&gt;"",IF(AND($E74&lt;&gt;"EJFANGST",$G74&lt;&gt;"INGA"),IF(ISNUMBER(VLOOKUP((ROW($H73)-ROW($H$1)+1)*10+COLUMN(J$1)-COLUMN($H$1)+1,Beräkningshjälp!$AB$2:$AI$1082,7,FALSE)),VLOOKUP((ROW($H73)-ROW($H$1)+1)*10+COLUMN(J$1)-COLUMN($H$1)+1,Beräkningshjälp!$AB$2:$AI$1082,7,FALSE),IF(I74&gt;0,-VLOOKUP((ROW($H73)-ROW($H$1)+1)*10+COLUMN(J$1)-COLUMN($H$1)+1,Beräkningshjälp!$AB$2:$AI$1082,3,FALSE),0)),0),"")</f>
        <v/>
      </c>
      <c r="K74" s="2" t="str">
        <f>IF($E74&lt;&gt;"",IF(AND($E74&lt;&gt;"EJFANGST",$G74&lt;&gt;"INGA"),IF(ISNUMBER(VLOOKUP((ROW($H73)-ROW($H$1)+1)*10+COLUMN(K$1)-COLUMN($H$1)+1,Beräkningshjälp!$AB$2:$AI$1082,7,FALSE)),VLOOKUP((ROW($H73)-ROW($H$1)+1)*10+COLUMN(K$1)-COLUMN($H$1)+1,Beräkningshjälp!$AB$2:$AI$1082,7,FALSE),IF(J74&gt;0,-VLOOKUP((ROW($H73)-ROW($H$1)+1)*10+COLUMN(K$1)-COLUMN($H$1)+1,Beräkningshjälp!$AB$2:$AI$1082,3,FALSE),0)),0),"")</f>
        <v/>
      </c>
      <c r="L74" s="2" t="str">
        <f>IF($E74&lt;&gt;"",IF(AND($E74&lt;&gt;"EJFANGST",$G74&lt;&gt;"INGA"),IF(ISNUMBER(VLOOKUP((ROW($H73)-ROW($H$1)+1)*10+COLUMN(L$1)-COLUMN($H$1)+1,Beräkningshjälp!$AB$2:$AI$1082,7,FALSE)),VLOOKUP((ROW($H73)-ROW($H$1)+1)*10+COLUMN(L$1)-COLUMN($H$1)+1,Beräkningshjälp!$AB$2:$AI$1082,7,FALSE),IF(K74&gt;0,-VLOOKUP((ROW($H73)-ROW($H$1)+1)*10+COLUMN(L$1)-COLUMN($H$1)+1,Beräkningshjälp!$AB$2:$AI$1082,3,FALSE),0)),0),"")</f>
        <v/>
      </c>
      <c r="M74" s="2" t="str">
        <f>IF($E74&lt;&gt;"",IF(AND($E74&lt;&gt;"EJFANGST",$G74&lt;&gt;"INGA"),IF(ISNUMBER(VLOOKUP((ROW($H73)-ROW($H$1)+1)*10+COLUMN(M$1)-COLUMN($H$1)+1,Beräkningshjälp!$AB$2:$AI$1082,7,FALSE)),VLOOKUP((ROW($H73)-ROW($H$1)+1)*10+COLUMN(M$1)-COLUMN($H$1)+1,Beräkningshjälp!$AB$2:$AI$1082,7,FALSE),IF(L74&gt;0,-VLOOKUP((ROW($H73)-ROW($H$1)+1)*10+COLUMN(M$1)-COLUMN($H$1)+1,Beräkningshjälp!$AB$2:$AI$1082,3,FALSE),0)),0),"")</f>
        <v/>
      </c>
      <c r="N74" s="2" t="str">
        <f>IF($E74&lt;&gt;"",IF(AND($E74&lt;&gt;"EJFANGST",$G74&lt;&gt;"INGA"),IF(ISNUMBER(VLOOKUP((ROW($H73)-ROW($H$1)+1)*10+COLUMN(N$1)-COLUMN($H$1)+1,Beräkningshjälp!$AB$2:$AI$1082,7,FALSE)),VLOOKUP((ROW($H73)-ROW($H$1)+1)*10+COLUMN(N$1)-COLUMN($H$1)+1,Beräkningshjälp!$AB$2:$AI$1082,7,FALSE),IF(M74&gt;0,-VLOOKUP((ROW($H73)-ROW($H$1)+1)*10+COLUMN(N$1)-COLUMN($H$1)+1,Beräkningshjälp!$AB$2:$AI$1082,3,FALSE),0)),0),"")</f>
        <v/>
      </c>
      <c r="O74" s="2" t="str">
        <f>IF($E74&lt;&gt;"",IF(AND($E74&lt;&gt;"EJFANGST",$G74&lt;&gt;"INGA"),IF(ISNUMBER(VLOOKUP((ROW($H73)-ROW($H$1)+1)*10+COLUMN(O$1)-COLUMN($H$1)+1,Beräkningshjälp!$AB$2:$AI$1082,7,FALSE)),VLOOKUP((ROW($H73)-ROW($H$1)+1)*10+COLUMN(O$1)-COLUMN($H$1)+1,Beräkningshjälp!$AB$2:$AI$1082,7,FALSE),IF(N74&gt;0,-VLOOKUP((ROW($H73)-ROW($H$1)+1)*10+COLUMN(O$1)-COLUMN($H$1)+1,Beräkningshjälp!$AB$2:$AI$1082,3,FALSE),0)),0),"")</f>
        <v/>
      </c>
      <c r="P74" s="2" t="str">
        <f>IF($E74&lt;&gt;"",IF(AND($E74&lt;&gt;"EJFANGST",$G74&lt;&gt;"INGA"),IF(ISNUMBER(VLOOKUP((ROW($H73)-ROW($H$1)+1)*10+COLUMN(P$1)-COLUMN($H$1)+1,Beräkningshjälp!$AB$2:$AI$1082,7,FALSE)),VLOOKUP((ROW($H73)-ROW($H$1)+1)*10+COLUMN(P$1)-COLUMN($H$1)+1,Beräkningshjälp!$AB$2:$AI$1082,7,FALSE),IF(O74&gt;0,-VLOOKUP((ROW($H73)-ROW($H$1)+1)*10+COLUMN(P$1)-COLUMN($H$1)+1,Beräkningshjälp!$AB$2:$AI$1082,3,FALSE),0)),0),"")</f>
        <v/>
      </c>
      <c r="Q74" s="2" t="str">
        <f>IF($E74&lt;&gt;"",IF(AND($E74&lt;&gt;"EJFANGST",$G74&lt;&gt;"INGA"),IF(ISNUMBER(VLOOKUP((ROW($H73)-ROW($H$1)+1)*10+COLUMN(Q$1)-COLUMN($H$1)+1,Beräkningshjälp!$AB$2:$AI$1082,7,FALSE)),VLOOKUP((ROW($H73)-ROW($H$1)+1)*10+COLUMN(Q$1)-COLUMN($H$1)+1,Beräkningshjälp!$AB$2:$AI$1082,7,FALSE),IF(P74&gt;0,-VLOOKUP((ROW($H73)-ROW($H$1)+1)*10+COLUMN(Q$1)-COLUMN($H$1)+1,Beräkningshjälp!$AB$2:$AI$1082,3,FALSE),0)),0),"")</f>
        <v/>
      </c>
      <c r="R74" s="116" t="str">
        <f>IF(COUNTIF(H74:Q74,"&gt;0")&gt;0,IF($E74&lt;&gt;"",IF(AND($E74&lt;&gt;"EJFANGST",$G74&lt;&gt;"INGA"),IF(ISNUMBER(VLOOKUP((ROW($H73)-ROW($H$1)+1)*10+COLUMN(H$1)-COLUMN($H$1)+1,Beräkningshjälp!$AB$2:$AI$1082,7,FALSE)),VLOOKUP((ROW($H73)-ROW($H$1)+1)*10+COLUMN(H$1)-COLUMN($H$1)+1,Beräkningshjälp!$AB$2:$AI$1082,3,FALSE),""),""),""),"")</f>
        <v/>
      </c>
    </row>
    <row r="75" spans="1:18" x14ac:dyDescent="0.25">
      <c r="A75" s="2" t="str">
        <f t="shared" si="1"/>
        <v/>
      </c>
      <c r="B75" s="2" t="str">
        <f>IF(D75&lt;&gt;"",'DATA TILL SLU'!$J$3,"")</f>
        <v/>
      </c>
      <c r="C75" s="2" t="str">
        <f>IF(D75&lt;&gt;"",'DATA TILL SLU'!$K$3,"")</f>
        <v/>
      </c>
      <c r="D75" s="2" t="str">
        <f>IF(OR(ROW(D74)-ROW(D$1)+1&lt;=MAX(Beräkningshjälp!$F$37:$F$54),ROW(D74)-ROW(D$1)+1&lt;=ROUND((MAX(Beräkningshjälp!AB$3:AB$1082)+4)/10,0)-1),D$2,"")</f>
        <v/>
      </c>
      <c r="E75" s="136" t="str">
        <f>IF(D75&lt;&gt;"",IF(COUNTIF(Beräkningshjälp!F$38:F$49,"&gt;0")&gt;=ROW(E74)-ROW(E$1)+1,VLOOKUP((VLOOKUP(ROW(E74)-ROW(E$1)+1,Beräkningshjälp!$F$37:$H$54,IF(ISNUMBER(VLOOKUP(ROW(E74)-ROW(E$1)+1,Beräkningshjälp!$F$37:$H$54,2,FALSE)),2,3),FALSE)),Beräkningshjälp!$M$2:$O$60,3,FALSE),VLOOKUP((ROW(E74)-ROW(E$1)+1)*10+1,Beräkningshjälp!$AB$2:$AF$1082,5,FALSE)),"")</f>
        <v/>
      </c>
      <c r="F75" s="2" t="str">
        <f>IF(D75&lt;&gt;"",Beräkningshjälp!$AH$1,"")</f>
        <v/>
      </c>
      <c r="G75" s="136" t="str">
        <f>IF(D75&lt;&gt;"",IF(COUNTIF(Beräkningshjälp!F$38:F$49,"&gt;0")&gt;=ROW(E74)-ROW(E$1)+1,"INGA",IF(COUNTIF(Beräkningshjälp!$G$38:$H$49,VLOOKUP(E75,Beräkningshjälp!$AF$2:$AG$1082,2,FALSE))&gt;0,"ENSTAK",IF(VLOOKUP(VLOOKUP(E75,Beräkningshjälp!O$2:U$60,7,FALSE),Artuppgifter!$I$11:$P$22,7,FALSE)=TRUE,"MINMAX","ALLA"))),"")</f>
        <v/>
      </c>
      <c r="H75" s="2" t="str">
        <f>IF($E75&lt;&gt;"",IF(AND($E75&lt;&gt;"EJFANGST",$G75&lt;&gt;"INGA"),IF(ISNUMBER(VLOOKUP((ROW($H74)-ROW($H$1)+1)*10+COLUMN(H$1)-COLUMN($H$1)+1,Beräkningshjälp!$AB$2:$AI$1082,7,FALSE)),VLOOKUP((ROW($H74)-ROW($H$1)+1)*10+COLUMN(H$1)-COLUMN($H$1)+1,Beräkningshjälp!$AB$2:$AI$1082,7,FALSE),IF(E75&gt;0,-VLOOKUP((ROW($H74)-ROW($H$1)+1)*10+COLUMN(H$1)-COLUMN($H$1)+1,Beräkningshjälp!$AB$2:$AI$1082,3,FALSE),0)),0),"")</f>
        <v/>
      </c>
      <c r="I75" s="2" t="str">
        <f>IF($E75&lt;&gt;"",IF(AND($E75&lt;&gt;"EJFANGST",$G75&lt;&gt;"INGA"),IF(ISNUMBER(VLOOKUP((ROW($H74)-ROW($H$1)+1)*10+COLUMN(I$1)-COLUMN($H$1)+1,Beräkningshjälp!$AB$2:$AI$1082,7,FALSE)),VLOOKUP((ROW($H74)-ROW($H$1)+1)*10+COLUMN(I$1)-COLUMN($H$1)+1,Beräkningshjälp!$AB$2:$AI$1082,7,FALSE),IF(H75&gt;0,-VLOOKUP((ROW($H74)-ROW($H$1)+1)*10+COLUMN(I$1)-COLUMN($H$1)+1,Beräkningshjälp!$AB$2:$AI$1082,3,FALSE),0)),0),"")</f>
        <v/>
      </c>
      <c r="J75" s="2" t="str">
        <f>IF($E75&lt;&gt;"",IF(AND($E75&lt;&gt;"EJFANGST",$G75&lt;&gt;"INGA"),IF(ISNUMBER(VLOOKUP((ROW($H74)-ROW($H$1)+1)*10+COLUMN(J$1)-COLUMN($H$1)+1,Beräkningshjälp!$AB$2:$AI$1082,7,FALSE)),VLOOKUP((ROW($H74)-ROW($H$1)+1)*10+COLUMN(J$1)-COLUMN($H$1)+1,Beräkningshjälp!$AB$2:$AI$1082,7,FALSE),IF(I75&gt;0,-VLOOKUP((ROW($H74)-ROW($H$1)+1)*10+COLUMN(J$1)-COLUMN($H$1)+1,Beräkningshjälp!$AB$2:$AI$1082,3,FALSE),0)),0),"")</f>
        <v/>
      </c>
      <c r="K75" s="2" t="str">
        <f>IF($E75&lt;&gt;"",IF(AND($E75&lt;&gt;"EJFANGST",$G75&lt;&gt;"INGA"),IF(ISNUMBER(VLOOKUP((ROW($H74)-ROW($H$1)+1)*10+COLUMN(K$1)-COLUMN($H$1)+1,Beräkningshjälp!$AB$2:$AI$1082,7,FALSE)),VLOOKUP((ROW($H74)-ROW($H$1)+1)*10+COLUMN(K$1)-COLUMN($H$1)+1,Beräkningshjälp!$AB$2:$AI$1082,7,FALSE),IF(J75&gt;0,-VLOOKUP((ROW($H74)-ROW($H$1)+1)*10+COLUMN(K$1)-COLUMN($H$1)+1,Beräkningshjälp!$AB$2:$AI$1082,3,FALSE),0)),0),"")</f>
        <v/>
      </c>
      <c r="L75" s="2" t="str">
        <f>IF($E75&lt;&gt;"",IF(AND($E75&lt;&gt;"EJFANGST",$G75&lt;&gt;"INGA"),IF(ISNUMBER(VLOOKUP((ROW($H74)-ROW($H$1)+1)*10+COLUMN(L$1)-COLUMN($H$1)+1,Beräkningshjälp!$AB$2:$AI$1082,7,FALSE)),VLOOKUP((ROW($H74)-ROW($H$1)+1)*10+COLUMN(L$1)-COLUMN($H$1)+1,Beräkningshjälp!$AB$2:$AI$1082,7,FALSE),IF(K75&gt;0,-VLOOKUP((ROW($H74)-ROW($H$1)+1)*10+COLUMN(L$1)-COLUMN($H$1)+1,Beräkningshjälp!$AB$2:$AI$1082,3,FALSE),0)),0),"")</f>
        <v/>
      </c>
      <c r="M75" s="2" t="str">
        <f>IF($E75&lt;&gt;"",IF(AND($E75&lt;&gt;"EJFANGST",$G75&lt;&gt;"INGA"),IF(ISNUMBER(VLOOKUP((ROW($H74)-ROW($H$1)+1)*10+COLUMN(M$1)-COLUMN($H$1)+1,Beräkningshjälp!$AB$2:$AI$1082,7,FALSE)),VLOOKUP((ROW($H74)-ROW($H$1)+1)*10+COLUMN(M$1)-COLUMN($H$1)+1,Beräkningshjälp!$AB$2:$AI$1082,7,FALSE),IF(L75&gt;0,-VLOOKUP((ROW($H74)-ROW($H$1)+1)*10+COLUMN(M$1)-COLUMN($H$1)+1,Beräkningshjälp!$AB$2:$AI$1082,3,FALSE),0)),0),"")</f>
        <v/>
      </c>
      <c r="N75" s="2" t="str">
        <f>IF($E75&lt;&gt;"",IF(AND($E75&lt;&gt;"EJFANGST",$G75&lt;&gt;"INGA"),IF(ISNUMBER(VLOOKUP((ROW($H74)-ROW($H$1)+1)*10+COLUMN(N$1)-COLUMN($H$1)+1,Beräkningshjälp!$AB$2:$AI$1082,7,FALSE)),VLOOKUP((ROW($H74)-ROW($H$1)+1)*10+COLUMN(N$1)-COLUMN($H$1)+1,Beräkningshjälp!$AB$2:$AI$1082,7,FALSE),IF(M75&gt;0,-VLOOKUP((ROW($H74)-ROW($H$1)+1)*10+COLUMN(N$1)-COLUMN($H$1)+1,Beräkningshjälp!$AB$2:$AI$1082,3,FALSE),0)),0),"")</f>
        <v/>
      </c>
      <c r="O75" s="2" t="str">
        <f>IF($E75&lt;&gt;"",IF(AND($E75&lt;&gt;"EJFANGST",$G75&lt;&gt;"INGA"),IF(ISNUMBER(VLOOKUP((ROW($H74)-ROW($H$1)+1)*10+COLUMN(O$1)-COLUMN($H$1)+1,Beräkningshjälp!$AB$2:$AI$1082,7,FALSE)),VLOOKUP((ROW($H74)-ROW($H$1)+1)*10+COLUMN(O$1)-COLUMN($H$1)+1,Beräkningshjälp!$AB$2:$AI$1082,7,FALSE),IF(N75&gt;0,-VLOOKUP((ROW($H74)-ROW($H$1)+1)*10+COLUMN(O$1)-COLUMN($H$1)+1,Beräkningshjälp!$AB$2:$AI$1082,3,FALSE),0)),0),"")</f>
        <v/>
      </c>
      <c r="P75" s="2" t="str">
        <f>IF($E75&lt;&gt;"",IF(AND($E75&lt;&gt;"EJFANGST",$G75&lt;&gt;"INGA"),IF(ISNUMBER(VLOOKUP((ROW($H74)-ROW($H$1)+1)*10+COLUMN(P$1)-COLUMN($H$1)+1,Beräkningshjälp!$AB$2:$AI$1082,7,FALSE)),VLOOKUP((ROW($H74)-ROW($H$1)+1)*10+COLUMN(P$1)-COLUMN($H$1)+1,Beräkningshjälp!$AB$2:$AI$1082,7,FALSE),IF(O75&gt;0,-VLOOKUP((ROW($H74)-ROW($H$1)+1)*10+COLUMN(P$1)-COLUMN($H$1)+1,Beräkningshjälp!$AB$2:$AI$1082,3,FALSE),0)),0),"")</f>
        <v/>
      </c>
      <c r="Q75" s="2" t="str">
        <f>IF($E75&lt;&gt;"",IF(AND($E75&lt;&gt;"EJFANGST",$G75&lt;&gt;"INGA"),IF(ISNUMBER(VLOOKUP((ROW($H74)-ROW($H$1)+1)*10+COLUMN(Q$1)-COLUMN($H$1)+1,Beräkningshjälp!$AB$2:$AI$1082,7,FALSE)),VLOOKUP((ROW($H74)-ROW($H$1)+1)*10+COLUMN(Q$1)-COLUMN($H$1)+1,Beräkningshjälp!$AB$2:$AI$1082,7,FALSE),IF(P75&gt;0,-VLOOKUP((ROW($H74)-ROW($H$1)+1)*10+COLUMN(Q$1)-COLUMN($H$1)+1,Beräkningshjälp!$AB$2:$AI$1082,3,FALSE),0)),0),"")</f>
        <v/>
      </c>
      <c r="R75" s="116" t="str">
        <f>IF(COUNTIF(H75:Q75,"&gt;0")&gt;0,IF($E75&lt;&gt;"",IF(AND($E75&lt;&gt;"EJFANGST",$G75&lt;&gt;"INGA"),IF(ISNUMBER(VLOOKUP((ROW($H74)-ROW($H$1)+1)*10+COLUMN(H$1)-COLUMN($H$1)+1,Beräkningshjälp!$AB$2:$AI$1082,7,FALSE)),VLOOKUP((ROW($H74)-ROW($H$1)+1)*10+COLUMN(H$1)-COLUMN($H$1)+1,Beräkningshjälp!$AB$2:$AI$1082,3,FALSE),""),""),""),"")</f>
        <v/>
      </c>
    </row>
    <row r="76" spans="1:18" x14ac:dyDescent="0.25">
      <c r="A76" s="2" t="str">
        <f t="shared" si="1"/>
        <v/>
      </c>
      <c r="B76" s="2" t="str">
        <f>IF(D76&lt;&gt;"",'DATA TILL SLU'!$J$3,"")</f>
        <v/>
      </c>
      <c r="C76" s="2" t="str">
        <f>IF(D76&lt;&gt;"",'DATA TILL SLU'!$K$3,"")</f>
        <v/>
      </c>
      <c r="D76" s="2" t="str">
        <f>IF(OR(ROW(D75)-ROW(D$1)+1&lt;=MAX(Beräkningshjälp!$F$37:$F$54),ROW(D75)-ROW(D$1)+1&lt;=ROUND((MAX(Beräkningshjälp!AB$3:AB$1082)+4)/10,0)-1),D$2,"")</f>
        <v/>
      </c>
      <c r="E76" s="136" t="str">
        <f>IF(D76&lt;&gt;"",IF(COUNTIF(Beräkningshjälp!F$38:F$49,"&gt;0")&gt;=ROW(E75)-ROW(E$1)+1,VLOOKUP((VLOOKUP(ROW(E75)-ROW(E$1)+1,Beräkningshjälp!$F$37:$H$54,IF(ISNUMBER(VLOOKUP(ROW(E75)-ROW(E$1)+1,Beräkningshjälp!$F$37:$H$54,2,FALSE)),2,3),FALSE)),Beräkningshjälp!$M$2:$O$60,3,FALSE),VLOOKUP((ROW(E75)-ROW(E$1)+1)*10+1,Beräkningshjälp!$AB$2:$AF$1082,5,FALSE)),"")</f>
        <v/>
      </c>
      <c r="F76" s="2" t="str">
        <f>IF(D76&lt;&gt;"",Beräkningshjälp!$AH$1,"")</f>
        <v/>
      </c>
      <c r="G76" s="136" t="str">
        <f>IF(D76&lt;&gt;"",IF(COUNTIF(Beräkningshjälp!F$38:F$49,"&gt;0")&gt;=ROW(E75)-ROW(E$1)+1,"INGA",IF(COUNTIF(Beräkningshjälp!$G$38:$H$49,VLOOKUP(E76,Beräkningshjälp!$AF$2:$AG$1082,2,FALSE))&gt;0,"ENSTAK",IF(VLOOKUP(VLOOKUP(E76,Beräkningshjälp!O$2:U$60,7,FALSE),Artuppgifter!$I$11:$P$22,7,FALSE)=TRUE,"MINMAX","ALLA"))),"")</f>
        <v/>
      </c>
      <c r="H76" s="2" t="str">
        <f>IF($E76&lt;&gt;"",IF(AND($E76&lt;&gt;"EJFANGST",$G76&lt;&gt;"INGA"),IF(ISNUMBER(VLOOKUP((ROW($H75)-ROW($H$1)+1)*10+COLUMN(H$1)-COLUMN($H$1)+1,Beräkningshjälp!$AB$2:$AI$1082,7,FALSE)),VLOOKUP((ROW($H75)-ROW($H$1)+1)*10+COLUMN(H$1)-COLUMN($H$1)+1,Beräkningshjälp!$AB$2:$AI$1082,7,FALSE),IF(E76&gt;0,-VLOOKUP((ROW($H75)-ROW($H$1)+1)*10+COLUMN(H$1)-COLUMN($H$1)+1,Beräkningshjälp!$AB$2:$AI$1082,3,FALSE),0)),0),"")</f>
        <v/>
      </c>
      <c r="I76" s="2" t="str">
        <f>IF($E76&lt;&gt;"",IF(AND($E76&lt;&gt;"EJFANGST",$G76&lt;&gt;"INGA"),IF(ISNUMBER(VLOOKUP((ROW($H75)-ROW($H$1)+1)*10+COLUMN(I$1)-COLUMN($H$1)+1,Beräkningshjälp!$AB$2:$AI$1082,7,FALSE)),VLOOKUP((ROW($H75)-ROW($H$1)+1)*10+COLUMN(I$1)-COLUMN($H$1)+1,Beräkningshjälp!$AB$2:$AI$1082,7,FALSE),IF(H76&gt;0,-VLOOKUP((ROW($H75)-ROW($H$1)+1)*10+COLUMN(I$1)-COLUMN($H$1)+1,Beräkningshjälp!$AB$2:$AI$1082,3,FALSE),0)),0),"")</f>
        <v/>
      </c>
      <c r="J76" s="2" t="str">
        <f>IF($E76&lt;&gt;"",IF(AND($E76&lt;&gt;"EJFANGST",$G76&lt;&gt;"INGA"),IF(ISNUMBER(VLOOKUP((ROW($H75)-ROW($H$1)+1)*10+COLUMN(J$1)-COLUMN($H$1)+1,Beräkningshjälp!$AB$2:$AI$1082,7,FALSE)),VLOOKUP((ROW($H75)-ROW($H$1)+1)*10+COLUMN(J$1)-COLUMN($H$1)+1,Beräkningshjälp!$AB$2:$AI$1082,7,FALSE),IF(I76&gt;0,-VLOOKUP((ROW($H75)-ROW($H$1)+1)*10+COLUMN(J$1)-COLUMN($H$1)+1,Beräkningshjälp!$AB$2:$AI$1082,3,FALSE),0)),0),"")</f>
        <v/>
      </c>
      <c r="K76" s="2" t="str">
        <f>IF($E76&lt;&gt;"",IF(AND($E76&lt;&gt;"EJFANGST",$G76&lt;&gt;"INGA"),IF(ISNUMBER(VLOOKUP((ROW($H75)-ROW($H$1)+1)*10+COLUMN(K$1)-COLUMN($H$1)+1,Beräkningshjälp!$AB$2:$AI$1082,7,FALSE)),VLOOKUP((ROW($H75)-ROW($H$1)+1)*10+COLUMN(K$1)-COLUMN($H$1)+1,Beräkningshjälp!$AB$2:$AI$1082,7,FALSE),IF(J76&gt;0,-VLOOKUP((ROW($H75)-ROW($H$1)+1)*10+COLUMN(K$1)-COLUMN($H$1)+1,Beräkningshjälp!$AB$2:$AI$1082,3,FALSE),0)),0),"")</f>
        <v/>
      </c>
      <c r="L76" s="2" t="str">
        <f>IF($E76&lt;&gt;"",IF(AND($E76&lt;&gt;"EJFANGST",$G76&lt;&gt;"INGA"),IF(ISNUMBER(VLOOKUP((ROW($H75)-ROW($H$1)+1)*10+COLUMN(L$1)-COLUMN($H$1)+1,Beräkningshjälp!$AB$2:$AI$1082,7,FALSE)),VLOOKUP((ROW($H75)-ROW($H$1)+1)*10+COLUMN(L$1)-COLUMN($H$1)+1,Beräkningshjälp!$AB$2:$AI$1082,7,FALSE),IF(K76&gt;0,-VLOOKUP((ROW($H75)-ROW($H$1)+1)*10+COLUMN(L$1)-COLUMN($H$1)+1,Beräkningshjälp!$AB$2:$AI$1082,3,FALSE),0)),0),"")</f>
        <v/>
      </c>
      <c r="M76" s="2" t="str">
        <f>IF($E76&lt;&gt;"",IF(AND($E76&lt;&gt;"EJFANGST",$G76&lt;&gt;"INGA"),IF(ISNUMBER(VLOOKUP((ROW($H75)-ROW($H$1)+1)*10+COLUMN(M$1)-COLUMN($H$1)+1,Beräkningshjälp!$AB$2:$AI$1082,7,FALSE)),VLOOKUP((ROW($H75)-ROW($H$1)+1)*10+COLUMN(M$1)-COLUMN($H$1)+1,Beräkningshjälp!$AB$2:$AI$1082,7,FALSE),IF(L76&gt;0,-VLOOKUP((ROW($H75)-ROW($H$1)+1)*10+COLUMN(M$1)-COLUMN($H$1)+1,Beräkningshjälp!$AB$2:$AI$1082,3,FALSE),0)),0),"")</f>
        <v/>
      </c>
      <c r="N76" s="2" t="str">
        <f>IF($E76&lt;&gt;"",IF(AND($E76&lt;&gt;"EJFANGST",$G76&lt;&gt;"INGA"),IF(ISNUMBER(VLOOKUP((ROW($H75)-ROW($H$1)+1)*10+COLUMN(N$1)-COLUMN($H$1)+1,Beräkningshjälp!$AB$2:$AI$1082,7,FALSE)),VLOOKUP((ROW($H75)-ROW($H$1)+1)*10+COLUMN(N$1)-COLUMN($H$1)+1,Beräkningshjälp!$AB$2:$AI$1082,7,FALSE),IF(M76&gt;0,-VLOOKUP((ROW($H75)-ROW($H$1)+1)*10+COLUMN(N$1)-COLUMN($H$1)+1,Beräkningshjälp!$AB$2:$AI$1082,3,FALSE),0)),0),"")</f>
        <v/>
      </c>
      <c r="O76" s="2" t="str">
        <f>IF($E76&lt;&gt;"",IF(AND($E76&lt;&gt;"EJFANGST",$G76&lt;&gt;"INGA"),IF(ISNUMBER(VLOOKUP((ROW($H75)-ROW($H$1)+1)*10+COLUMN(O$1)-COLUMN($H$1)+1,Beräkningshjälp!$AB$2:$AI$1082,7,FALSE)),VLOOKUP((ROW($H75)-ROW($H$1)+1)*10+COLUMN(O$1)-COLUMN($H$1)+1,Beräkningshjälp!$AB$2:$AI$1082,7,FALSE),IF(N76&gt;0,-VLOOKUP((ROW($H75)-ROW($H$1)+1)*10+COLUMN(O$1)-COLUMN($H$1)+1,Beräkningshjälp!$AB$2:$AI$1082,3,FALSE),0)),0),"")</f>
        <v/>
      </c>
      <c r="P76" s="2" t="str">
        <f>IF($E76&lt;&gt;"",IF(AND($E76&lt;&gt;"EJFANGST",$G76&lt;&gt;"INGA"),IF(ISNUMBER(VLOOKUP((ROW($H75)-ROW($H$1)+1)*10+COLUMN(P$1)-COLUMN($H$1)+1,Beräkningshjälp!$AB$2:$AI$1082,7,FALSE)),VLOOKUP((ROW($H75)-ROW($H$1)+1)*10+COLUMN(P$1)-COLUMN($H$1)+1,Beräkningshjälp!$AB$2:$AI$1082,7,FALSE),IF(O76&gt;0,-VLOOKUP((ROW($H75)-ROW($H$1)+1)*10+COLUMN(P$1)-COLUMN($H$1)+1,Beräkningshjälp!$AB$2:$AI$1082,3,FALSE),0)),0),"")</f>
        <v/>
      </c>
      <c r="Q76" s="2" t="str">
        <f>IF($E76&lt;&gt;"",IF(AND($E76&lt;&gt;"EJFANGST",$G76&lt;&gt;"INGA"),IF(ISNUMBER(VLOOKUP((ROW($H75)-ROW($H$1)+1)*10+COLUMN(Q$1)-COLUMN($H$1)+1,Beräkningshjälp!$AB$2:$AI$1082,7,FALSE)),VLOOKUP((ROW($H75)-ROW($H$1)+1)*10+COLUMN(Q$1)-COLUMN($H$1)+1,Beräkningshjälp!$AB$2:$AI$1082,7,FALSE),IF(P76&gt;0,-VLOOKUP((ROW($H75)-ROW($H$1)+1)*10+COLUMN(Q$1)-COLUMN($H$1)+1,Beräkningshjälp!$AB$2:$AI$1082,3,FALSE),0)),0),"")</f>
        <v/>
      </c>
      <c r="R76" s="116" t="str">
        <f>IF(COUNTIF(H76:Q76,"&gt;0")&gt;0,IF($E76&lt;&gt;"",IF(AND($E76&lt;&gt;"EJFANGST",$G76&lt;&gt;"INGA"),IF(ISNUMBER(VLOOKUP((ROW($H75)-ROW($H$1)+1)*10+COLUMN(H$1)-COLUMN($H$1)+1,Beräkningshjälp!$AB$2:$AI$1082,7,FALSE)),VLOOKUP((ROW($H75)-ROW($H$1)+1)*10+COLUMN(H$1)-COLUMN($H$1)+1,Beräkningshjälp!$AB$2:$AI$1082,3,FALSE),""),""),""),"")</f>
        <v/>
      </c>
    </row>
    <row r="77" spans="1:18" x14ac:dyDescent="0.25">
      <c r="A77" s="2" t="str">
        <f t="shared" si="1"/>
        <v/>
      </c>
      <c r="B77" s="2" t="str">
        <f>IF(D77&lt;&gt;"",'DATA TILL SLU'!$J$3,"")</f>
        <v/>
      </c>
      <c r="C77" s="2" t="str">
        <f>IF(D77&lt;&gt;"",'DATA TILL SLU'!$K$3,"")</f>
        <v/>
      </c>
      <c r="D77" s="2" t="str">
        <f>IF(OR(ROW(D76)-ROW(D$1)+1&lt;=MAX(Beräkningshjälp!$F$37:$F$54),ROW(D76)-ROW(D$1)+1&lt;=ROUND((MAX(Beräkningshjälp!AB$3:AB$1082)+4)/10,0)-1),D$2,"")</f>
        <v/>
      </c>
      <c r="E77" s="136" t="str">
        <f>IF(D77&lt;&gt;"",IF(COUNTIF(Beräkningshjälp!F$38:F$49,"&gt;0")&gt;=ROW(E76)-ROW(E$1)+1,VLOOKUP((VLOOKUP(ROW(E76)-ROW(E$1)+1,Beräkningshjälp!$F$37:$H$54,IF(ISNUMBER(VLOOKUP(ROW(E76)-ROW(E$1)+1,Beräkningshjälp!$F$37:$H$54,2,FALSE)),2,3),FALSE)),Beräkningshjälp!$M$2:$O$60,3,FALSE),VLOOKUP((ROW(E76)-ROW(E$1)+1)*10+1,Beräkningshjälp!$AB$2:$AF$1082,5,FALSE)),"")</f>
        <v/>
      </c>
      <c r="F77" s="2" t="str">
        <f>IF(D77&lt;&gt;"",Beräkningshjälp!$AH$1,"")</f>
        <v/>
      </c>
      <c r="G77" s="136" t="str">
        <f>IF(D77&lt;&gt;"",IF(COUNTIF(Beräkningshjälp!F$38:F$49,"&gt;0")&gt;=ROW(E76)-ROW(E$1)+1,"INGA",IF(COUNTIF(Beräkningshjälp!$G$38:$H$49,VLOOKUP(E77,Beräkningshjälp!$AF$2:$AG$1082,2,FALSE))&gt;0,"ENSTAK",IF(VLOOKUP(VLOOKUP(E77,Beräkningshjälp!O$2:U$60,7,FALSE),Artuppgifter!$I$11:$P$22,7,FALSE)=TRUE,"MINMAX","ALLA"))),"")</f>
        <v/>
      </c>
      <c r="H77" s="2" t="str">
        <f>IF($E77&lt;&gt;"",IF(AND($E77&lt;&gt;"EJFANGST",$G77&lt;&gt;"INGA"),IF(ISNUMBER(VLOOKUP((ROW($H76)-ROW($H$1)+1)*10+COLUMN(H$1)-COLUMN($H$1)+1,Beräkningshjälp!$AB$2:$AI$1082,7,FALSE)),VLOOKUP((ROW($H76)-ROW($H$1)+1)*10+COLUMN(H$1)-COLUMN($H$1)+1,Beräkningshjälp!$AB$2:$AI$1082,7,FALSE),IF(E77&gt;0,-VLOOKUP((ROW($H76)-ROW($H$1)+1)*10+COLUMN(H$1)-COLUMN($H$1)+1,Beräkningshjälp!$AB$2:$AI$1082,3,FALSE),0)),0),"")</f>
        <v/>
      </c>
      <c r="I77" s="2" t="str">
        <f>IF($E77&lt;&gt;"",IF(AND($E77&lt;&gt;"EJFANGST",$G77&lt;&gt;"INGA"),IF(ISNUMBER(VLOOKUP((ROW($H76)-ROW($H$1)+1)*10+COLUMN(I$1)-COLUMN($H$1)+1,Beräkningshjälp!$AB$2:$AI$1082,7,FALSE)),VLOOKUP((ROW($H76)-ROW($H$1)+1)*10+COLUMN(I$1)-COLUMN($H$1)+1,Beräkningshjälp!$AB$2:$AI$1082,7,FALSE),IF(H77&gt;0,-VLOOKUP((ROW($H76)-ROW($H$1)+1)*10+COLUMN(I$1)-COLUMN($H$1)+1,Beräkningshjälp!$AB$2:$AI$1082,3,FALSE),0)),0),"")</f>
        <v/>
      </c>
      <c r="J77" s="2" t="str">
        <f>IF($E77&lt;&gt;"",IF(AND($E77&lt;&gt;"EJFANGST",$G77&lt;&gt;"INGA"),IF(ISNUMBER(VLOOKUP((ROW($H76)-ROW($H$1)+1)*10+COLUMN(J$1)-COLUMN($H$1)+1,Beräkningshjälp!$AB$2:$AI$1082,7,FALSE)),VLOOKUP((ROW($H76)-ROW($H$1)+1)*10+COLUMN(J$1)-COLUMN($H$1)+1,Beräkningshjälp!$AB$2:$AI$1082,7,FALSE),IF(I77&gt;0,-VLOOKUP((ROW($H76)-ROW($H$1)+1)*10+COLUMN(J$1)-COLUMN($H$1)+1,Beräkningshjälp!$AB$2:$AI$1082,3,FALSE),0)),0),"")</f>
        <v/>
      </c>
      <c r="K77" s="2" t="str">
        <f>IF($E77&lt;&gt;"",IF(AND($E77&lt;&gt;"EJFANGST",$G77&lt;&gt;"INGA"),IF(ISNUMBER(VLOOKUP((ROW($H76)-ROW($H$1)+1)*10+COLUMN(K$1)-COLUMN($H$1)+1,Beräkningshjälp!$AB$2:$AI$1082,7,FALSE)),VLOOKUP((ROW($H76)-ROW($H$1)+1)*10+COLUMN(K$1)-COLUMN($H$1)+1,Beräkningshjälp!$AB$2:$AI$1082,7,FALSE),IF(J77&gt;0,-VLOOKUP((ROW($H76)-ROW($H$1)+1)*10+COLUMN(K$1)-COLUMN($H$1)+1,Beräkningshjälp!$AB$2:$AI$1082,3,FALSE),0)),0),"")</f>
        <v/>
      </c>
      <c r="L77" s="2" t="str">
        <f>IF($E77&lt;&gt;"",IF(AND($E77&lt;&gt;"EJFANGST",$G77&lt;&gt;"INGA"),IF(ISNUMBER(VLOOKUP((ROW($H76)-ROW($H$1)+1)*10+COLUMN(L$1)-COLUMN($H$1)+1,Beräkningshjälp!$AB$2:$AI$1082,7,FALSE)),VLOOKUP((ROW($H76)-ROW($H$1)+1)*10+COLUMN(L$1)-COLUMN($H$1)+1,Beräkningshjälp!$AB$2:$AI$1082,7,FALSE),IF(K77&gt;0,-VLOOKUP((ROW($H76)-ROW($H$1)+1)*10+COLUMN(L$1)-COLUMN($H$1)+1,Beräkningshjälp!$AB$2:$AI$1082,3,FALSE),0)),0),"")</f>
        <v/>
      </c>
      <c r="M77" s="2" t="str">
        <f>IF($E77&lt;&gt;"",IF(AND($E77&lt;&gt;"EJFANGST",$G77&lt;&gt;"INGA"),IF(ISNUMBER(VLOOKUP((ROW($H76)-ROW($H$1)+1)*10+COLUMN(M$1)-COLUMN($H$1)+1,Beräkningshjälp!$AB$2:$AI$1082,7,FALSE)),VLOOKUP((ROW($H76)-ROW($H$1)+1)*10+COLUMN(M$1)-COLUMN($H$1)+1,Beräkningshjälp!$AB$2:$AI$1082,7,FALSE),IF(L77&gt;0,-VLOOKUP((ROW($H76)-ROW($H$1)+1)*10+COLUMN(M$1)-COLUMN($H$1)+1,Beräkningshjälp!$AB$2:$AI$1082,3,FALSE),0)),0),"")</f>
        <v/>
      </c>
      <c r="N77" s="2" t="str">
        <f>IF($E77&lt;&gt;"",IF(AND($E77&lt;&gt;"EJFANGST",$G77&lt;&gt;"INGA"),IF(ISNUMBER(VLOOKUP((ROW($H76)-ROW($H$1)+1)*10+COLUMN(N$1)-COLUMN($H$1)+1,Beräkningshjälp!$AB$2:$AI$1082,7,FALSE)),VLOOKUP((ROW($H76)-ROW($H$1)+1)*10+COLUMN(N$1)-COLUMN($H$1)+1,Beräkningshjälp!$AB$2:$AI$1082,7,FALSE),IF(M77&gt;0,-VLOOKUP((ROW($H76)-ROW($H$1)+1)*10+COLUMN(N$1)-COLUMN($H$1)+1,Beräkningshjälp!$AB$2:$AI$1082,3,FALSE),0)),0),"")</f>
        <v/>
      </c>
      <c r="O77" s="2" t="str">
        <f>IF($E77&lt;&gt;"",IF(AND($E77&lt;&gt;"EJFANGST",$G77&lt;&gt;"INGA"),IF(ISNUMBER(VLOOKUP((ROW($H76)-ROW($H$1)+1)*10+COLUMN(O$1)-COLUMN($H$1)+1,Beräkningshjälp!$AB$2:$AI$1082,7,FALSE)),VLOOKUP((ROW($H76)-ROW($H$1)+1)*10+COLUMN(O$1)-COLUMN($H$1)+1,Beräkningshjälp!$AB$2:$AI$1082,7,FALSE),IF(N77&gt;0,-VLOOKUP((ROW($H76)-ROW($H$1)+1)*10+COLUMN(O$1)-COLUMN($H$1)+1,Beräkningshjälp!$AB$2:$AI$1082,3,FALSE),0)),0),"")</f>
        <v/>
      </c>
      <c r="P77" s="2" t="str">
        <f>IF($E77&lt;&gt;"",IF(AND($E77&lt;&gt;"EJFANGST",$G77&lt;&gt;"INGA"),IF(ISNUMBER(VLOOKUP((ROW($H76)-ROW($H$1)+1)*10+COLUMN(P$1)-COLUMN($H$1)+1,Beräkningshjälp!$AB$2:$AI$1082,7,FALSE)),VLOOKUP((ROW($H76)-ROW($H$1)+1)*10+COLUMN(P$1)-COLUMN($H$1)+1,Beräkningshjälp!$AB$2:$AI$1082,7,FALSE),IF(O77&gt;0,-VLOOKUP((ROW($H76)-ROW($H$1)+1)*10+COLUMN(P$1)-COLUMN($H$1)+1,Beräkningshjälp!$AB$2:$AI$1082,3,FALSE),0)),0),"")</f>
        <v/>
      </c>
      <c r="Q77" s="2" t="str">
        <f>IF($E77&lt;&gt;"",IF(AND($E77&lt;&gt;"EJFANGST",$G77&lt;&gt;"INGA"),IF(ISNUMBER(VLOOKUP((ROW($H76)-ROW($H$1)+1)*10+COLUMN(Q$1)-COLUMN($H$1)+1,Beräkningshjälp!$AB$2:$AI$1082,7,FALSE)),VLOOKUP((ROW($H76)-ROW($H$1)+1)*10+COLUMN(Q$1)-COLUMN($H$1)+1,Beräkningshjälp!$AB$2:$AI$1082,7,FALSE),IF(P77&gt;0,-VLOOKUP((ROW($H76)-ROW($H$1)+1)*10+COLUMN(Q$1)-COLUMN($H$1)+1,Beräkningshjälp!$AB$2:$AI$1082,3,FALSE),0)),0),"")</f>
        <v/>
      </c>
      <c r="R77" s="116" t="str">
        <f>IF(COUNTIF(H77:Q77,"&gt;0")&gt;0,IF($E77&lt;&gt;"",IF(AND($E77&lt;&gt;"EJFANGST",$G77&lt;&gt;"INGA"),IF(ISNUMBER(VLOOKUP((ROW($H76)-ROW($H$1)+1)*10+COLUMN(H$1)-COLUMN($H$1)+1,Beräkningshjälp!$AB$2:$AI$1082,7,FALSE)),VLOOKUP((ROW($H76)-ROW($H$1)+1)*10+COLUMN(H$1)-COLUMN($H$1)+1,Beräkningshjälp!$AB$2:$AI$1082,3,FALSE),""),""),""),"")</f>
        <v/>
      </c>
    </row>
    <row r="78" spans="1:18" x14ac:dyDescent="0.25">
      <c r="A78" s="2" t="str">
        <f t="shared" si="1"/>
        <v/>
      </c>
      <c r="B78" s="2" t="str">
        <f>IF(D78&lt;&gt;"",'DATA TILL SLU'!$J$3,"")</f>
        <v/>
      </c>
      <c r="C78" s="2" t="str">
        <f>IF(D78&lt;&gt;"",'DATA TILL SLU'!$K$3,"")</f>
        <v/>
      </c>
      <c r="D78" s="2" t="str">
        <f>IF(OR(ROW(D77)-ROW(D$1)+1&lt;=MAX(Beräkningshjälp!$F$37:$F$54),ROW(D77)-ROW(D$1)+1&lt;=ROUND((MAX(Beräkningshjälp!AB$3:AB$1082)+4)/10,0)-1),D$2,"")</f>
        <v/>
      </c>
      <c r="E78" s="136" t="str">
        <f>IF(D78&lt;&gt;"",IF(COUNTIF(Beräkningshjälp!F$38:F$49,"&gt;0")&gt;=ROW(E77)-ROW(E$1)+1,VLOOKUP((VLOOKUP(ROW(E77)-ROW(E$1)+1,Beräkningshjälp!$F$37:$H$54,IF(ISNUMBER(VLOOKUP(ROW(E77)-ROW(E$1)+1,Beräkningshjälp!$F$37:$H$54,2,FALSE)),2,3),FALSE)),Beräkningshjälp!$M$2:$O$60,3,FALSE),VLOOKUP((ROW(E77)-ROW(E$1)+1)*10+1,Beräkningshjälp!$AB$2:$AF$1082,5,FALSE)),"")</f>
        <v/>
      </c>
      <c r="F78" s="2" t="str">
        <f>IF(D78&lt;&gt;"",Beräkningshjälp!$AH$1,"")</f>
        <v/>
      </c>
      <c r="G78" s="136" t="str">
        <f>IF(D78&lt;&gt;"",IF(COUNTIF(Beräkningshjälp!F$38:F$49,"&gt;0")&gt;=ROW(E77)-ROW(E$1)+1,"INGA",IF(COUNTIF(Beräkningshjälp!$G$38:$H$49,VLOOKUP(E78,Beräkningshjälp!$AF$2:$AG$1082,2,FALSE))&gt;0,"ENSTAK",IF(VLOOKUP(VLOOKUP(E78,Beräkningshjälp!O$2:U$60,7,FALSE),Artuppgifter!$I$11:$P$22,7,FALSE)=TRUE,"MINMAX","ALLA"))),"")</f>
        <v/>
      </c>
      <c r="H78" s="2" t="str">
        <f>IF($E78&lt;&gt;"",IF(AND($E78&lt;&gt;"EJFANGST",$G78&lt;&gt;"INGA"),IF(ISNUMBER(VLOOKUP((ROW($H77)-ROW($H$1)+1)*10+COLUMN(H$1)-COLUMN($H$1)+1,Beräkningshjälp!$AB$2:$AI$1082,7,FALSE)),VLOOKUP((ROW($H77)-ROW($H$1)+1)*10+COLUMN(H$1)-COLUMN($H$1)+1,Beräkningshjälp!$AB$2:$AI$1082,7,FALSE),IF(E78&gt;0,-VLOOKUP((ROW($H77)-ROW($H$1)+1)*10+COLUMN(H$1)-COLUMN($H$1)+1,Beräkningshjälp!$AB$2:$AI$1082,3,FALSE),0)),0),"")</f>
        <v/>
      </c>
      <c r="I78" s="2" t="str">
        <f>IF($E78&lt;&gt;"",IF(AND($E78&lt;&gt;"EJFANGST",$G78&lt;&gt;"INGA"),IF(ISNUMBER(VLOOKUP((ROW($H77)-ROW($H$1)+1)*10+COLUMN(I$1)-COLUMN($H$1)+1,Beräkningshjälp!$AB$2:$AI$1082,7,FALSE)),VLOOKUP((ROW($H77)-ROW($H$1)+1)*10+COLUMN(I$1)-COLUMN($H$1)+1,Beräkningshjälp!$AB$2:$AI$1082,7,FALSE),IF(H78&gt;0,-VLOOKUP((ROW($H77)-ROW($H$1)+1)*10+COLUMN(I$1)-COLUMN($H$1)+1,Beräkningshjälp!$AB$2:$AI$1082,3,FALSE),0)),0),"")</f>
        <v/>
      </c>
      <c r="J78" s="2" t="str">
        <f>IF($E78&lt;&gt;"",IF(AND($E78&lt;&gt;"EJFANGST",$G78&lt;&gt;"INGA"),IF(ISNUMBER(VLOOKUP((ROW($H77)-ROW($H$1)+1)*10+COLUMN(J$1)-COLUMN($H$1)+1,Beräkningshjälp!$AB$2:$AI$1082,7,FALSE)),VLOOKUP((ROW($H77)-ROW($H$1)+1)*10+COLUMN(J$1)-COLUMN($H$1)+1,Beräkningshjälp!$AB$2:$AI$1082,7,FALSE),IF(I78&gt;0,-VLOOKUP((ROW($H77)-ROW($H$1)+1)*10+COLUMN(J$1)-COLUMN($H$1)+1,Beräkningshjälp!$AB$2:$AI$1082,3,FALSE),0)),0),"")</f>
        <v/>
      </c>
      <c r="K78" s="2" t="str">
        <f>IF($E78&lt;&gt;"",IF(AND($E78&lt;&gt;"EJFANGST",$G78&lt;&gt;"INGA"),IF(ISNUMBER(VLOOKUP((ROW($H77)-ROW($H$1)+1)*10+COLUMN(K$1)-COLUMN($H$1)+1,Beräkningshjälp!$AB$2:$AI$1082,7,FALSE)),VLOOKUP((ROW($H77)-ROW($H$1)+1)*10+COLUMN(K$1)-COLUMN($H$1)+1,Beräkningshjälp!$AB$2:$AI$1082,7,FALSE),IF(J78&gt;0,-VLOOKUP((ROW($H77)-ROW($H$1)+1)*10+COLUMN(K$1)-COLUMN($H$1)+1,Beräkningshjälp!$AB$2:$AI$1082,3,FALSE),0)),0),"")</f>
        <v/>
      </c>
      <c r="L78" s="2" t="str">
        <f>IF($E78&lt;&gt;"",IF(AND($E78&lt;&gt;"EJFANGST",$G78&lt;&gt;"INGA"),IF(ISNUMBER(VLOOKUP((ROW($H77)-ROW($H$1)+1)*10+COLUMN(L$1)-COLUMN($H$1)+1,Beräkningshjälp!$AB$2:$AI$1082,7,FALSE)),VLOOKUP((ROW($H77)-ROW($H$1)+1)*10+COLUMN(L$1)-COLUMN($H$1)+1,Beräkningshjälp!$AB$2:$AI$1082,7,FALSE),IF(K78&gt;0,-VLOOKUP((ROW($H77)-ROW($H$1)+1)*10+COLUMN(L$1)-COLUMN($H$1)+1,Beräkningshjälp!$AB$2:$AI$1082,3,FALSE),0)),0),"")</f>
        <v/>
      </c>
      <c r="M78" s="2" t="str">
        <f>IF($E78&lt;&gt;"",IF(AND($E78&lt;&gt;"EJFANGST",$G78&lt;&gt;"INGA"),IF(ISNUMBER(VLOOKUP((ROW($H77)-ROW($H$1)+1)*10+COLUMN(M$1)-COLUMN($H$1)+1,Beräkningshjälp!$AB$2:$AI$1082,7,FALSE)),VLOOKUP((ROW($H77)-ROW($H$1)+1)*10+COLUMN(M$1)-COLUMN($H$1)+1,Beräkningshjälp!$AB$2:$AI$1082,7,FALSE),IF(L78&gt;0,-VLOOKUP((ROW($H77)-ROW($H$1)+1)*10+COLUMN(M$1)-COLUMN($H$1)+1,Beräkningshjälp!$AB$2:$AI$1082,3,FALSE),0)),0),"")</f>
        <v/>
      </c>
      <c r="N78" s="2" t="str">
        <f>IF($E78&lt;&gt;"",IF(AND($E78&lt;&gt;"EJFANGST",$G78&lt;&gt;"INGA"),IF(ISNUMBER(VLOOKUP((ROW($H77)-ROW($H$1)+1)*10+COLUMN(N$1)-COLUMN($H$1)+1,Beräkningshjälp!$AB$2:$AI$1082,7,FALSE)),VLOOKUP((ROW($H77)-ROW($H$1)+1)*10+COLUMN(N$1)-COLUMN($H$1)+1,Beräkningshjälp!$AB$2:$AI$1082,7,FALSE),IF(M78&gt;0,-VLOOKUP((ROW($H77)-ROW($H$1)+1)*10+COLUMN(N$1)-COLUMN($H$1)+1,Beräkningshjälp!$AB$2:$AI$1082,3,FALSE),0)),0),"")</f>
        <v/>
      </c>
      <c r="O78" s="2" t="str">
        <f>IF($E78&lt;&gt;"",IF(AND($E78&lt;&gt;"EJFANGST",$G78&lt;&gt;"INGA"),IF(ISNUMBER(VLOOKUP((ROW($H77)-ROW($H$1)+1)*10+COLUMN(O$1)-COLUMN($H$1)+1,Beräkningshjälp!$AB$2:$AI$1082,7,FALSE)),VLOOKUP((ROW($H77)-ROW($H$1)+1)*10+COLUMN(O$1)-COLUMN($H$1)+1,Beräkningshjälp!$AB$2:$AI$1082,7,FALSE),IF(N78&gt;0,-VLOOKUP((ROW($H77)-ROW($H$1)+1)*10+COLUMN(O$1)-COLUMN($H$1)+1,Beräkningshjälp!$AB$2:$AI$1082,3,FALSE),0)),0),"")</f>
        <v/>
      </c>
      <c r="P78" s="2" t="str">
        <f>IF($E78&lt;&gt;"",IF(AND($E78&lt;&gt;"EJFANGST",$G78&lt;&gt;"INGA"),IF(ISNUMBER(VLOOKUP((ROW($H77)-ROW($H$1)+1)*10+COLUMN(P$1)-COLUMN($H$1)+1,Beräkningshjälp!$AB$2:$AI$1082,7,FALSE)),VLOOKUP((ROW($H77)-ROW($H$1)+1)*10+COLUMN(P$1)-COLUMN($H$1)+1,Beräkningshjälp!$AB$2:$AI$1082,7,FALSE),IF(O78&gt;0,-VLOOKUP((ROW($H77)-ROW($H$1)+1)*10+COLUMN(P$1)-COLUMN($H$1)+1,Beräkningshjälp!$AB$2:$AI$1082,3,FALSE),0)),0),"")</f>
        <v/>
      </c>
      <c r="Q78" s="2" t="str">
        <f>IF($E78&lt;&gt;"",IF(AND($E78&lt;&gt;"EJFANGST",$G78&lt;&gt;"INGA"),IF(ISNUMBER(VLOOKUP((ROW($H77)-ROW($H$1)+1)*10+COLUMN(Q$1)-COLUMN($H$1)+1,Beräkningshjälp!$AB$2:$AI$1082,7,FALSE)),VLOOKUP((ROW($H77)-ROW($H$1)+1)*10+COLUMN(Q$1)-COLUMN($H$1)+1,Beräkningshjälp!$AB$2:$AI$1082,7,FALSE),IF(P78&gt;0,-VLOOKUP((ROW($H77)-ROW($H$1)+1)*10+COLUMN(Q$1)-COLUMN($H$1)+1,Beräkningshjälp!$AB$2:$AI$1082,3,FALSE),0)),0),"")</f>
        <v/>
      </c>
      <c r="R78" s="116" t="str">
        <f>IF(COUNTIF(H78:Q78,"&gt;0")&gt;0,IF($E78&lt;&gt;"",IF(AND($E78&lt;&gt;"EJFANGST",$G78&lt;&gt;"INGA"),IF(ISNUMBER(VLOOKUP((ROW($H77)-ROW($H$1)+1)*10+COLUMN(H$1)-COLUMN($H$1)+1,Beräkningshjälp!$AB$2:$AI$1082,7,FALSE)),VLOOKUP((ROW($H77)-ROW($H$1)+1)*10+COLUMN(H$1)-COLUMN($H$1)+1,Beräkningshjälp!$AB$2:$AI$1082,3,FALSE),""),""),""),"")</f>
        <v/>
      </c>
    </row>
    <row r="79" spans="1:18" x14ac:dyDescent="0.25">
      <c r="A79" s="2" t="str">
        <f t="shared" si="1"/>
        <v/>
      </c>
      <c r="B79" s="2" t="str">
        <f>IF(D79&lt;&gt;"",'DATA TILL SLU'!$J$3,"")</f>
        <v/>
      </c>
      <c r="C79" s="2" t="str">
        <f>IF(D79&lt;&gt;"",'DATA TILL SLU'!$K$3,"")</f>
        <v/>
      </c>
      <c r="D79" s="2" t="str">
        <f>IF(OR(ROW(D78)-ROW(D$1)+1&lt;=MAX(Beräkningshjälp!$F$37:$F$54),ROW(D78)-ROW(D$1)+1&lt;=ROUND((MAX(Beräkningshjälp!AB$3:AB$1082)+4)/10,0)-1),D$2,"")</f>
        <v/>
      </c>
      <c r="E79" s="136" t="str">
        <f>IF(D79&lt;&gt;"",IF(COUNTIF(Beräkningshjälp!F$38:F$49,"&gt;0")&gt;=ROW(E78)-ROW(E$1)+1,VLOOKUP((VLOOKUP(ROW(E78)-ROW(E$1)+1,Beräkningshjälp!$F$37:$H$54,IF(ISNUMBER(VLOOKUP(ROW(E78)-ROW(E$1)+1,Beräkningshjälp!$F$37:$H$54,2,FALSE)),2,3),FALSE)),Beräkningshjälp!$M$2:$O$60,3,FALSE),VLOOKUP((ROW(E78)-ROW(E$1)+1)*10+1,Beräkningshjälp!$AB$2:$AF$1082,5,FALSE)),"")</f>
        <v/>
      </c>
      <c r="F79" s="2" t="str">
        <f>IF(D79&lt;&gt;"",Beräkningshjälp!$AH$1,"")</f>
        <v/>
      </c>
      <c r="G79" s="136" t="str">
        <f>IF(D79&lt;&gt;"",IF(COUNTIF(Beräkningshjälp!F$38:F$49,"&gt;0")&gt;=ROW(E78)-ROW(E$1)+1,"INGA",IF(COUNTIF(Beräkningshjälp!$G$38:$H$49,VLOOKUP(E79,Beräkningshjälp!$AF$2:$AG$1082,2,FALSE))&gt;0,"ENSTAK",IF(VLOOKUP(VLOOKUP(E79,Beräkningshjälp!O$2:U$60,7,FALSE),Artuppgifter!$I$11:$P$22,7,FALSE)=TRUE,"MINMAX","ALLA"))),"")</f>
        <v/>
      </c>
      <c r="H79" s="2" t="str">
        <f>IF($E79&lt;&gt;"",IF(AND($E79&lt;&gt;"EJFANGST",$G79&lt;&gt;"INGA"),IF(ISNUMBER(VLOOKUP((ROW($H78)-ROW($H$1)+1)*10+COLUMN(H$1)-COLUMN($H$1)+1,Beräkningshjälp!$AB$2:$AI$1082,7,FALSE)),VLOOKUP((ROW($H78)-ROW($H$1)+1)*10+COLUMN(H$1)-COLUMN($H$1)+1,Beräkningshjälp!$AB$2:$AI$1082,7,FALSE),IF(E79&gt;0,-VLOOKUP((ROW($H78)-ROW($H$1)+1)*10+COLUMN(H$1)-COLUMN($H$1)+1,Beräkningshjälp!$AB$2:$AI$1082,3,FALSE),0)),0),"")</f>
        <v/>
      </c>
      <c r="I79" s="2" t="str">
        <f>IF($E79&lt;&gt;"",IF(AND($E79&lt;&gt;"EJFANGST",$G79&lt;&gt;"INGA"),IF(ISNUMBER(VLOOKUP((ROW($H78)-ROW($H$1)+1)*10+COLUMN(I$1)-COLUMN($H$1)+1,Beräkningshjälp!$AB$2:$AI$1082,7,FALSE)),VLOOKUP((ROW($H78)-ROW($H$1)+1)*10+COLUMN(I$1)-COLUMN($H$1)+1,Beräkningshjälp!$AB$2:$AI$1082,7,FALSE),IF(H79&gt;0,-VLOOKUP((ROW($H78)-ROW($H$1)+1)*10+COLUMN(I$1)-COLUMN($H$1)+1,Beräkningshjälp!$AB$2:$AI$1082,3,FALSE),0)),0),"")</f>
        <v/>
      </c>
      <c r="J79" s="2" t="str">
        <f>IF($E79&lt;&gt;"",IF(AND($E79&lt;&gt;"EJFANGST",$G79&lt;&gt;"INGA"),IF(ISNUMBER(VLOOKUP((ROW($H78)-ROW($H$1)+1)*10+COLUMN(J$1)-COLUMN($H$1)+1,Beräkningshjälp!$AB$2:$AI$1082,7,FALSE)),VLOOKUP((ROW($H78)-ROW($H$1)+1)*10+COLUMN(J$1)-COLUMN($H$1)+1,Beräkningshjälp!$AB$2:$AI$1082,7,FALSE),IF(I79&gt;0,-VLOOKUP((ROW($H78)-ROW($H$1)+1)*10+COLUMN(J$1)-COLUMN($H$1)+1,Beräkningshjälp!$AB$2:$AI$1082,3,FALSE),0)),0),"")</f>
        <v/>
      </c>
      <c r="K79" s="2" t="str">
        <f>IF($E79&lt;&gt;"",IF(AND($E79&lt;&gt;"EJFANGST",$G79&lt;&gt;"INGA"),IF(ISNUMBER(VLOOKUP((ROW($H78)-ROW($H$1)+1)*10+COLUMN(K$1)-COLUMN($H$1)+1,Beräkningshjälp!$AB$2:$AI$1082,7,FALSE)),VLOOKUP((ROW($H78)-ROW($H$1)+1)*10+COLUMN(K$1)-COLUMN($H$1)+1,Beräkningshjälp!$AB$2:$AI$1082,7,FALSE),IF(J79&gt;0,-VLOOKUP((ROW($H78)-ROW($H$1)+1)*10+COLUMN(K$1)-COLUMN($H$1)+1,Beräkningshjälp!$AB$2:$AI$1082,3,FALSE),0)),0),"")</f>
        <v/>
      </c>
      <c r="L79" s="2" t="str">
        <f>IF($E79&lt;&gt;"",IF(AND($E79&lt;&gt;"EJFANGST",$G79&lt;&gt;"INGA"),IF(ISNUMBER(VLOOKUP((ROW($H78)-ROW($H$1)+1)*10+COLUMN(L$1)-COLUMN($H$1)+1,Beräkningshjälp!$AB$2:$AI$1082,7,FALSE)),VLOOKUP((ROW($H78)-ROW($H$1)+1)*10+COLUMN(L$1)-COLUMN($H$1)+1,Beräkningshjälp!$AB$2:$AI$1082,7,FALSE),IF(K79&gt;0,-VLOOKUP((ROW($H78)-ROW($H$1)+1)*10+COLUMN(L$1)-COLUMN($H$1)+1,Beräkningshjälp!$AB$2:$AI$1082,3,FALSE),0)),0),"")</f>
        <v/>
      </c>
      <c r="M79" s="2" t="str">
        <f>IF($E79&lt;&gt;"",IF(AND($E79&lt;&gt;"EJFANGST",$G79&lt;&gt;"INGA"),IF(ISNUMBER(VLOOKUP((ROW($H78)-ROW($H$1)+1)*10+COLUMN(M$1)-COLUMN($H$1)+1,Beräkningshjälp!$AB$2:$AI$1082,7,FALSE)),VLOOKUP((ROW($H78)-ROW($H$1)+1)*10+COLUMN(M$1)-COLUMN($H$1)+1,Beräkningshjälp!$AB$2:$AI$1082,7,FALSE),IF(L79&gt;0,-VLOOKUP((ROW($H78)-ROW($H$1)+1)*10+COLUMN(M$1)-COLUMN($H$1)+1,Beräkningshjälp!$AB$2:$AI$1082,3,FALSE),0)),0),"")</f>
        <v/>
      </c>
      <c r="N79" s="2" t="str">
        <f>IF($E79&lt;&gt;"",IF(AND($E79&lt;&gt;"EJFANGST",$G79&lt;&gt;"INGA"),IF(ISNUMBER(VLOOKUP((ROW($H78)-ROW($H$1)+1)*10+COLUMN(N$1)-COLUMN($H$1)+1,Beräkningshjälp!$AB$2:$AI$1082,7,FALSE)),VLOOKUP((ROW($H78)-ROW($H$1)+1)*10+COLUMN(N$1)-COLUMN($H$1)+1,Beräkningshjälp!$AB$2:$AI$1082,7,FALSE),IF(M79&gt;0,-VLOOKUP((ROW($H78)-ROW($H$1)+1)*10+COLUMN(N$1)-COLUMN($H$1)+1,Beräkningshjälp!$AB$2:$AI$1082,3,FALSE),0)),0),"")</f>
        <v/>
      </c>
      <c r="O79" s="2" t="str">
        <f>IF($E79&lt;&gt;"",IF(AND($E79&lt;&gt;"EJFANGST",$G79&lt;&gt;"INGA"),IF(ISNUMBER(VLOOKUP((ROW($H78)-ROW($H$1)+1)*10+COLUMN(O$1)-COLUMN($H$1)+1,Beräkningshjälp!$AB$2:$AI$1082,7,FALSE)),VLOOKUP((ROW($H78)-ROW($H$1)+1)*10+COLUMN(O$1)-COLUMN($H$1)+1,Beräkningshjälp!$AB$2:$AI$1082,7,FALSE),IF(N79&gt;0,-VLOOKUP((ROW($H78)-ROW($H$1)+1)*10+COLUMN(O$1)-COLUMN($H$1)+1,Beräkningshjälp!$AB$2:$AI$1082,3,FALSE),0)),0),"")</f>
        <v/>
      </c>
      <c r="P79" s="2" t="str">
        <f>IF($E79&lt;&gt;"",IF(AND($E79&lt;&gt;"EJFANGST",$G79&lt;&gt;"INGA"),IF(ISNUMBER(VLOOKUP((ROW($H78)-ROW($H$1)+1)*10+COLUMN(P$1)-COLUMN($H$1)+1,Beräkningshjälp!$AB$2:$AI$1082,7,FALSE)),VLOOKUP((ROW($H78)-ROW($H$1)+1)*10+COLUMN(P$1)-COLUMN($H$1)+1,Beräkningshjälp!$AB$2:$AI$1082,7,FALSE),IF(O79&gt;0,-VLOOKUP((ROW($H78)-ROW($H$1)+1)*10+COLUMN(P$1)-COLUMN($H$1)+1,Beräkningshjälp!$AB$2:$AI$1082,3,FALSE),0)),0),"")</f>
        <v/>
      </c>
      <c r="Q79" s="2" t="str">
        <f>IF($E79&lt;&gt;"",IF(AND($E79&lt;&gt;"EJFANGST",$G79&lt;&gt;"INGA"),IF(ISNUMBER(VLOOKUP((ROW($H78)-ROW($H$1)+1)*10+COLUMN(Q$1)-COLUMN($H$1)+1,Beräkningshjälp!$AB$2:$AI$1082,7,FALSE)),VLOOKUP((ROW($H78)-ROW($H$1)+1)*10+COLUMN(Q$1)-COLUMN($H$1)+1,Beräkningshjälp!$AB$2:$AI$1082,7,FALSE),IF(P79&gt;0,-VLOOKUP((ROW($H78)-ROW($H$1)+1)*10+COLUMN(Q$1)-COLUMN($H$1)+1,Beräkningshjälp!$AB$2:$AI$1082,3,FALSE),0)),0),"")</f>
        <v/>
      </c>
      <c r="R79" s="116" t="str">
        <f>IF(COUNTIF(H79:Q79,"&gt;0")&gt;0,IF($E79&lt;&gt;"",IF(AND($E79&lt;&gt;"EJFANGST",$G79&lt;&gt;"INGA"),IF(ISNUMBER(VLOOKUP((ROW($H78)-ROW($H$1)+1)*10+COLUMN(H$1)-COLUMN($H$1)+1,Beräkningshjälp!$AB$2:$AI$1082,7,FALSE)),VLOOKUP((ROW($H78)-ROW($H$1)+1)*10+COLUMN(H$1)-COLUMN($H$1)+1,Beräkningshjälp!$AB$2:$AI$1082,3,FALSE),""),""),""),"")</f>
        <v/>
      </c>
    </row>
    <row r="80" spans="1:18" x14ac:dyDescent="0.25">
      <c r="A80" s="2" t="str">
        <f t="shared" si="1"/>
        <v/>
      </c>
      <c r="B80" s="2" t="str">
        <f>IF(D80&lt;&gt;"",'DATA TILL SLU'!$J$3,"")</f>
        <v/>
      </c>
      <c r="C80" s="2" t="str">
        <f>IF(D80&lt;&gt;"",'DATA TILL SLU'!$K$3,"")</f>
        <v/>
      </c>
      <c r="D80" s="2" t="str">
        <f>IF(OR(ROW(D79)-ROW(D$1)+1&lt;=MAX(Beräkningshjälp!$F$37:$F$54),ROW(D79)-ROW(D$1)+1&lt;=ROUND((MAX(Beräkningshjälp!AB$3:AB$1082)+4)/10,0)-1),D$2,"")</f>
        <v/>
      </c>
      <c r="E80" s="136" t="str">
        <f>IF(D80&lt;&gt;"",IF(COUNTIF(Beräkningshjälp!F$38:F$49,"&gt;0")&gt;=ROW(E79)-ROW(E$1)+1,VLOOKUP((VLOOKUP(ROW(E79)-ROW(E$1)+1,Beräkningshjälp!$F$37:$H$54,IF(ISNUMBER(VLOOKUP(ROW(E79)-ROW(E$1)+1,Beräkningshjälp!$F$37:$H$54,2,FALSE)),2,3),FALSE)),Beräkningshjälp!$M$2:$O$60,3,FALSE),VLOOKUP((ROW(E79)-ROW(E$1)+1)*10+1,Beräkningshjälp!$AB$2:$AF$1082,5,FALSE)),"")</f>
        <v/>
      </c>
      <c r="F80" s="2" t="str">
        <f>IF(D80&lt;&gt;"",Beräkningshjälp!$AH$1,"")</f>
        <v/>
      </c>
      <c r="G80" s="136" t="str">
        <f>IF(D80&lt;&gt;"",IF(COUNTIF(Beräkningshjälp!F$38:F$49,"&gt;0")&gt;=ROW(E79)-ROW(E$1)+1,"INGA",IF(COUNTIF(Beräkningshjälp!$G$38:$H$49,VLOOKUP(E80,Beräkningshjälp!$AF$2:$AG$1082,2,FALSE))&gt;0,"ENSTAK",IF(VLOOKUP(VLOOKUP(E80,Beräkningshjälp!O$2:U$60,7,FALSE),Artuppgifter!$I$11:$P$22,7,FALSE)=TRUE,"MINMAX","ALLA"))),"")</f>
        <v/>
      </c>
      <c r="H80" s="2" t="str">
        <f>IF($E80&lt;&gt;"",IF(AND($E80&lt;&gt;"EJFANGST",$G80&lt;&gt;"INGA"),IF(ISNUMBER(VLOOKUP((ROW($H79)-ROW($H$1)+1)*10+COLUMN(H$1)-COLUMN($H$1)+1,Beräkningshjälp!$AB$2:$AI$1082,7,FALSE)),VLOOKUP((ROW($H79)-ROW($H$1)+1)*10+COLUMN(H$1)-COLUMN($H$1)+1,Beräkningshjälp!$AB$2:$AI$1082,7,FALSE),IF(E80&gt;0,-VLOOKUP((ROW($H79)-ROW($H$1)+1)*10+COLUMN(H$1)-COLUMN($H$1)+1,Beräkningshjälp!$AB$2:$AI$1082,3,FALSE),0)),0),"")</f>
        <v/>
      </c>
      <c r="I80" s="2" t="str">
        <f>IF($E80&lt;&gt;"",IF(AND($E80&lt;&gt;"EJFANGST",$G80&lt;&gt;"INGA"),IF(ISNUMBER(VLOOKUP((ROW($H79)-ROW($H$1)+1)*10+COLUMN(I$1)-COLUMN($H$1)+1,Beräkningshjälp!$AB$2:$AI$1082,7,FALSE)),VLOOKUP((ROW($H79)-ROW($H$1)+1)*10+COLUMN(I$1)-COLUMN($H$1)+1,Beräkningshjälp!$AB$2:$AI$1082,7,FALSE),IF(H80&gt;0,-VLOOKUP((ROW($H79)-ROW($H$1)+1)*10+COLUMN(I$1)-COLUMN($H$1)+1,Beräkningshjälp!$AB$2:$AI$1082,3,FALSE),0)),0),"")</f>
        <v/>
      </c>
      <c r="J80" s="2" t="str">
        <f>IF($E80&lt;&gt;"",IF(AND($E80&lt;&gt;"EJFANGST",$G80&lt;&gt;"INGA"),IF(ISNUMBER(VLOOKUP((ROW($H79)-ROW($H$1)+1)*10+COLUMN(J$1)-COLUMN($H$1)+1,Beräkningshjälp!$AB$2:$AI$1082,7,FALSE)),VLOOKUP((ROW($H79)-ROW($H$1)+1)*10+COLUMN(J$1)-COLUMN($H$1)+1,Beräkningshjälp!$AB$2:$AI$1082,7,FALSE),IF(I80&gt;0,-VLOOKUP((ROW($H79)-ROW($H$1)+1)*10+COLUMN(J$1)-COLUMN($H$1)+1,Beräkningshjälp!$AB$2:$AI$1082,3,FALSE),0)),0),"")</f>
        <v/>
      </c>
      <c r="K80" s="2" t="str">
        <f>IF($E80&lt;&gt;"",IF(AND($E80&lt;&gt;"EJFANGST",$G80&lt;&gt;"INGA"),IF(ISNUMBER(VLOOKUP((ROW($H79)-ROW($H$1)+1)*10+COLUMN(K$1)-COLUMN($H$1)+1,Beräkningshjälp!$AB$2:$AI$1082,7,FALSE)),VLOOKUP((ROW($H79)-ROW($H$1)+1)*10+COLUMN(K$1)-COLUMN($H$1)+1,Beräkningshjälp!$AB$2:$AI$1082,7,FALSE),IF(J80&gt;0,-VLOOKUP((ROW($H79)-ROW($H$1)+1)*10+COLUMN(K$1)-COLUMN($H$1)+1,Beräkningshjälp!$AB$2:$AI$1082,3,FALSE),0)),0),"")</f>
        <v/>
      </c>
      <c r="L80" s="2" t="str">
        <f>IF($E80&lt;&gt;"",IF(AND($E80&lt;&gt;"EJFANGST",$G80&lt;&gt;"INGA"),IF(ISNUMBER(VLOOKUP((ROW($H79)-ROW($H$1)+1)*10+COLUMN(L$1)-COLUMN($H$1)+1,Beräkningshjälp!$AB$2:$AI$1082,7,FALSE)),VLOOKUP((ROW($H79)-ROW($H$1)+1)*10+COLUMN(L$1)-COLUMN($H$1)+1,Beräkningshjälp!$AB$2:$AI$1082,7,FALSE),IF(K80&gt;0,-VLOOKUP((ROW($H79)-ROW($H$1)+1)*10+COLUMN(L$1)-COLUMN($H$1)+1,Beräkningshjälp!$AB$2:$AI$1082,3,FALSE),0)),0),"")</f>
        <v/>
      </c>
      <c r="M80" s="2" t="str">
        <f>IF($E80&lt;&gt;"",IF(AND($E80&lt;&gt;"EJFANGST",$G80&lt;&gt;"INGA"),IF(ISNUMBER(VLOOKUP((ROW($H79)-ROW($H$1)+1)*10+COLUMN(M$1)-COLUMN($H$1)+1,Beräkningshjälp!$AB$2:$AI$1082,7,FALSE)),VLOOKUP((ROW($H79)-ROW($H$1)+1)*10+COLUMN(M$1)-COLUMN($H$1)+1,Beräkningshjälp!$AB$2:$AI$1082,7,FALSE),IF(L80&gt;0,-VLOOKUP((ROW($H79)-ROW($H$1)+1)*10+COLUMN(M$1)-COLUMN($H$1)+1,Beräkningshjälp!$AB$2:$AI$1082,3,FALSE),0)),0),"")</f>
        <v/>
      </c>
      <c r="N80" s="2" t="str">
        <f>IF($E80&lt;&gt;"",IF(AND($E80&lt;&gt;"EJFANGST",$G80&lt;&gt;"INGA"),IF(ISNUMBER(VLOOKUP((ROW($H79)-ROW($H$1)+1)*10+COLUMN(N$1)-COLUMN($H$1)+1,Beräkningshjälp!$AB$2:$AI$1082,7,FALSE)),VLOOKUP((ROW($H79)-ROW($H$1)+1)*10+COLUMN(N$1)-COLUMN($H$1)+1,Beräkningshjälp!$AB$2:$AI$1082,7,FALSE),IF(M80&gt;0,-VLOOKUP((ROW($H79)-ROW($H$1)+1)*10+COLUMN(N$1)-COLUMN($H$1)+1,Beräkningshjälp!$AB$2:$AI$1082,3,FALSE),0)),0),"")</f>
        <v/>
      </c>
      <c r="O80" s="2" t="str">
        <f>IF($E80&lt;&gt;"",IF(AND($E80&lt;&gt;"EJFANGST",$G80&lt;&gt;"INGA"),IF(ISNUMBER(VLOOKUP((ROW($H79)-ROW($H$1)+1)*10+COLUMN(O$1)-COLUMN($H$1)+1,Beräkningshjälp!$AB$2:$AI$1082,7,FALSE)),VLOOKUP((ROW($H79)-ROW($H$1)+1)*10+COLUMN(O$1)-COLUMN($H$1)+1,Beräkningshjälp!$AB$2:$AI$1082,7,FALSE),IF(N80&gt;0,-VLOOKUP((ROW($H79)-ROW($H$1)+1)*10+COLUMN(O$1)-COLUMN($H$1)+1,Beräkningshjälp!$AB$2:$AI$1082,3,FALSE),0)),0),"")</f>
        <v/>
      </c>
      <c r="P80" s="2" t="str">
        <f>IF($E80&lt;&gt;"",IF(AND($E80&lt;&gt;"EJFANGST",$G80&lt;&gt;"INGA"),IF(ISNUMBER(VLOOKUP((ROW($H79)-ROW($H$1)+1)*10+COLUMN(P$1)-COLUMN($H$1)+1,Beräkningshjälp!$AB$2:$AI$1082,7,FALSE)),VLOOKUP((ROW($H79)-ROW($H$1)+1)*10+COLUMN(P$1)-COLUMN($H$1)+1,Beräkningshjälp!$AB$2:$AI$1082,7,FALSE),IF(O80&gt;0,-VLOOKUP((ROW($H79)-ROW($H$1)+1)*10+COLUMN(P$1)-COLUMN($H$1)+1,Beräkningshjälp!$AB$2:$AI$1082,3,FALSE),0)),0),"")</f>
        <v/>
      </c>
      <c r="Q80" s="2" t="str">
        <f>IF($E80&lt;&gt;"",IF(AND($E80&lt;&gt;"EJFANGST",$G80&lt;&gt;"INGA"),IF(ISNUMBER(VLOOKUP((ROW($H79)-ROW($H$1)+1)*10+COLUMN(Q$1)-COLUMN($H$1)+1,Beräkningshjälp!$AB$2:$AI$1082,7,FALSE)),VLOOKUP((ROW($H79)-ROW($H$1)+1)*10+COLUMN(Q$1)-COLUMN($H$1)+1,Beräkningshjälp!$AB$2:$AI$1082,7,FALSE),IF(P80&gt;0,-VLOOKUP((ROW($H79)-ROW($H$1)+1)*10+COLUMN(Q$1)-COLUMN($H$1)+1,Beräkningshjälp!$AB$2:$AI$1082,3,FALSE),0)),0),"")</f>
        <v/>
      </c>
      <c r="R80" s="116" t="str">
        <f>IF(COUNTIF(H80:Q80,"&gt;0")&gt;0,IF($E80&lt;&gt;"",IF(AND($E80&lt;&gt;"EJFANGST",$G80&lt;&gt;"INGA"),IF(ISNUMBER(VLOOKUP((ROW($H79)-ROW($H$1)+1)*10+COLUMN(H$1)-COLUMN($H$1)+1,Beräkningshjälp!$AB$2:$AI$1082,7,FALSE)),VLOOKUP((ROW($H79)-ROW($H$1)+1)*10+COLUMN(H$1)-COLUMN($H$1)+1,Beräkningshjälp!$AB$2:$AI$1082,3,FALSE),""),""),""),"")</f>
        <v/>
      </c>
    </row>
    <row r="81" spans="1:18" x14ac:dyDescent="0.25">
      <c r="A81" s="2" t="str">
        <f t="shared" si="1"/>
        <v/>
      </c>
      <c r="B81" s="2" t="str">
        <f>IF(D81&lt;&gt;"",'DATA TILL SLU'!$J$3,"")</f>
        <v/>
      </c>
      <c r="C81" s="2" t="str">
        <f>IF(D81&lt;&gt;"",'DATA TILL SLU'!$K$3,"")</f>
        <v/>
      </c>
      <c r="D81" s="2" t="str">
        <f>IF(OR(ROW(D80)-ROW(D$1)+1&lt;=MAX(Beräkningshjälp!$F$37:$F$54),ROW(D80)-ROW(D$1)+1&lt;=ROUND((MAX(Beräkningshjälp!AB$3:AB$1082)+4)/10,0)-1),D$2,"")</f>
        <v/>
      </c>
      <c r="E81" s="136" t="str">
        <f>IF(D81&lt;&gt;"",IF(COUNTIF(Beräkningshjälp!F$38:F$49,"&gt;0")&gt;=ROW(E80)-ROW(E$1)+1,VLOOKUP((VLOOKUP(ROW(E80)-ROW(E$1)+1,Beräkningshjälp!$F$37:$H$54,IF(ISNUMBER(VLOOKUP(ROW(E80)-ROW(E$1)+1,Beräkningshjälp!$F$37:$H$54,2,FALSE)),2,3),FALSE)),Beräkningshjälp!$M$2:$O$60,3,FALSE),VLOOKUP((ROW(E80)-ROW(E$1)+1)*10+1,Beräkningshjälp!$AB$2:$AF$1082,5,FALSE)),"")</f>
        <v/>
      </c>
      <c r="F81" s="2" t="str">
        <f>IF(D81&lt;&gt;"",Beräkningshjälp!$AH$1,"")</f>
        <v/>
      </c>
      <c r="G81" s="136" t="str">
        <f>IF(D81&lt;&gt;"",IF(COUNTIF(Beräkningshjälp!F$38:F$49,"&gt;0")&gt;=ROW(E80)-ROW(E$1)+1,"INGA",IF(COUNTIF(Beräkningshjälp!$G$38:$H$49,VLOOKUP(E81,Beräkningshjälp!$AF$2:$AG$1082,2,FALSE))&gt;0,"ENSTAK",IF(VLOOKUP(VLOOKUP(E81,Beräkningshjälp!O$2:U$60,7,FALSE),Artuppgifter!$I$11:$P$22,7,FALSE)=TRUE,"MINMAX","ALLA"))),"")</f>
        <v/>
      </c>
      <c r="H81" s="2" t="str">
        <f>IF($E81&lt;&gt;"",IF(AND($E81&lt;&gt;"EJFANGST",$G81&lt;&gt;"INGA"),IF(ISNUMBER(VLOOKUP((ROW($H80)-ROW($H$1)+1)*10+COLUMN(H$1)-COLUMN($H$1)+1,Beräkningshjälp!$AB$2:$AI$1082,7,FALSE)),VLOOKUP((ROW($H80)-ROW($H$1)+1)*10+COLUMN(H$1)-COLUMN($H$1)+1,Beräkningshjälp!$AB$2:$AI$1082,7,FALSE),IF(E81&gt;0,-VLOOKUP((ROW($H80)-ROW($H$1)+1)*10+COLUMN(H$1)-COLUMN($H$1)+1,Beräkningshjälp!$AB$2:$AI$1082,3,FALSE),0)),0),"")</f>
        <v/>
      </c>
      <c r="I81" s="2" t="str">
        <f>IF($E81&lt;&gt;"",IF(AND($E81&lt;&gt;"EJFANGST",$G81&lt;&gt;"INGA"),IF(ISNUMBER(VLOOKUP((ROW($H80)-ROW($H$1)+1)*10+COLUMN(I$1)-COLUMN($H$1)+1,Beräkningshjälp!$AB$2:$AI$1082,7,FALSE)),VLOOKUP((ROW($H80)-ROW($H$1)+1)*10+COLUMN(I$1)-COLUMN($H$1)+1,Beräkningshjälp!$AB$2:$AI$1082,7,FALSE),IF(H81&gt;0,-VLOOKUP((ROW($H80)-ROW($H$1)+1)*10+COLUMN(I$1)-COLUMN($H$1)+1,Beräkningshjälp!$AB$2:$AI$1082,3,FALSE),0)),0),"")</f>
        <v/>
      </c>
      <c r="J81" s="2" t="str">
        <f>IF($E81&lt;&gt;"",IF(AND($E81&lt;&gt;"EJFANGST",$G81&lt;&gt;"INGA"),IF(ISNUMBER(VLOOKUP((ROW($H80)-ROW($H$1)+1)*10+COLUMN(J$1)-COLUMN($H$1)+1,Beräkningshjälp!$AB$2:$AI$1082,7,FALSE)),VLOOKUP((ROW($H80)-ROW($H$1)+1)*10+COLUMN(J$1)-COLUMN($H$1)+1,Beräkningshjälp!$AB$2:$AI$1082,7,FALSE),IF(I81&gt;0,-VLOOKUP((ROW($H80)-ROW($H$1)+1)*10+COLUMN(J$1)-COLUMN($H$1)+1,Beräkningshjälp!$AB$2:$AI$1082,3,FALSE),0)),0),"")</f>
        <v/>
      </c>
      <c r="K81" s="2" t="str">
        <f>IF($E81&lt;&gt;"",IF(AND($E81&lt;&gt;"EJFANGST",$G81&lt;&gt;"INGA"),IF(ISNUMBER(VLOOKUP((ROW($H80)-ROW($H$1)+1)*10+COLUMN(K$1)-COLUMN($H$1)+1,Beräkningshjälp!$AB$2:$AI$1082,7,FALSE)),VLOOKUP((ROW($H80)-ROW($H$1)+1)*10+COLUMN(K$1)-COLUMN($H$1)+1,Beräkningshjälp!$AB$2:$AI$1082,7,FALSE),IF(J81&gt;0,-VLOOKUP((ROW($H80)-ROW($H$1)+1)*10+COLUMN(K$1)-COLUMN($H$1)+1,Beräkningshjälp!$AB$2:$AI$1082,3,FALSE),0)),0),"")</f>
        <v/>
      </c>
      <c r="L81" s="2" t="str">
        <f>IF($E81&lt;&gt;"",IF(AND($E81&lt;&gt;"EJFANGST",$G81&lt;&gt;"INGA"),IF(ISNUMBER(VLOOKUP((ROW($H80)-ROW($H$1)+1)*10+COLUMN(L$1)-COLUMN($H$1)+1,Beräkningshjälp!$AB$2:$AI$1082,7,FALSE)),VLOOKUP((ROW($H80)-ROW($H$1)+1)*10+COLUMN(L$1)-COLUMN($H$1)+1,Beräkningshjälp!$AB$2:$AI$1082,7,FALSE),IF(K81&gt;0,-VLOOKUP((ROW($H80)-ROW($H$1)+1)*10+COLUMN(L$1)-COLUMN($H$1)+1,Beräkningshjälp!$AB$2:$AI$1082,3,FALSE),0)),0),"")</f>
        <v/>
      </c>
      <c r="M81" s="2" t="str">
        <f>IF($E81&lt;&gt;"",IF(AND($E81&lt;&gt;"EJFANGST",$G81&lt;&gt;"INGA"),IF(ISNUMBER(VLOOKUP((ROW($H80)-ROW($H$1)+1)*10+COLUMN(M$1)-COLUMN($H$1)+1,Beräkningshjälp!$AB$2:$AI$1082,7,FALSE)),VLOOKUP((ROW($H80)-ROW($H$1)+1)*10+COLUMN(M$1)-COLUMN($H$1)+1,Beräkningshjälp!$AB$2:$AI$1082,7,FALSE),IF(L81&gt;0,-VLOOKUP((ROW($H80)-ROW($H$1)+1)*10+COLUMN(M$1)-COLUMN($H$1)+1,Beräkningshjälp!$AB$2:$AI$1082,3,FALSE),0)),0),"")</f>
        <v/>
      </c>
      <c r="N81" s="2" t="str">
        <f>IF($E81&lt;&gt;"",IF(AND($E81&lt;&gt;"EJFANGST",$G81&lt;&gt;"INGA"),IF(ISNUMBER(VLOOKUP((ROW($H80)-ROW($H$1)+1)*10+COLUMN(N$1)-COLUMN($H$1)+1,Beräkningshjälp!$AB$2:$AI$1082,7,FALSE)),VLOOKUP((ROW($H80)-ROW($H$1)+1)*10+COLUMN(N$1)-COLUMN($H$1)+1,Beräkningshjälp!$AB$2:$AI$1082,7,FALSE),IF(M81&gt;0,-VLOOKUP((ROW($H80)-ROW($H$1)+1)*10+COLUMN(N$1)-COLUMN($H$1)+1,Beräkningshjälp!$AB$2:$AI$1082,3,FALSE),0)),0),"")</f>
        <v/>
      </c>
      <c r="O81" s="2" t="str">
        <f>IF($E81&lt;&gt;"",IF(AND($E81&lt;&gt;"EJFANGST",$G81&lt;&gt;"INGA"),IF(ISNUMBER(VLOOKUP((ROW($H80)-ROW($H$1)+1)*10+COLUMN(O$1)-COLUMN($H$1)+1,Beräkningshjälp!$AB$2:$AI$1082,7,FALSE)),VLOOKUP((ROW($H80)-ROW($H$1)+1)*10+COLUMN(O$1)-COLUMN($H$1)+1,Beräkningshjälp!$AB$2:$AI$1082,7,FALSE),IF(N81&gt;0,-VLOOKUP((ROW($H80)-ROW($H$1)+1)*10+COLUMN(O$1)-COLUMN($H$1)+1,Beräkningshjälp!$AB$2:$AI$1082,3,FALSE),0)),0),"")</f>
        <v/>
      </c>
      <c r="P81" s="2" t="str">
        <f>IF($E81&lt;&gt;"",IF(AND($E81&lt;&gt;"EJFANGST",$G81&lt;&gt;"INGA"),IF(ISNUMBER(VLOOKUP((ROW($H80)-ROW($H$1)+1)*10+COLUMN(P$1)-COLUMN($H$1)+1,Beräkningshjälp!$AB$2:$AI$1082,7,FALSE)),VLOOKUP((ROW($H80)-ROW($H$1)+1)*10+COLUMN(P$1)-COLUMN($H$1)+1,Beräkningshjälp!$AB$2:$AI$1082,7,FALSE),IF(O81&gt;0,-VLOOKUP((ROW($H80)-ROW($H$1)+1)*10+COLUMN(P$1)-COLUMN($H$1)+1,Beräkningshjälp!$AB$2:$AI$1082,3,FALSE),0)),0),"")</f>
        <v/>
      </c>
      <c r="Q81" s="2" t="str">
        <f>IF($E81&lt;&gt;"",IF(AND($E81&lt;&gt;"EJFANGST",$G81&lt;&gt;"INGA"),IF(ISNUMBER(VLOOKUP((ROW($H80)-ROW($H$1)+1)*10+COLUMN(Q$1)-COLUMN($H$1)+1,Beräkningshjälp!$AB$2:$AI$1082,7,FALSE)),VLOOKUP((ROW($H80)-ROW($H$1)+1)*10+COLUMN(Q$1)-COLUMN($H$1)+1,Beräkningshjälp!$AB$2:$AI$1082,7,FALSE),IF(P81&gt;0,-VLOOKUP((ROW($H80)-ROW($H$1)+1)*10+COLUMN(Q$1)-COLUMN($H$1)+1,Beräkningshjälp!$AB$2:$AI$1082,3,FALSE),0)),0),"")</f>
        <v/>
      </c>
      <c r="R81" s="116" t="str">
        <f>IF(COUNTIF(H81:Q81,"&gt;0")&gt;0,IF($E81&lt;&gt;"",IF(AND($E81&lt;&gt;"EJFANGST",$G81&lt;&gt;"INGA"),IF(ISNUMBER(VLOOKUP((ROW($H80)-ROW($H$1)+1)*10+COLUMN(H$1)-COLUMN($H$1)+1,Beräkningshjälp!$AB$2:$AI$1082,7,FALSE)),VLOOKUP((ROW($H80)-ROW($H$1)+1)*10+COLUMN(H$1)-COLUMN($H$1)+1,Beräkningshjälp!$AB$2:$AI$1082,3,FALSE),""),""),""),"")</f>
        <v/>
      </c>
    </row>
    <row r="82" spans="1:18" x14ac:dyDescent="0.25">
      <c r="A82" s="2" t="str">
        <f t="shared" si="1"/>
        <v/>
      </c>
      <c r="B82" s="2" t="str">
        <f>IF(D82&lt;&gt;"",'DATA TILL SLU'!$J$3,"")</f>
        <v/>
      </c>
      <c r="C82" s="2" t="str">
        <f>IF(D82&lt;&gt;"",'DATA TILL SLU'!$K$3,"")</f>
        <v/>
      </c>
      <c r="D82" s="2" t="str">
        <f>IF(OR(ROW(D81)-ROW(D$1)+1&lt;=MAX(Beräkningshjälp!$F$37:$F$54),ROW(D81)-ROW(D$1)+1&lt;=ROUND((MAX(Beräkningshjälp!AB$3:AB$1082)+4)/10,0)-1),D$2,"")</f>
        <v/>
      </c>
      <c r="E82" s="136" t="str">
        <f>IF(D82&lt;&gt;"",IF(COUNTIF(Beräkningshjälp!F$38:F$49,"&gt;0")&gt;=ROW(E81)-ROW(E$1)+1,VLOOKUP((VLOOKUP(ROW(E81)-ROW(E$1)+1,Beräkningshjälp!$F$37:$H$54,IF(ISNUMBER(VLOOKUP(ROW(E81)-ROW(E$1)+1,Beräkningshjälp!$F$37:$H$54,2,FALSE)),2,3),FALSE)),Beräkningshjälp!$M$2:$O$60,3,FALSE),VLOOKUP((ROW(E81)-ROW(E$1)+1)*10+1,Beräkningshjälp!$AB$2:$AF$1082,5,FALSE)),"")</f>
        <v/>
      </c>
      <c r="F82" s="2" t="str">
        <f>IF(D82&lt;&gt;"",Beräkningshjälp!$AH$1,"")</f>
        <v/>
      </c>
      <c r="G82" s="136" t="str">
        <f>IF(D82&lt;&gt;"",IF(COUNTIF(Beräkningshjälp!F$38:F$49,"&gt;0")&gt;=ROW(E81)-ROW(E$1)+1,"INGA",IF(COUNTIF(Beräkningshjälp!$G$38:$H$49,VLOOKUP(E82,Beräkningshjälp!$AF$2:$AG$1082,2,FALSE))&gt;0,"ENSTAK",IF(VLOOKUP(VLOOKUP(E82,Beräkningshjälp!O$2:U$60,7,FALSE),Artuppgifter!$I$11:$P$22,7,FALSE)=TRUE,"MINMAX","ALLA"))),"")</f>
        <v/>
      </c>
      <c r="H82" s="2" t="str">
        <f>IF($E82&lt;&gt;"",IF(AND($E82&lt;&gt;"EJFANGST",$G82&lt;&gt;"INGA"),IF(ISNUMBER(VLOOKUP((ROW($H81)-ROW($H$1)+1)*10+COLUMN(H$1)-COLUMN($H$1)+1,Beräkningshjälp!$AB$2:$AI$1082,7,FALSE)),VLOOKUP((ROW($H81)-ROW($H$1)+1)*10+COLUMN(H$1)-COLUMN($H$1)+1,Beräkningshjälp!$AB$2:$AI$1082,7,FALSE),IF(E82&gt;0,-VLOOKUP((ROW($H81)-ROW($H$1)+1)*10+COLUMN(H$1)-COLUMN($H$1)+1,Beräkningshjälp!$AB$2:$AI$1082,3,FALSE),0)),0),"")</f>
        <v/>
      </c>
      <c r="I82" s="2" t="str">
        <f>IF($E82&lt;&gt;"",IF(AND($E82&lt;&gt;"EJFANGST",$G82&lt;&gt;"INGA"),IF(ISNUMBER(VLOOKUP((ROW($H81)-ROW($H$1)+1)*10+COLUMN(I$1)-COLUMN($H$1)+1,Beräkningshjälp!$AB$2:$AI$1082,7,FALSE)),VLOOKUP((ROW($H81)-ROW($H$1)+1)*10+COLUMN(I$1)-COLUMN($H$1)+1,Beräkningshjälp!$AB$2:$AI$1082,7,FALSE),IF(H82&gt;0,-VLOOKUP((ROW($H81)-ROW($H$1)+1)*10+COLUMN(I$1)-COLUMN($H$1)+1,Beräkningshjälp!$AB$2:$AI$1082,3,FALSE),0)),0),"")</f>
        <v/>
      </c>
      <c r="J82" s="2" t="str">
        <f>IF($E82&lt;&gt;"",IF(AND($E82&lt;&gt;"EJFANGST",$G82&lt;&gt;"INGA"),IF(ISNUMBER(VLOOKUP((ROW($H81)-ROW($H$1)+1)*10+COLUMN(J$1)-COLUMN($H$1)+1,Beräkningshjälp!$AB$2:$AI$1082,7,FALSE)),VLOOKUP((ROW($H81)-ROW($H$1)+1)*10+COLUMN(J$1)-COLUMN($H$1)+1,Beräkningshjälp!$AB$2:$AI$1082,7,FALSE),IF(I82&gt;0,-VLOOKUP((ROW($H81)-ROW($H$1)+1)*10+COLUMN(J$1)-COLUMN($H$1)+1,Beräkningshjälp!$AB$2:$AI$1082,3,FALSE),0)),0),"")</f>
        <v/>
      </c>
      <c r="K82" s="2" t="str">
        <f>IF($E82&lt;&gt;"",IF(AND($E82&lt;&gt;"EJFANGST",$G82&lt;&gt;"INGA"),IF(ISNUMBER(VLOOKUP((ROW($H81)-ROW($H$1)+1)*10+COLUMN(K$1)-COLUMN($H$1)+1,Beräkningshjälp!$AB$2:$AI$1082,7,FALSE)),VLOOKUP((ROW($H81)-ROW($H$1)+1)*10+COLUMN(K$1)-COLUMN($H$1)+1,Beräkningshjälp!$AB$2:$AI$1082,7,FALSE),IF(J82&gt;0,-VLOOKUP((ROW($H81)-ROW($H$1)+1)*10+COLUMN(K$1)-COLUMN($H$1)+1,Beräkningshjälp!$AB$2:$AI$1082,3,FALSE),0)),0),"")</f>
        <v/>
      </c>
      <c r="L82" s="2" t="str">
        <f>IF($E82&lt;&gt;"",IF(AND($E82&lt;&gt;"EJFANGST",$G82&lt;&gt;"INGA"),IF(ISNUMBER(VLOOKUP((ROW($H81)-ROW($H$1)+1)*10+COLUMN(L$1)-COLUMN($H$1)+1,Beräkningshjälp!$AB$2:$AI$1082,7,FALSE)),VLOOKUP((ROW($H81)-ROW($H$1)+1)*10+COLUMN(L$1)-COLUMN($H$1)+1,Beräkningshjälp!$AB$2:$AI$1082,7,FALSE),IF(K82&gt;0,-VLOOKUP((ROW($H81)-ROW($H$1)+1)*10+COLUMN(L$1)-COLUMN($H$1)+1,Beräkningshjälp!$AB$2:$AI$1082,3,FALSE),0)),0),"")</f>
        <v/>
      </c>
      <c r="M82" s="2" t="str">
        <f>IF($E82&lt;&gt;"",IF(AND($E82&lt;&gt;"EJFANGST",$G82&lt;&gt;"INGA"),IF(ISNUMBER(VLOOKUP((ROW($H81)-ROW($H$1)+1)*10+COLUMN(M$1)-COLUMN($H$1)+1,Beräkningshjälp!$AB$2:$AI$1082,7,FALSE)),VLOOKUP((ROW($H81)-ROW($H$1)+1)*10+COLUMN(M$1)-COLUMN($H$1)+1,Beräkningshjälp!$AB$2:$AI$1082,7,FALSE),IF(L82&gt;0,-VLOOKUP((ROW($H81)-ROW($H$1)+1)*10+COLUMN(M$1)-COLUMN($H$1)+1,Beräkningshjälp!$AB$2:$AI$1082,3,FALSE),0)),0),"")</f>
        <v/>
      </c>
      <c r="N82" s="2" t="str">
        <f>IF($E82&lt;&gt;"",IF(AND($E82&lt;&gt;"EJFANGST",$G82&lt;&gt;"INGA"),IF(ISNUMBER(VLOOKUP((ROW($H81)-ROW($H$1)+1)*10+COLUMN(N$1)-COLUMN($H$1)+1,Beräkningshjälp!$AB$2:$AI$1082,7,FALSE)),VLOOKUP((ROW($H81)-ROW($H$1)+1)*10+COLUMN(N$1)-COLUMN($H$1)+1,Beräkningshjälp!$AB$2:$AI$1082,7,FALSE),IF(M82&gt;0,-VLOOKUP((ROW($H81)-ROW($H$1)+1)*10+COLUMN(N$1)-COLUMN($H$1)+1,Beräkningshjälp!$AB$2:$AI$1082,3,FALSE),0)),0),"")</f>
        <v/>
      </c>
      <c r="O82" s="2" t="str">
        <f>IF($E82&lt;&gt;"",IF(AND($E82&lt;&gt;"EJFANGST",$G82&lt;&gt;"INGA"),IF(ISNUMBER(VLOOKUP((ROW($H81)-ROW($H$1)+1)*10+COLUMN(O$1)-COLUMN($H$1)+1,Beräkningshjälp!$AB$2:$AI$1082,7,FALSE)),VLOOKUP((ROW($H81)-ROW($H$1)+1)*10+COLUMN(O$1)-COLUMN($H$1)+1,Beräkningshjälp!$AB$2:$AI$1082,7,FALSE),IF(N82&gt;0,-VLOOKUP((ROW($H81)-ROW($H$1)+1)*10+COLUMN(O$1)-COLUMN($H$1)+1,Beräkningshjälp!$AB$2:$AI$1082,3,FALSE),0)),0),"")</f>
        <v/>
      </c>
      <c r="P82" s="2" t="str">
        <f>IF($E82&lt;&gt;"",IF(AND($E82&lt;&gt;"EJFANGST",$G82&lt;&gt;"INGA"),IF(ISNUMBER(VLOOKUP((ROW($H81)-ROW($H$1)+1)*10+COLUMN(P$1)-COLUMN($H$1)+1,Beräkningshjälp!$AB$2:$AI$1082,7,FALSE)),VLOOKUP((ROW($H81)-ROW($H$1)+1)*10+COLUMN(P$1)-COLUMN($H$1)+1,Beräkningshjälp!$AB$2:$AI$1082,7,FALSE),IF(O82&gt;0,-VLOOKUP((ROW($H81)-ROW($H$1)+1)*10+COLUMN(P$1)-COLUMN($H$1)+1,Beräkningshjälp!$AB$2:$AI$1082,3,FALSE),0)),0),"")</f>
        <v/>
      </c>
      <c r="Q82" s="2" t="str">
        <f>IF($E82&lt;&gt;"",IF(AND($E82&lt;&gt;"EJFANGST",$G82&lt;&gt;"INGA"),IF(ISNUMBER(VLOOKUP((ROW($H81)-ROW($H$1)+1)*10+COLUMN(Q$1)-COLUMN($H$1)+1,Beräkningshjälp!$AB$2:$AI$1082,7,FALSE)),VLOOKUP((ROW($H81)-ROW($H$1)+1)*10+COLUMN(Q$1)-COLUMN($H$1)+1,Beräkningshjälp!$AB$2:$AI$1082,7,FALSE),IF(P82&gt;0,-VLOOKUP((ROW($H81)-ROW($H$1)+1)*10+COLUMN(Q$1)-COLUMN($H$1)+1,Beräkningshjälp!$AB$2:$AI$1082,3,FALSE),0)),0),"")</f>
        <v/>
      </c>
      <c r="R82" s="116" t="str">
        <f>IF(COUNTIF(H82:Q82,"&gt;0")&gt;0,IF($E82&lt;&gt;"",IF(AND($E82&lt;&gt;"EJFANGST",$G82&lt;&gt;"INGA"),IF(ISNUMBER(VLOOKUP((ROW($H81)-ROW($H$1)+1)*10+COLUMN(H$1)-COLUMN($H$1)+1,Beräkningshjälp!$AB$2:$AI$1082,7,FALSE)),VLOOKUP((ROW($H81)-ROW($H$1)+1)*10+COLUMN(H$1)-COLUMN($H$1)+1,Beräkningshjälp!$AB$2:$AI$1082,3,FALSE),""),""),""),"")</f>
        <v/>
      </c>
    </row>
    <row r="83" spans="1:18" x14ac:dyDescent="0.25">
      <c r="A83" s="2" t="str">
        <f t="shared" si="1"/>
        <v/>
      </c>
      <c r="B83" s="2" t="str">
        <f>IF(D83&lt;&gt;"",'DATA TILL SLU'!$J$3,"")</f>
        <v/>
      </c>
      <c r="C83" s="2" t="str">
        <f>IF(D83&lt;&gt;"",'DATA TILL SLU'!$K$3,"")</f>
        <v/>
      </c>
      <c r="D83" s="2" t="str">
        <f>IF(OR(ROW(D82)-ROW(D$1)+1&lt;=MAX(Beräkningshjälp!$F$37:$F$54),ROW(D82)-ROW(D$1)+1&lt;=ROUND((MAX(Beräkningshjälp!AB$3:AB$1082)+4)/10,0)-1),D$2,"")</f>
        <v/>
      </c>
      <c r="E83" s="136" t="str">
        <f>IF(D83&lt;&gt;"",IF(COUNTIF(Beräkningshjälp!F$38:F$49,"&gt;0")&gt;=ROW(E82)-ROW(E$1)+1,VLOOKUP((VLOOKUP(ROW(E82)-ROW(E$1)+1,Beräkningshjälp!$F$37:$H$54,IF(ISNUMBER(VLOOKUP(ROW(E82)-ROW(E$1)+1,Beräkningshjälp!$F$37:$H$54,2,FALSE)),2,3),FALSE)),Beräkningshjälp!$M$2:$O$60,3,FALSE),VLOOKUP((ROW(E82)-ROW(E$1)+1)*10+1,Beräkningshjälp!$AB$2:$AF$1082,5,FALSE)),"")</f>
        <v/>
      </c>
      <c r="F83" s="2" t="str">
        <f>IF(D83&lt;&gt;"",Beräkningshjälp!$AH$1,"")</f>
        <v/>
      </c>
      <c r="G83" s="136" t="str">
        <f>IF(D83&lt;&gt;"",IF(COUNTIF(Beräkningshjälp!F$38:F$49,"&gt;0")&gt;=ROW(E82)-ROW(E$1)+1,"INGA",IF(COUNTIF(Beräkningshjälp!$G$38:$H$49,VLOOKUP(E83,Beräkningshjälp!$AF$2:$AG$1082,2,FALSE))&gt;0,"ENSTAK",IF(VLOOKUP(VLOOKUP(E83,Beräkningshjälp!O$2:U$60,7,FALSE),Artuppgifter!$I$11:$P$22,7,FALSE)=TRUE,"MINMAX","ALLA"))),"")</f>
        <v/>
      </c>
      <c r="H83" s="2" t="str">
        <f>IF($E83&lt;&gt;"",IF(AND($E83&lt;&gt;"EJFANGST",$G83&lt;&gt;"INGA"),IF(ISNUMBER(VLOOKUP((ROW($H82)-ROW($H$1)+1)*10+COLUMN(H$1)-COLUMN($H$1)+1,Beräkningshjälp!$AB$2:$AI$1082,7,FALSE)),VLOOKUP((ROW($H82)-ROW($H$1)+1)*10+COLUMN(H$1)-COLUMN($H$1)+1,Beräkningshjälp!$AB$2:$AI$1082,7,FALSE),IF(E83&gt;0,-VLOOKUP((ROW($H82)-ROW($H$1)+1)*10+COLUMN(H$1)-COLUMN($H$1)+1,Beräkningshjälp!$AB$2:$AI$1082,3,FALSE),0)),0),"")</f>
        <v/>
      </c>
      <c r="I83" s="2" t="str">
        <f>IF($E83&lt;&gt;"",IF(AND($E83&lt;&gt;"EJFANGST",$G83&lt;&gt;"INGA"),IF(ISNUMBER(VLOOKUP((ROW($H82)-ROW($H$1)+1)*10+COLUMN(I$1)-COLUMN($H$1)+1,Beräkningshjälp!$AB$2:$AI$1082,7,FALSE)),VLOOKUP((ROW($H82)-ROW($H$1)+1)*10+COLUMN(I$1)-COLUMN($H$1)+1,Beräkningshjälp!$AB$2:$AI$1082,7,FALSE),IF(H83&gt;0,-VLOOKUP((ROW($H82)-ROW($H$1)+1)*10+COLUMN(I$1)-COLUMN($H$1)+1,Beräkningshjälp!$AB$2:$AI$1082,3,FALSE),0)),0),"")</f>
        <v/>
      </c>
      <c r="J83" s="2" t="str">
        <f>IF($E83&lt;&gt;"",IF(AND($E83&lt;&gt;"EJFANGST",$G83&lt;&gt;"INGA"),IF(ISNUMBER(VLOOKUP((ROW($H82)-ROW($H$1)+1)*10+COLUMN(J$1)-COLUMN($H$1)+1,Beräkningshjälp!$AB$2:$AI$1082,7,FALSE)),VLOOKUP((ROW($H82)-ROW($H$1)+1)*10+COLUMN(J$1)-COLUMN($H$1)+1,Beräkningshjälp!$AB$2:$AI$1082,7,FALSE),IF(I83&gt;0,-VLOOKUP((ROW($H82)-ROW($H$1)+1)*10+COLUMN(J$1)-COLUMN($H$1)+1,Beräkningshjälp!$AB$2:$AI$1082,3,FALSE),0)),0),"")</f>
        <v/>
      </c>
      <c r="K83" s="2" t="str">
        <f>IF($E83&lt;&gt;"",IF(AND($E83&lt;&gt;"EJFANGST",$G83&lt;&gt;"INGA"),IF(ISNUMBER(VLOOKUP((ROW($H82)-ROW($H$1)+1)*10+COLUMN(K$1)-COLUMN($H$1)+1,Beräkningshjälp!$AB$2:$AI$1082,7,FALSE)),VLOOKUP((ROW($H82)-ROW($H$1)+1)*10+COLUMN(K$1)-COLUMN($H$1)+1,Beräkningshjälp!$AB$2:$AI$1082,7,FALSE),IF(J83&gt;0,-VLOOKUP((ROW($H82)-ROW($H$1)+1)*10+COLUMN(K$1)-COLUMN($H$1)+1,Beräkningshjälp!$AB$2:$AI$1082,3,FALSE),0)),0),"")</f>
        <v/>
      </c>
      <c r="L83" s="2" t="str">
        <f>IF($E83&lt;&gt;"",IF(AND($E83&lt;&gt;"EJFANGST",$G83&lt;&gt;"INGA"),IF(ISNUMBER(VLOOKUP((ROW($H82)-ROW($H$1)+1)*10+COLUMN(L$1)-COLUMN($H$1)+1,Beräkningshjälp!$AB$2:$AI$1082,7,FALSE)),VLOOKUP((ROW($H82)-ROW($H$1)+1)*10+COLUMN(L$1)-COLUMN($H$1)+1,Beräkningshjälp!$AB$2:$AI$1082,7,FALSE),IF(K83&gt;0,-VLOOKUP((ROW($H82)-ROW($H$1)+1)*10+COLUMN(L$1)-COLUMN($H$1)+1,Beräkningshjälp!$AB$2:$AI$1082,3,FALSE),0)),0),"")</f>
        <v/>
      </c>
      <c r="M83" s="2" t="str">
        <f>IF($E83&lt;&gt;"",IF(AND($E83&lt;&gt;"EJFANGST",$G83&lt;&gt;"INGA"),IF(ISNUMBER(VLOOKUP((ROW($H82)-ROW($H$1)+1)*10+COLUMN(M$1)-COLUMN($H$1)+1,Beräkningshjälp!$AB$2:$AI$1082,7,FALSE)),VLOOKUP((ROW($H82)-ROW($H$1)+1)*10+COLUMN(M$1)-COLUMN($H$1)+1,Beräkningshjälp!$AB$2:$AI$1082,7,FALSE),IF(L83&gt;0,-VLOOKUP((ROW($H82)-ROW($H$1)+1)*10+COLUMN(M$1)-COLUMN($H$1)+1,Beräkningshjälp!$AB$2:$AI$1082,3,FALSE),0)),0),"")</f>
        <v/>
      </c>
      <c r="N83" s="2" t="str">
        <f>IF($E83&lt;&gt;"",IF(AND($E83&lt;&gt;"EJFANGST",$G83&lt;&gt;"INGA"),IF(ISNUMBER(VLOOKUP((ROW($H82)-ROW($H$1)+1)*10+COLUMN(N$1)-COLUMN($H$1)+1,Beräkningshjälp!$AB$2:$AI$1082,7,FALSE)),VLOOKUP((ROW($H82)-ROW($H$1)+1)*10+COLUMN(N$1)-COLUMN($H$1)+1,Beräkningshjälp!$AB$2:$AI$1082,7,FALSE),IF(M83&gt;0,-VLOOKUP((ROW($H82)-ROW($H$1)+1)*10+COLUMN(N$1)-COLUMN($H$1)+1,Beräkningshjälp!$AB$2:$AI$1082,3,FALSE),0)),0),"")</f>
        <v/>
      </c>
      <c r="O83" s="2" t="str">
        <f>IF($E83&lt;&gt;"",IF(AND($E83&lt;&gt;"EJFANGST",$G83&lt;&gt;"INGA"),IF(ISNUMBER(VLOOKUP((ROW($H82)-ROW($H$1)+1)*10+COLUMN(O$1)-COLUMN($H$1)+1,Beräkningshjälp!$AB$2:$AI$1082,7,FALSE)),VLOOKUP((ROW($H82)-ROW($H$1)+1)*10+COLUMN(O$1)-COLUMN($H$1)+1,Beräkningshjälp!$AB$2:$AI$1082,7,FALSE),IF(N83&gt;0,-VLOOKUP((ROW($H82)-ROW($H$1)+1)*10+COLUMN(O$1)-COLUMN($H$1)+1,Beräkningshjälp!$AB$2:$AI$1082,3,FALSE),0)),0),"")</f>
        <v/>
      </c>
      <c r="P83" s="2" t="str">
        <f>IF($E83&lt;&gt;"",IF(AND($E83&lt;&gt;"EJFANGST",$G83&lt;&gt;"INGA"),IF(ISNUMBER(VLOOKUP((ROW($H82)-ROW($H$1)+1)*10+COLUMN(P$1)-COLUMN($H$1)+1,Beräkningshjälp!$AB$2:$AI$1082,7,FALSE)),VLOOKUP((ROW($H82)-ROW($H$1)+1)*10+COLUMN(P$1)-COLUMN($H$1)+1,Beräkningshjälp!$AB$2:$AI$1082,7,FALSE),IF(O83&gt;0,-VLOOKUP((ROW($H82)-ROW($H$1)+1)*10+COLUMN(P$1)-COLUMN($H$1)+1,Beräkningshjälp!$AB$2:$AI$1082,3,FALSE),0)),0),"")</f>
        <v/>
      </c>
      <c r="Q83" s="2" t="str">
        <f>IF($E83&lt;&gt;"",IF(AND($E83&lt;&gt;"EJFANGST",$G83&lt;&gt;"INGA"),IF(ISNUMBER(VLOOKUP((ROW($H82)-ROW($H$1)+1)*10+COLUMN(Q$1)-COLUMN($H$1)+1,Beräkningshjälp!$AB$2:$AI$1082,7,FALSE)),VLOOKUP((ROW($H82)-ROW($H$1)+1)*10+COLUMN(Q$1)-COLUMN($H$1)+1,Beräkningshjälp!$AB$2:$AI$1082,7,FALSE),IF(P83&gt;0,-VLOOKUP((ROW($H82)-ROW($H$1)+1)*10+COLUMN(Q$1)-COLUMN($H$1)+1,Beräkningshjälp!$AB$2:$AI$1082,3,FALSE),0)),0),"")</f>
        <v/>
      </c>
      <c r="R83" s="116" t="str">
        <f>IF(COUNTIF(H83:Q83,"&gt;0")&gt;0,IF($E83&lt;&gt;"",IF(AND($E83&lt;&gt;"EJFANGST",$G83&lt;&gt;"INGA"),IF(ISNUMBER(VLOOKUP((ROW($H82)-ROW($H$1)+1)*10+COLUMN(H$1)-COLUMN($H$1)+1,Beräkningshjälp!$AB$2:$AI$1082,7,FALSE)),VLOOKUP((ROW($H82)-ROW($H$1)+1)*10+COLUMN(H$1)-COLUMN($H$1)+1,Beräkningshjälp!$AB$2:$AI$1082,3,FALSE),""),""),""),"")</f>
        <v/>
      </c>
    </row>
    <row r="84" spans="1:18" x14ac:dyDescent="0.25">
      <c r="A84" s="2" t="str">
        <f t="shared" si="1"/>
        <v/>
      </c>
      <c r="B84" s="2" t="str">
        <f>IF(D84&lt;&gt;"",'DATA TILL SLU'!$J$3,"")</f>
        <v/>
      </c>
      <c r="C84" s="2" t="str">
        <f>IF(D84&lt;&gt;"",'DATA TILL SLU'!$K$3,"")</f>
        <v/>
      </c>
      <c r="D84" s="2" t="str">
        <f>IF(OR(ROW(D83)-ROW(D$1)+1&lt;=MAX(Beräkningshjälp!$F$37:$F$54),ROW(D83)-ROW(D$1)+1&lt;=ROUND((MAX(Beräkningshjälp!AB$3:AB$1082)+4)/10,0)-1),D$2,"")</f>
        <v/>
      </c>
      <c r="E84" s="136" t="str">
        <f>IF(D84&lt;&gt;"",IF(COUNTIF(Beräkningshjälp!F$38:F$49,"&gt;0")&gt;=ROW(E83)-ROW(E$1)+1,VLOOKUP((VLOOKUP(ROW(E83)-ROW(E$1)+1,Beräkningshjälp!$F$37:$H$54,IF(ISNUMBER(VLOOKUP(ROW(E83)-ROW(E$1)+1,Beräkningshjälp!$F$37:$H$54,2,FALSE)),2,3),FALSE)),Beräkningshjälp!$M$2:$O$60,3,FALSE),VLOOKUP((ROW(E83)-ROW(E$1)+1)*10+1,Beräkningshjälp!$AB$2:$AF$1082,5,FALSE)),"")</f>
        <v/>
      </c>
      <c r="F84" s="2" t="str">
        <f>IF(D84&lt;&gt;"",Beräkningshjälp!$AH$1,"")</f>
        <v/>
      </c>
      <c r="G84" s="136" t="str">
        <f>IF(D84&lt;&gt;"",IF(COUNTIF(Beräkningshjälp!F$38:F$49,"&gt;0")&gt;=ROW(E83)-ROW(E$1)+1,"INGA",IF(COUNTIF(Beräkningshjälp!$G$38:$H$49,VLOOKUP(E84,Beräkningshjälp!$AF$2:$AG$1082,2,FALSE))&gt;0,"ENSTAK",IF(VLOOKUP(VLOOKUP(E84,Beräkningshjälp!O$2:U$60,7,FALSE),Artuppgifter!$I$11:$P$22,7,FALSE)=TRUE,"MINMAX","ALLA"))),"")</f>
        <v/>
      </c>
      <c r="H84" s="2" t="str">
        <f>IF($E84&lt;&gt;"",IF(AND($E84&lt;&gt;"EJFANGST",$G84&lt;&gt;"INGA"),IF(ISNUMBER(VLOOKUP((ROW($H83)-ROW($H$1)+1)*10+COLUMN(H$1)-COLUMN($H$1)+1,Beräkningshjälp!$AB$2:$AI$1082,7,FALSE)),VLOOKUP((ROW($H83)-ROW($H$1)+1)*10+COLUMN(H$1)-COLUMN($H$1)+1,Beräkningshjälp!$AB$2:$AI$1082,7,FALSE),IF(E84&gt;0,-VLOOKUP((ROW($H83)-ROW($H$1)+1)*10+COLUMN(H$1)-COLUMN($H$1)+1,Beräkningshjälp!$AB$2:$AI$1082,3,FALSE),0)),0),"")</f>
        <v/>
      </c>
      <c r="I84" s="2" t="str">
        <f>IF($E84&lt;&gt;"",IF(AND($E84&lt;&gt;"EJFANGST",$G84&lt;&gt;"INGA"),IF(ISNUMBER(VLOOKUP((ROW($H83)-ROW($H$1)+1)*10+COLUMN(I$1)-COLUMN($H$1)+1,Beräkningshjälp!$AB$2:$AI$1082,7,FALSE)),VLOOKUP((ROW($H83)-ROW($H$1)+1)*10+COLUMN(I$1)-COLUMN($H$1)+1,Beräkningshjälp!$AB$2:$AI$1082,7,FALSE),IF(H84&gt;0,-VLOOKUP((ROW($H83)-ROW($H$1)+1)*10+COLUMN(I$1)-COLUMN($H$1)+1,Beräkningshjälp!$AB$2:$AI$1082,3,FALSE),0)),0),"")</f>
        <v/>
      </c>
      <c r="J84" s="2" t="str">
        <f>IF($E84&lt;&gt;"",IF(AND($E84&lt;&gt;"EJFANGST",$G84&lt;&gt;"INGA"),IF(ISNUMBER(VLOOKUP((ROW($H83)-ROW($H$1)+1)*10+COLUMN(J$1)-COLUMN($H$1)+1,Beräkningshjälp!$AB$2:$AI$1082,7,FALSE)),VLOOKUP((ROW($H83)-ROW($H$1)+1)*10+COLUMN(J$1)-COLUMN($H$1)+1,Beräkningshjälp!$AB$2:$AI$1082,7,FALSE),IF(I84&gt;0,-VLOOKUP((ROW($H83)-ROW($H$1)+1)*10+COLUMN(J$1)-COLUMN($H$1)+1,Beräkningshjälp!$AB$2:$AI$1082,3,FALSE),0)),0),"")</f>
        <v/>
      </c>
      <c r="K84" s="2" t="str">
        <f>IF($E84&lt;&gt;"",IF(AND($E84&lt;&gt;"EJFANGST",$G84&lt;&gt;"INGA"),IF(ISNUMBER(VLOOKUP((ROW($H83)-ROW($H$1)+1)*10+COLUMN(K$1)-COLUMN($H$1)+1,Beräkningshjälp!$AB$2:$AI$1082,7,FALSE)),VLOOKUP((ROW($H83)-ROW($H$1)+1)*10+COLUMN(K$1)-COLUMN($H$1)+1,Beräkningshjälp!$AB$2:$AI$1082,7,FALSE),IF(J84&gt;0,-VLOOKUP((ROW($H83)-ROW($H$1)+1)*10+COLUMN(K$1)-COLUMN($H$1)+1,Beräkningshjälp!$AB$2:$AI$1082,3,FALSE),0)),0),"")</f>
        <v/>
      </c>
      <c r="L84" s="2" t="str">
        <f>IF($E84&lt;&gt;"",IF(AND($E84&lt;&gt;"EJFANGST",$G84&lt;&gt;"INGA"),IF(ISNUMBER(VLOOKUP((ROW($H83)-ROW($H$1)+1)*10+COLUMN(L$1)-COLUMN($H$1)+1,Beräkningshjälp!$AB$2:$AI$1082,7,FALSE)),VLOOKUP((ROW($H83)-ROW($H$1)+1)*10+COLUMN(L$1)-COLUMN($H$1)+1,Beräkningshjälp!$AB$2:$AI$1082,7,FALSE),IF(K84&gt;0,-VLOOKUP((ROW($H83)-ROW($H$1)+1)*10+COLUMN(L$1)-COLUMN($H$1)+1,Beräkningshjälp!$AB$2:$AI$1082,3,FALSE),0)),0),"")</f>
        <v/>
      </c>
      <c r="M84" s="2" t="str">
        <f>IF($E84&lt;&gt;"",IF(AND($E84&lt;&gt;"EJFANGST",$G84&lt;&gt;"INGA"),IF(ISNUMBER(VLOOKUP((ROW($H83)-ROW($H$1)+1)*10+COLUMN(M$1)-COLUMN($H$1)+1,Beräkningshjälp!$AB$2:$AI$1082,7,FALSE)),VLOOKUP((ROW($H83)-ROW($H$1)+1)*10+COLUMN(M$1)-COLUMN($H$1)+1,Beräkningshjälp!$AB$2:$AI$1082,7,FALSE),IF(L84&gt;0,-VLOOKUP((ROW($H83)-ROW($H$1)+1)*10+COLUMN(M$1)-COLUMN($H$1)+1,Beräkningshjälp!$AB$2:$AI$1082,3,FALSE),0)),0),"")</f>
        <v/>
      </c>
      <c r="N84" s="2" t="str">
        <f>IF($E84&lt;&gt;"",IF(AND($E84&lt;&gt;"EJFANGST",$G84&lt;&gt;"INGA"),IF(ISNUMBER(VLOOKUP((ROW($H83)-ROW($H$1)+1)*10+COLUMN(N$1)-COLUMN($H$1)+1,Beräkningshjälp!$AB$2:$AI$1082,7,FALSE)),VLOOKUP((ROW($H83)-ROW($H$1)+1)*10+COLUMN(N$1)-COLUMN($H$1)+1,Beräkningshjälp!$AB$2:$AI$1082,7,FALSE),IF(M84&gt;0,-VLOOKUP((ROW($H83)-ROW($H$1)+1)*10+COLUMN(N$1)-COLUMN($H$1)+1,Beräkningshjälp!$AB$2:$AI$1082,3,FALSE),0)),0),"")</f>
        <v/>
      </c>
      <c r="O84" s="2" t="str">
        <f>IF($E84&lt;&gt;"",IF(AND($E84&lt;&gt;"EJFANGST",$G84&lt;&gt;"INGA"),IF(ISNUMBER(VLOOKUP((ROW($H83)-ROW($H$1)+1)*10+COLUMN(O$1)-COLUMN($H$1)+1,Beräkningshjälp!$AB$2:$AI$1082,7,FALSE)),VLOOKUP((ROW($H83)-ROW($H$1)+1)*10+COLUMN(O$1)-COLUMN($H$1)+1,Beräkningshjälp!$AB$2:$AI$1082,7,FALSE),IF(N84&gt;0,-VLOOKUP((ROW($H83)-ROW($H$1)+1)*10+COLUMN(O$1)-COLUMN($H$1)+1,Beräkningshjälp!$AB$2:$AI$1082,3,FALSE),0)),0),"")</f>
        <v/>
      </c>
      <c r="P84" s="2" t="str">
        <f>IF($E84&lt;&gt;"",IF(AND($E84&lt;&gt;"EJFANGST",$G84&lt;&gt;"INGA"),IF(ISNUMBER(VLOOKUP((ROW($H83)-ROW($H$1)+1)*10+COLUMN(P$1)-COLUMN($H$1)+1,Beräkningshjälp!$AB$2:$AI$1082,7,FALSE)),VLOOKUP((ROW($H83)-ROW($H$1)+1)*10+COLUMN(P$1)-COLUMN($H$1)+1,Beräkningshjälp!$AB$2:$AI$1082,7,FALSE),IF(O84&gt;0,-VLOOKUP((ROW($H83)-ROW($H$1)+1)*10+COLUMN(P$1)-COLUMN($H$1)+1,Beräkningshjälp!$AB$2:$AI$1082,3,FALSE),0)),0),"")</f>
        <v/>
      </c>
      <c r="Q84" s="2" t="str">
        <f>IF($E84&lt;&gt;"",IF(AND($E84&lt;&gt;"EJFANGST",$G84&lt;&gt;"INGA"),IF(ISNUMBER(VLOOKUP((ROW($H83)-ROW($H$1)+1)*10+COLUMN(Q$1)-COLUMN($H$1)+1,Beräkningshjälp!$AB$2:$AI$1082,7,FALSE)),VLOOKUP((ROW($H83)-ROW($H$1)+1)*10+COLUMN(Q$1)-COLUMN($H$1)+1,Beräkningshjälp!$AB$2:$AI$1082,7,FALSE),IF(P84&gt;0,-VLOOKUP((ROW($H83)-ROW($H$1)+1)*10+COLUMN(Q$1)-COLUMN($H$1)+1,Beräkningshjälp!$AB$2:$AI$1082,3,FALSE),0)),0),"")</f>
        <v/>
      </c>
      <c r="R84" s="116" t="str">
        <f>IF(COUNTIF(H84:Q84,"&gt;0")&gt;0,IF($E84&lt;&gt;"",IF(AND($E84&lt;&gt;"EJFANGST",$G84&lt;&gt;"INGA"),IF(ISNUMBER(VLOOKUP((ROW($H83)-ROW($H$1)+1)*10+COLUMN(H$1)-COLUMN($H$1)+1,Beräkningshjälp!$AB$2:$AI$1082,7,FALSE)),VLOOKUP((ROW($H83)-ROW($H$1)+1)*10+COLUMN(H$1)-COLUMN($H$1)+1,Beräkningshjälp!$AB$2:$AI$1082,3,FALSE),""),""),""),"")</f>
        <v/>
      </c>
    </row>
    <row r="85" spans="1:18" x14ac:dyDescent="0.25">
      <c r="A85" s="2" t="str">
        <f t="shared" si="1"/>
        <v/>
      </c>
      <c r="B85" s="2" t="str">
        <f>IF(D85&lt;&gt;"",'DATA TILL SLU'!$J$3,"")</f>
        <v/>
      </c>
      <c r="C85" s="2" t="str">
        <f>IF(D85&lt;&gt;"",'DATA TILL SLU'!$K$3,"")</f>
        <v/>
      </c>
      <c r="D85" s="2" t="str">
        <f>IF(OR(ROW(D84)-ROW(D$1)+1&lt;=MAX(Beräkningshjälp!$F$37:$F$54),ROW(D84)-ROW(D$1)+1&lt;=ROUND((MAX(Beräkningshjälp!AB$3:AB$1082)+4)/10,0)-1),D$2,"")</f>
        <v/>
      </c>
      <c r="E85" s="136" t="str">
        <f>IF(D85&lt;&gt;"",IF(COUNTIF(Beräkningshjälp!F$38:F$49,"&gt;0")&gt;=ROW(E84)-ROW(E$1)+1,VLOOKUP((VLOOKUP(ROW(E84)-ROW(E$1)+1,Beräkningshjälp!$F$37:$H$54,IF(ISNUMBER(VLOOKUP(ROW(E84)-ROW(E$1)+1,Beräkningshjälp!$F$37:$H$54,2,FALSE)),2,3),FALSE)),Beräkningshjälp!$M$2:$O$60,3,FALSE),VLOOKUP((ROW(E84)-ROW(E$1)+1)*10+1,Beräkningshjälp!$AB$2:$AF$1082,5,FALSE)),"")</f>
        <v/>
      </c>
      <c r="F85" s="2" t="str">
        <f>IF(D85&lt;&gt;"",Beräkningshjälp!$AH$1,"")</f>
        <v/>
      </c>
      <c r="G85" s="136" t="str">
        <f>IF(D85&lt;&gt;"",IF(COUNTIF(Beräkningshjälp!F$38:F$49,"&gt;0")&gt;=ROW(E84)-ROW(E$1)+1,"INGA",IF(COUNTIF(Beräkningshjälp!$G$38:$H$49,VLOOKUP(E85,Beräkningshjälp!$AF$2:$AG$1082,2,FALSE))&gt;0,"ENSTAK",IF(VLOOKUP(VLOOKUP(E85,Beräkningshjälp!O$2:U$60,7,FALSE),Artuppgifter!$I$11:$P$22,7,FALSE)=TRUE,"MINMAX","ALLA"))),"")</f>
        <v/>
      </c>
      <c r="H85" s="2" t="str">
        <f>IF($E85&lt;&gt;"",IF(AND($E85&lt;&gt;"EJFANGST",$G85&lt;&gt;"INGA"),IF(ISNUMBER(VLOOKUP((ROW($H84)-ROW($H$1)+1)*10+COLUMN(H$1)-COLUMN($H$1)+1,Beräkningshjälp!$AB$2:$AI$1082,7,FALSE)),VLOOKUP((ROW($H84)-ROW($H$1)+1)*10+COLUMN(H$1)-COLUMN($H$1)+1,Beräkningshjälp!$AB$2:$AI$1082,7,FALSE),IF(E85&gt;0,-VLOOKUP((ROW($H84)-ROW($H$1)+1)*10+COLUMN(H$1)-COLUMN($H$1)+1,Beräkningshjälp!$AB$2:$AI$1082,3,FALSE),0)),0),"")</f>
        <v/>
      </c>
      <c r="I85" s="2" t="str">
        <f>IF($E85&lt;&gt;"",IF(AND($E85&lt;&gt;"EJFANGST",$G85&lt;&gt;"INGA"),IF(ISNUMBER(VLOOKUP((ROW($H84)-ROW($H$1)+1)*10+COLUMN(I$1)-COLUMN($H$1)+1,Beräkningshjälp!$AB$2:$AI$1082,7,FALSE)),VLOOKUP((ROW($H84)-ROW($H$1)+1)*10+COLUMN(I$1)-COLUMN($H$1)+1,Beräkningshjälp!$AB$2:$AI$1082,7,FALSE),IF(H85&gt;0,-VLOOKUP((ROW($H84)-ROW($H$1)+1)*10+COLUMN(I$1)-COLUMN($H$1)+1,Beräkningshjälp!$AB$2:$AI$1082,3,FALSE),0)),0),"")</f>
        <v/>
      </c>
      <c r="J85" s="2" t="str">
        <f>IF($E85&lt;&gt;"",IF(AND($E85&lt;&gt;"EJFANGST",$G85&lt;&gt;"INGA"),IF(ISNUMBER(VLOOKUP((ROW($H84)-ROW($H$1)+1)*10+COLUMN(J$1)-COLUMN($H$1)+1,Beräkningshjälp!$AB$2:$AI$1082,7,FALSE)),VLOOKUP((ROW($H84)-ROW($H$1)+1)*10+COLUMN(J$1)-COLUMN($H$1)+1,Beräkningshjälp!$AB$2:$AI$1082,7,FALSE),IF(I85&gt;0,-VLOOKUP((ROW($H84)-ROW($H$1)+1)*10+COLUMN(J$1)-COLUMN($H$1)+1,Beräkningshjälp!$AB$2:$AI$1082,3,FALSE),0)),0),"")</f>
        <v/>
      </c>
      <c r="K85" s="2" t="str">
        <f>IF($E85&lt;&gt;"",IF(AND($E85&lt;&gt;"EJFANGST",$G85&lt;&gt;"INGA"),IF(ISNUMBER(VLOOKUP((ROW($H84)-ROW($H$1)+1)*10+COLUMN(K$1)-COLUMN($H$1)+1,Beräkningshjälp!$AB$2:$AI$1082,7,FALSE)),VLOOKUP((ROW($H84)-ROW($H$1)+1)*10+COLUMN(K$1)-COLUMN($H$1)+1,Beräkningshjälp!$AB$2:$AI$1082,7,FALSE),IF(J85&gt;0,-VLOOKUP((ROW($H84)-ROW($H$1)+1)*10+COLUMN(K$1)-COLUMN($H$1)+1,Beräkningshjälp!$AB$2:$AI$1082,3,FALSE),0)),0),"")</f>
        <v/>
      </c>
      <c r="L85" s="2" t="str">
        <f>IF($E85&lt;&gt;"",IF(AND($E85&lt;&gt;"EJFANGST",$G85&lt;&gt;"INGA"),IF(ISNUMBER(VLOOKUP((ROW($H84)-ROW($H$1)+1)*10+COLUMN(L$1)-COLUMN($H$1)+1,Beräkningshjälp!$AB$2:$AI$1082,7,FALSE)),VLOOKUP((ROW($H84)-ROW($H$1)+1)*10+COLUMN(L$1)-COLUMN($H$1)+1,Beräkningshjälp!$AB$2:$AI$1082,7,FALSE),IF(K85&gt;0,-VLOOKUP((ROW($H84)-ROW($H$1)+1)*10+COLUMN(L$1)-COLUMN($H$1)+1,Beräkningshjälp!$AB$2:$AI$1082,3,FALSE),0)),0),"")</f>
        <v/>
      </c>
      <c r="M85" s="2" t="str">
        <f>IF($E85&lt;&gt;"",IF(AND($E85&lt;&gt;"EJFANGST",$G85&lt;&gt;"INGA"),IF(ISNUMBER(VLOOKUP((ROW($H84)-ROW($H$1)+1)*10+COLUMN(M$1)-COLUMN($H$1)+1,Beräkningshjälp!$AB$2:$AI$1082,7,FALSE)),VLOOKUP((ROW($H84)-ROW($H$1)+1)*10+COLUMN(M$1)-COLUMN($H$1)+1,Beräkningshjälp!$AB$2:$AI$1082,7,FALSE),IF(L85&gt;0,-VLOOKUP((ROW($H84)-ROW($H$1)+1)*10+COLUMN(M$1)-COLUMN($H$1)+1,Beräkningshjälp!$AB$2:$AI$1082,3,FALSE),0)),0),"")</f>
        <v/>
      </c>
      <c r="N85" s="2" t="str">
        <f>IF($E85&lt;&gt;"",IF(AND($E85&lt;&gt;"EJFANGST",$G85&lt;&gt;"INGA"),IF(ISNUMBER(VLOOKUP((ROW($H84)-ROW($H$1)+1)*10+COLUMN(N$1)-COLUMN($H$1)+1,Beräkningshjälp!$AB$2:$AI$1082,7,FALSE)),VLOOKUP((ROW($H84)-ROW($H$1)+1)*10+COLUMN(N$1)-COLUMN($H$1)+1,Beräkningshjälp!$AB$2:$AI$1082,7,FALSE),IF(M85&gt;0,-VLOOKUP((ROW($H84)-ROW($H$1)+1)*10+COLUMN(N$1)-COLUMN($H$1)+1,Beräkningshjälp!$AB$2:$AI$1082,3,FALSE),0)),0),"")</f>
        <v/>
      </c>
      <c r="O85" s="2" t="str">
        <f>IF($E85&lt;&gt;"",IF(AND($E85&lt;&gt;"EJFANGST",$G85&lt;&gt;"INGA"),IF(ISNUMBER(VLOOKUP((ROW($H84)-ROW($H$1)+1)*10+COLUMN(O$1)-COLUMN($H$1)+1,Beräkningshjälp!$AB$2:$AI$1082,7,FALSE)),VLOOKUP((ROW($H84)-ROW($H$1)+1)*10+COLUMN(O$1)-COLUMN($H$1)+1,Beräkningshjälp!$AB$2:$AI$1082,7,FALSE),IF(N85&gt;0,-VLOOKUP((ROW($H84)-ROW($H$1)+1)*10+COLUMN(O$1)-COLUMN($H$1)+1,Beräkningshjälp!$AB$2:$AI$1082,3,FALSE),0)),0),"")</f>
        <v/>
      </c>
      <c r="P85" s="2" t="str">
        <f>IF($E85&lt;&gt;"",IF(AND($E85&lt;&gt;"EJFANGST",$G85&lt;&gt;"INGA"),IF(ISNUMBER(VLOOKUP((ROW($H84)-ROW($H$1)+1)*10+COLUMN(P$1)-COLUMN($H$1)+1,Beräkningshjälp!$AB$2:$AI$1082,7,FALSE)),VLOOKUP((ROW($H84)-ROW($H$1)+1)*10+COLUMN(P$1)-COLUMN($H$1)+1,Beräkningshjälp!$AB$2:$AI$1082,7,FALSE),IF(O85&gt;0,-VLOOKUP((ROW($H84)-ROW($H$1)+1)*10+COLUMN(P$1)-COLUMN($H$1)+1,Beräkningshjälp!$AB$2:$AI$1082,3,FALSE),0)),0),"")</f>
        <v/>
      </c>
      <c r="Q85" s="2" t="str">
        <f>IF($E85&lt;&gt;"",IF(AND($E85&lt;&gt;"EJFANGST",$G85&lt;&gt;"INGA"),IF(ISNUMBER(VLOOKUP((ROW($H84)-ROW($H$1)+1)*10+COLUMN(Q$1)-COLUMN($H$1)+1,Beräkningshjälp!$AB$2:$AI$1082,7,FALSE)),VLOOKUP((ROW($H84)-ROW($H$1)+1)*10+COLUMN(Q$1)-COLUMN($H$1)+1,Beräkningshjälp!$AB$2:$AI$1082,7,FALSE),IF(P85&gt;0,-VLOOKUP((ROW($H84)-ROW($H$1)+1)*10+COLUMN(Q$1)-COLUMN($H$1)+1,Beräkningshjälp!$AB$2:$AI$1082,3,FALSE),0)),0),"")</f>
        <v/>
      </c>
      <c r="R85" s="116" t="str">
        <f>IF(COUNTIF(H85:Q85,"&gt;0")&gt;0,IF($E85&lt;&gt;"",IF(AND($E85&lt;&gt;"EJFANGST",$G85&lt;&gt;"INGA"),IF(ISNUMBER(VLOOKUP((ROW($H84)-ROW($H$1)+1)*10+COLUMN(H$1)-COLUMN($H$1)+1,Beräkningshjälp!$AB$2:$AI$1082,7,FALSE)),VLOOKUP((ROW($H84)-ROW($H$1)+1)*10+COLUMN(H$1)-COLUMN($H$1)+1,Beräkningshjälp!$AB$2:$AI$1082,3,FALSE),""),""),""),"")</f>
        <v/>
      </c>
    </row>
    <row r="86" spans="1:18" x14ac:dyDescent="0.25">
      <c r="A86" s="2" t="str">
        <f t="shared" si="1"/>
        <v/>
      </c>
      <c r="B86" s="2" t="str">
        <f>IF(D86&lt;&gt;"",'DATA TILL SLU'!$J$3,"")</f>
        <v/>
      </c>
      <c r="C86" s="2" t="str">
        <f>IF(D86&lt;&gt;"",'DATA TILL SLU'!$K$3,"")</f>
        <v/>
      </c>
      <c r="D86" s="2" t="str">
        <f>IF(OR(ROW(D85)-ROW(D$1)+1&lt;=MAX(Beräkningshjälp!$F$37:$F$54),ROW(D85)-ROW(D$1)+1&lt;=ROUND((MAX(Beräkningshjälp!AB$3:AB$1082)+4)/10,0)-1),D$2,"")</f>
        <v/>
      </c>
      <c r="E86" s="136" t="str">
        <f>IF(D86&lt;&gt;"",IF(COUNTIF(Beräkningshjälp!F$38:F$49,"&gt;0")&gt;=ROW(E85)-ROW(E$1)+1,VLOOKUP((VLOOKUP(ROW(E85)-ROW(E$1)+1,Beräkningshjälp!$F$37:$H$54,IF(ISNUMBER(VLOOKUP(ROW(E85)-ROW(E$1)+1,Beräkningshjälp!$F$37:$H$54,2,FALSE)),2,3),FALSE)),Beräkningshjälp!$M$2:$O$60,3,FALSE),VLOOKUP((ROW(E85)-ROW(E$1)+1)*10+1,Beräkningshjälp!$AB$2:$AF$1082,5,FALSE)),"")</f>
        <v/>
      </c>
      <c r="F86" s="2" t="str">
        <f>IF(D86&lt;&gt;"",Beräkningshjälp!$AH$1,"")</f>
        <v/>
      </c>
      <c r="G86" s="136" t="str">
        <f>IF(D86&lt;&gt;"",IF(COUNTIF(Beräkningshjälp!F$38:F$49,"&gt;0")&gt;=ROW(E85)-ROW(E$1)+1,"INGA",IF(COUNTIF(Beräkningshjälp!$G$38:$H$49,VLOOKUP(E86,Beräkningshjälp!$AF$2:$AG$1082,2,FALSE))&gt;0,"ENSTAK",IF(VLOOKUP(VLOOKUP(E86,Beräkningshjälp!O$2:U$60,7,FALSE),Artuppgifter!$I$11:$P$22,7,FALSE)=TRUE,"MINMAX","ALLA"))),"")</f>
        <v/>
      </c>
      <c r="H86" s="2" t="str">
        <f>IF($E86&lt;&gt;"",IF(AND($E86&lt;&gt;"EJFANGST",$G86&lt;&gt;"INGA"),IF(ISNUMBER(VLOOKUP((ROW($H85)-ROW($H$1)+1)*10+COLUMN(H$1)-COLUMN($H$1)+1,Beräkningshjälp!$AB$2:$AI$1082,7,FALSE)),VLOOKUP((ROW($H85)-ROW($H$1)+1)*10+COLUMN(H$1)-COLUMN($H$1)+1,Beräkningshjälp!$AB$2:$AI$1082,7,FALSE),IF(E86&gt;0,-VLOOKUP((ROW($H85)-ROW($H$1)+1)*10+COLUMN(H$1)-COLUMN($H$1)+1,Beräkningshjälp!$AB$2:$AI$1082,3,FALSE),0)),0),"")</f>
        <v/>
      </c>
      <c r="I86" s="2" t="str">
        <f>IF($E86&lt;&gt;"",IF(AND($E86&lt;&gt;"EJFANGST",$G86&lt;&gt;"INGA"),IF(ISNUMBER(VLOOKUP((ROW($H85)-ROW($H$1)+1)*10+COLUMN(I$1)-COLUMN($H$1)+1,Beräkningshjälp!$AB$2:$AI$1082,7,FALSE)),VLOOKUP((ROW($H85)-ROW($H$1)+1)*10+COLUMN(I$1)-COLUMN($H$1)+1,Beräkningshjälp!$AB$2:$AI$1082,7,FALSE),IF(H86&gt;0,-VLOOKUP((ROW($H85)-ROW($H$1)+1)*10+COLUMN(I$1)-COLUMN($H$1)+1,Beräkningshjälp!$AB$2:$AI$1082,3,FALSE),0)),0),"")</f>
        <v/>
      </c>
      <c r="J86" s="2" t="str">
        <f>IF($E86&lt;&gt;"",IF(AND($E86&lt;&gt;"EJFANGST",$G86&lt;&gt;"INGA"),IF(ISNUMBER(VLOOKUP((ROW($H85)-ROW($H$1)+1)*10+COLUMN(J$1)-COLUMN($H$1)+1,Beräkningshjälp!$AB$2:$AI$1082,7,FALSE)),VLOOKUP((ROW($H85)-ROW($H$1)+1)*10+COLUMN(J$1)-COLUMN($H$1)+1,Beräkningshjälp!$AB$2:$AI$1082,7,FALSE),IF(I86&gt;0,-VLOOKUP((ROW($H85)-ROW($H$1)+1)*10+COLUMN(J$1)-COLUMN($H$1)+1,Beräkningshjälp!$AB$2:$AI$1082,3,FALSE),0)),0),"")</f>
        <v/>
      </c>
      <c r="K86" s="2" t="str">
        <f>IF($E86&lt;&gt;"",IF(AND($E86&lt;&gt;"EJFANGST",$G86&lt;&gt;"INGA"),IF(ISNUMBER(VLOOKUP((ROW($H85)-ROW($H$1)+1)*10+COLUMN(K$1)-COLUMN($H$1)+1,Beräkningshjälp!$AB$2:$AI$1082,7,FALSE)),VLOOKUP((ROW($H85)-ROW($H$1)+1)*10+COLUMN(K$1)-COLUMN($H$1)+1,Beräkningshjälp!$AB$2:$AI$1082,7,FALSE),IF(J86&gt;0,-VLOOKUP((ROW($H85)-ROW($H$1)+1)*10+COLUMN(K$1)-COLUMN($H$1)+1,Beräkningshjälp!$AB$2:$AI$1082,3,FALSE),0)),0),"")</f>
        <v/>
      </c>
      <c r="L86" s="2" t="str">
        <f>IF($E86&lt;&gt;"",IF(AND($E86&lt;&gt;"EJFANGST",$G86&lt;&gt;"INGA"),IF(ISNUMBER(VLOOKUP((ROW($H85)-ROW($H$1)+1)*10+COLUMN(L$1)-COLUMN($H$1)+1,Beräkningshjälp!$AB$2:$AI$1082,7,FALSE)),VLOOKUP((ROW($H85)-ROW($H$1)+1)*10+COLUMN(L$1)-COLUMN($H$1)+1,Beräkningshjälp!$AB$2:$AI$1082,7,FALSE),IF(K86&gt;0,-VLOOKUP((ROW($H85)-ROW($H$1)+1)*10+COLUMN(L$1)-COLUMN($H$1)+1,Beräkningshjälp!$AB$2:$AI$1082,3,FALSE),0)),0),"")</f>
        <v/>
      </c>
      <c r="M86" s="2" t="str">
        <f>IF($E86&lt;&gt;"",IF(AND($E86&lt;&gt;"EJFANGST",$G86&lt;&gt;"INGA"),IF(ISNUMBER(VLOOKUP((ROW($H85)-ROW($H$1)+1)*10+COLUMN(M$1)-COLUMN($H$1)+1,Beräkningshjälp!$AB$2:$AI$1082,7,FALSE)),VLOOKUP((ROW($H85)-ROW($H$1)+1)*10+COLUMN(M$1)-COLUMN($H$1)+1,Beräkningshjälp!$AB$2:$AI$1082,7,FALSE),IF(L86&gt;0,-VLOOKUP((ROW($H85)-ROW($H$1)+1)*10+COLUMN(M$1)-COLUMN($H$1)+1,Beräkningshjälp!$AB$2:$AI$1082,3,FALSE),0)),0),"")</f>
        <v/>
      </c>
      <c r="N86" s="2" t="str">
        <f>IF($E86&lt;&gt;"",IF(AND($E86&lt;&gt;"EJFANGST",$G86&lt;&gt;"INGA"),IF(ISNUMBER(VLOOKUP((ROW($H85)-ROW($H$1)+1)*10+COLUMN(N$1)-COLUMN($H$1)+1,Beräkningshjälp!$AB$2:$AI$1082,7,FALSE)),VLOOKUP((ROW($H85)-ROW($H$1)+1)*10+COLUMN(N$1)-COLUMN($H$1)+1,Beräkningshjälp!$AB$2:$AI$1082,7,FALSE),IF(M86&gt;0,-VLOOKUP((ROW($H85)-ROW($H$1)+1)*10+COLUMN(N$1)-COLUMN($H$1)+1,Beräkningshjälp!$AB$2:$AI$1082,3,FALSE),0)),0),"")</f>
        <v/>
      </c>
      <c r="O86" s="2" t="str">
        <f>IF($E86&lt;&gt;"",IF(AND($E86&lt;&gt;"EJFANGST",$G86&lt;&gt;"INGA"),IF(ISNUMBER(VLOOKUP((ROW($H85)-ROW($H$1)+1)*10+COLUMN(O$1)-COLUMN($H$1)+1,Beräkningshjälp!$AB$2:$AI$1082,7,FALSE)),VLOOKUP((ROW($H85)-ROW($H$1)+1)*10+COLUMN(O$1)-COLUMN($H$1)+1,Beräkningshjälp!$AB$2:$AI$1082,7,FALSE),IF(N86&gt;0,-VLOOKUP((ROW($H85)-ROW($H$1)+1)*10+COLUMN(O$1)-COLUMN($H$1)+1,Beräkningshjälp!$AB$2:$AI$1082,3,FALSE),0)),0),"")</f>
        <v/>
      </c>
      <c r="P86" s="2" t="str">
        <f>IF($E86&lt;&gt;"",IF(AND($E86&lt;&gt;"EJFANGST",$G86&lt;&gt;"INGA"),IF(ISNUMBER(VLOOKUP((ROW($H85)-ROW($H$1)+1)*10+COLUMN(P$1)-COLUMN($H$1)+1,Beräkningshjälp!$AB$2:$AI$1082,7,FALSE)),VLOOKUP((ROW($H85)-ROW($H$1)+1)*10+COLUMN(P$1)-COLUMN($H$1)+1,Beräkningshjälp!$AB$2:$AI$1082,7,FALSE),IF(O86&gt;0,-VLOOKUP((ROW($H85)-ROW($H$1)+1)*10+COLUMN(P$1)-COLUMN($H$1)+1,Beräkningshjälp!$AB$2:$AI$1082,3,FALSE),0)),0),"")</f>
        <v/>
      </c>
      <c r="Q86" s="2" t="str">
        <f>IF($E86&lt;&gt;"",IF(AND($E86&lt;&gt;"EJFANGST",$G86&lt;&gt;"INGA"),IF(ISNUMBER(VLOOKUP((ROW($H85)-ROW($H$1)+1)*10+COLUMN(Q$1)-COLUMN($H$1)+1,Beräkningshjälp!$AB$2:$AI$1082,7,FALSE)),VLOOKUP((ROW($H85)-ROW($H$1)+1)*10+COLUMN(Q$1)-COLUMN($H$1)+1,Beräkningshjälp!$AB$2:$AI$1082,7,FALSE),IF(P86&gt;0,-VLOOKUP((ROW($H85)-ROW($H$1)+1)*10+COLUMN(Q$1)-COLUMN($H$1)+1,Beräkningshjälp!$AB$2:$AI$1082,3,FALSE),0)),0),"")</f>
        <v/>
      </c>
      <c r="R86" s="116" t="str">
        <f>IF(COUNTIF(H86:Q86,"&gt;0")&gt;0,IF($E86&lt;&gt;"",IF(AND($E86&lt;&gt;"EJFANGST",$G86&lt;&gt;"INGA"),IF(ISNUMBER(VLOOKUP((ROW($H85)-ROW($H$1)+1)*10+COLUMN(H$1)-COLUMN($H$1)+1,Beräkningshjälp!$AB$2:$AI$1082,7,FALSE)),VLOOKUP((ROW($H85)-ROW($H$1)+1)*10+COLUMN(H$1)-COLUMN($H$1)+1,Beräkningshjälp!$AB$2:$AI$1082,3,FALSE),""),""),""),"")</f>
        <v/>
      </c>
    </row>
    <row r="87" spans="1:18" x14ac:dyDescent="0.25">
      <c r="A87" s="2" t="str">
        <f t="shared" si="1"/>
        <v/>
      </c>
      <c r="B87" s="2" t="str">
        <f>IF(D87&lt;&gt;"",'DATA TILL SLU'!$J$3,"")</f>
        <v/>
      </c>
      <c r="C87" s="2" t="str">
        <f>IF(D87&lt;&gt;"",'DATA TILL SLU'!$K$3,"")</f>
        <v/>
      </c>
      <c r="D87" s="2" t="str">
        <f>IF(OR(ROW(D86)-ROW(D$1)+1&lt;=MAX(Beräkningshjälp!$F$37:$F$54),ROW(D86)-ROW(D$1)+1&lt;=ROUND((MAX(Beräkningshjälp!AB$3:AB$1082)+4)/10,0)-1),D$2,"")</f>
        <v/>
      </c>
      <c r="E87" s="136" t="str">
        <f>IF(D87&lt;&gt;"",IF(COUNTIF(Beräkningshjälp!F$38:F$49,"&gt;0")&gt;=ROW(E86)-ROW(E$1)+1,VLOOKUP((VLOOKUP(ROW(E86)-ROW(E$1)+1,Beräkningshjälp!$F$37:$H$54,IF(ISNUMBER(VLOOKUP(ROW(E86)-ROW(E$1)+1,Beräkningshjälp!$F$37:$H$54,2,FALSE)),2,3),FALSE)),Beräkningshjälp!$M$2:$O$60,3,FALSE),VLOOKUP((ROW(E86)-ROW(E$1)+1)*10+1,Beräkningshjälp!$AB$2:$AF$1082,5,FALSE)),"")</f>
        <v/>
      </c>
      <c r="F87" s="2" t="str">
        <f>IF(D87&lt;&gt;"",Beräkningshjälp!$AH$1,"")</f>
        <v/>
      </c>
      <c r="G87" s="136" t="str">
        <f>IF(D87&lt;&gt;"",IF(COUNTIF(Beräkningshjälp!F$38:F$49,"&gt;0")&gt;=ROW(E86)-ROW(E$1)+1,"INGA",IF(COUNTIF(Beräkningshjälp!$G$38:$H$49,VLOOKUP(E87,Beräkningshjälp!$AF$2:$AG$1082,2,FALSE))&gt;0,"ENSTAK",IF(VLOOKUP(VLOOKUP(E87,Beräkningshjälp!O$2:U$60,7,FALSE),Artuppgifter!$I$11:$P$22,7,FALSE)=TRUE,"MINMAX","ALLA"))),"")</f>
        <v/>
      </c>
      <c r="H87" s="2" t="str">
        <f>IF($E87&lt;&gt;"",IF(AND($E87&lt;&gt;"EJFANGST",$G87&lt;&gt;"INGA"),IF(ISNUMBER(VLOOKUP((ROW($H86)-ROW($H$1)+1)*10+COLUMN(H$1)-COLUMN($H$1)+1,Beräkningshjälp!$AB$2:$AI$1082,7,FALSE)),VLOOKUP((ROW($H86)-ROW($H$1)+1)*10+COLUMN(H$1)-COLUMN($H$1)+1,Beräkningshjälp!$AB$2:$AI$1082,7,FALSE),IF(E87&gt;0,-VLOOKUP((ROW($H86)-ROW($H$1)+1)*10+COLUMN(H$1)-COLUMN($H$1)+1,Beräkningshjälp!$AB$2:$AI$1082,3,FALSE),0)),0),"")</f>
        <v/>
      </c>
      <c r="I87" s="2" t="str">
        <f>IF($E87&lt;&gt;"",IF(AND($E87&lt;&gt;"EJFANGST",$G87&lt;&gt;"INGA"),IF(ISNUMBER(VLOOKUP((ROW($H86)-ROW($H$1)+1)*10+COLUMN(I$1)-COLUMN($H$1)+1,Beräkningshjälp!$AB$2:$AI$1082,7,FALSE)),VLOOKUP((ROW($H86)-ROW($H$1)+1)*10+COLUMN(I$1)-COLUMN($H$1)+1,Beräkningshjälp!$AB$2:$AI$1082,7,FALSE),IF(H87&gt;0,-VLOOKUP((ROW($H86)-ROW($H$1)+1)*10+COLUMN(I$1)-COLUMN($H$1)+1,Beräkningshjälp!$AB$2:$AI$1082,3,FALSE),0)),0),"")</f>
        <v/>
      </c>
      <c r="J87" s="2" t="str">
        <f>IF($E87&lt;&gt;"",IF(AND($E87&lt;&gt;"EJFANGST",$G87&lt;&gt;"INGA"),IF(ISNUMBER(VLOOKUP((ROW($H86)-ROW($H$1)+1)*10+COLUMN(J$1)-COLUMN($H$1)+1,Beräkningshjälp!$AB$2:$AI$1082,7,FALSE)),VLOOKUP((ROW($H86)-ROW($H$1)+1)*10+COLUMN(J$1)-COLUMN($H$1)+1,Beräkningshjälp!$AB$2:$AI$1082,7,FALSE),IF(I87&gt;0,-VLOOKUP((ROW($H86)-ROW($H$1)+1)*10+COLUMN(J$1)-COLUMN($H$1)+1,Beräkningshjälp!$AB$2:$AI$1082,3,FALSE),0)),0),"")</f>
        <v/>
      </c>
      <c r="K87" s="2" t="str">
        <f>IF($E87&lt;&gt;"",IF(AND($E87&lt;&gt;"EJFANGST",$G87&lt;&gt;"INGA"),IF(ISNUMBER(VLOOKUP((ROW($H86)-ROW($H$1)+1)*10+COLUMN(K$1)-COLUMN($H$1)+1,Beräkningshjälp!$AB$2:$AI$1082,7,FALSE)),VLOOKUP((ROW($H86)-ROW($H$1)+1)*10+COLUMN(K$1)-COLUMN($H$1)+1,Beräkningshjälp!$AB$2:$AI$1082,7,FALSE),IF(J87&gt;0,-VLOOKUP((ROW($H86)-ROW($H$1)+1)*10+COLUMN(K$1)-COLUMN($H$1)+1,Beräkningshjälp!$AB$2:$AI$1082,3,FALSE),0)),0),"")</f>
        <v/>
      </c>
      <c r="L87" s="2" t="str">
        <f>IF($E87&lt;&gt;"",IF(AND($E87&lt;&gt;"EJFANGST",$G87&lt;&gt;"INGA"),IF(ISNUMBER(VLOOKUP((ROW($H86)-ROW($H$1)+1)*10+COLUMN(L$1)-COLUMN($H$1)+1,Beräkningshjälp!$AB$2:$AI$1082,7,FALSE)),VLOOKUP((ROW($H86)-ROW($H$1)+1)*10+COLUMN(L$1)-COLUMN($H$1)+1,Beräkningshjälp!$AB$2:$AI$1082,7,FALSE),IF(K87&gt;0,-VLOOKUP((ROW($H86)-ROW($H$1)+1)*10+COLUMN(L$1)-COLUMN($H$1)+1,Beräkningshjälp!$AB$2:$AI$1082,3,FALSE),0)),0),"")</f>
        <v/>
      </c>
      <c r="M87" s="2" t="str">
        <f>IF($E87&lt;&gt;"",IF(AND($E87&lt;&gt;"EJFANGST",$G87&lt;&gt;"INGA"),IF(ISNUMBER(VLOOKUP((ROW($H86)-ROW($H$1)+1)*10+COLUMN(M$1)-COLUMN($H$1)+1,Beräkningshjälp!$AB$2:$AI$1082,7,FALSE)),VLOOKUP((ROW($H86)-ROW($H$1)+1)*10+COLUMN(M$1)-COLUMN($H$1)+1,Beräkningshjälp!$AB$2:$AI$1082,7,FALSE),IF(L87&gt;0,-VLOOKUP((ROW($H86)-ROW($H$1)+1)*10+COLUMN(M$1)-COLUMN($H$1)+1,Beräkningshjälp!$AB$2:$AI$1082,3,FALSE),0)),0),"")</f>
        <v/>
      </c>
      <c r="N87" s="2" t="str">
        <f>IF($E87&lt;&gt;"",IF(AND($E87&lt;&gt;"EJFANGST",$G87&lt;&gt;"INGA"),IF(ISNUMBER(VLOOKUP((ROW($H86)-ROW($H$1)+1)*10+COLUMN(N$1)-COLUMN($H$1)+1,Beräkningshjälp!$AB$2:$AI$1082,7,FALSE)),VLOOKUP((ROW($H86)-ROW($H$1)+1)*10+COLUMN(N$1)-COLUMN($H$1)+1,Beräkningshjälp!$AB$2:$AI$1082,7,FALSE),IF(M87&gt;0,-VLOOKUP((ROW($H86)-ROW($H$1)+1)*10+COLUMN(N$1)-COLUMN($H$1)+1,Beräkningshjälp!$AB$2:$AI$1082,3,FALSE),0)),0),"")</f>
        <v/>
      </c>
      <c r="O87" s="2" t="str">
        <f>IF($E87&lt;&gt;"",IF(AND($E87&lt;&gt;"EJFANGST",$G87&lt;&gt;"INGA"),IF(ISNUMBER(VLOOKUP((ROW($H86)-ROW($H$1)+1)*10+COLUMN(O$1)-COLUMN($H$1)+1,Beräkningshjälp!$AB$2:$AI$1082,7,FALSE)),VLOOKUP((ROW($H86)-ROW($H$1)+1)*10+COLUMN(O$1)-COLUMN($H$1)+1,Beräkningshjälp!$AB$2:$AI$1082,7,FALSE),IF(N87&gt;0,-VLOOKUP((ROW($H86)-ROW($H$1)+1)*10+COLUMN(O$1)-COLUMN($H$1)+1,Beräkningshjälp!$AB$2:$AI$1082,3,FALSE),0)),0),"")</f>
        <v/>
      </c>
      <c r="P87" s="2" t="str">
        <f>IF($E87&lt;&gt;"",IF(AND($E87&lt;&gt;"EJFANGST",$G87&lt;&gt;"INGA"),IF(ISNUMBER(VLOOKUP((ROW($H86)-ROW($H$1)+1)*10+COLUMN(P$1)-COLUMN($H$1)+1,Beräkningshjälp!$AB$2:$AI$1082,7,FALSE)),VLOOKUP((ROW($H86)-ROW($H$1)+1)*10+COLUMN(P$1)-COLUMN($H$1)+1,Beräkningshjälp!$AB$2:$AI$1082,7,FALSE),IF(O87&gt;0,-VLOOKUP((ROW($H86)-ROW($H$1)+1)*10+COLUMN(P$1)-COLUMN($H$1)+1,Beräkningshjälp!$AB$2:$AI$1082,3,FALSE),0)),0),"")</f>
        <v/>
      </c>
      <c r="Q87" s="2" t="str">
        <f>IF($E87&lt;&gt;"",IF(AND($E87&lt;&gt;"EJFANGST",$G87&lt;&gt;"INGA"),IF(ISNUMBER(VLOOKUP((ROW($H86)-ROW($H$1)+1)*10+COLUMN(Q$1)-COLUMN($H$1)+1,Beräkningshjälp!$AB$2:$AI$1082,7,FALSE)),VLOOKUP((ROW($H86)-ROW($H$1)+1)*10+COLUMN(Q$1)-COLUMN($H$1)+1,Beräkningshjälp!$AB$2:$AI$1082,7,FALSE),IF(P87&gt;0,-VLOOKUP((ROW($H86)-ROW($H$1)+1)*10+COLUMN(Q$1)-COLUMN($H$1)+1,Beräkningshjälp!$AB$2:$AI$1082,3,FALSE),0)),0),"")</f>
        <v/>
      </c>
      <c r="R87" s="116" t="str">
        <f>IF(COUNTIF(H87:Q87,"&gt;0")&gt;0,IF($E87&lt;&gt;"",IF(AND($E87&lt;&gt;"EJFANGST",$G87&lt;&gt;"INGA"),IF(ISNUMBER(VLOOKUP((ROW($H86)-ROW($H$1)+1)*10+COLUMN(H$1)-COLUMN($H$1)+1,Beräkningshjälp!$AB$2:$AI$1082,7,FALSE)),VLOOKUP((ROW($H86)-ROW($H$1)+1)*10+COLUMN(H$1)-COLUMN($H$1)+1,Beräkningshjälp!$AB$2:$AI$1082,3,FALSE),""),""),""),"")</f>
        <v/>
      </c>
    </row>
    <row r="88" spans="1:18" x14ac:dyDescent="0.25">
      <c r="A88" s="2" t="str">
        <f t="shared" si="1"/>
        <v/>
      </c>
      <c r="B88" s="2" t="str">
        <f>IF(D88&lt;&gt;"",'DATA TILL SLU'!$J$3,"")</f>
        <v/>
      </c>
      <c r="C88" s="2" t="str">
        <f>IF(D88&lt;&gt;"",'DATA TILL SLU'!$K$3,"")</f>
        <v/>
      </c>
      <c r="D88" s="2" t="str">
        <f>IF(OR(ROW(D87)-ROW(D$1)+1&lt;=MAX(Beräkningshjälp!$F$37:$F$54),ROW(D87)-ROW(D$1)+1&lt;=ROUND((MAX(Beräkningshjälp!AB$3:AB$1082)+4)/10,0)-1),D$2,"")</f>
        <v/>
      </c>
      <c r="E88" s="136" t="str">
        <f>IF(D88&lt;&gt;"",IF(COUNTIF(Beräkningshjälp!F$38:F$49,"&gt;0")&gt;=ROW(E87)-ROW(E$1)+1,VLOOKUP((VLOOKUP(ROW(E87)-ROW(E$1)+1,Beräkningshjälp!$F$37:$H$54,IF(ISNUMBER(VLOOKUP(ROW(E87)-ROW(E$1)+1,Beräkningshjälp!$F$37:$H$54,2,FALSE)),2,3),FALSE)),Beräkningshjälp!$M$2:$O$60,3,FALSE),VLOOKUP((ROW(E87)-ROW(E$1)+1)*10+1,Beräkningshjälp!$AB$2:$AF$1082,5,FALSE)),"")</f>
        <v/>
      </c>
      <c r="F88" s="2" t="str">
        <f>IF(D88&lt;&gt;"",Beräkningshjälp!$AH$1,"")</f>
        <v/>
      </c>
      <c r="G88" s="136" t="str">
        <f>IF(D88&lt;&gt;"",IF(COUNTIF(Beräkningshjälp!F$38:F$49,"&gt;0")&gt;=ROW(E87)-ROW(E$1)+1,"INGA",IF(COUNTIF(Beräkningshjälp!$G$38:$H$49,VLOOKUP(E88,Beräkningshjälp!$AF$2:$AG$1082,2,FALSE))&gt;0,"ENSTAK",IF(VLOOKUP(VLOOKUP(E88,Beräkningshjälp!O$2:U$60,7,FALSE),Artuppgifter!$I$11:$P$22,7,FALSE)=TRUE,"MINMAX","ALLA"))),"")</f>
        <v/>
      </c>
      <c r="H88" s="2" t="str">
        <f>IF($E88&lt;&gt;"",IF(AND($E88&lt;&gt;"EJFANGST",$G88&lt;&gt;"INGA"),IF(ISNUMBER(VLOOKUP((ROW($H87)-ROW($H$1)+1)*10+COLUMN(H$1)-COLUMN($H$1)+1,Beräkningshjälp!$AB$2:$AI$1082,7,FALSE)),VLOOKUP((ROW($H87)-ROW($H$1)+1)*10+COLUMN(H$1)-COLUMN($H$1)+1,Beräkningshjälp!$AB$2:$AI$1082,7,FALSE),IF(E88&gt;0,-VLOOKUP((ROW($H87)-ROW($H$1)+1)*10+COLUMN(H$1)-COLUMN($H$1)+1,Beräkningshjälp!$AB$2:$AI$1082,3,FALSE),0)),0),"")</f>
        <v/>
      </c>
      <c r="I88" s="2" t="str">
        <f>IF($E88&lt;&gt;"",IF(AND($E88&lt;&gt;"EJFANGST",$G88&lt;&gt;"INGA"),IF(ISNUMBER(VLOOKUP((ROW($H87)-ROW($H$1)+1)*10+COLUMN(I$1)-COLUMN($H$1)+1,Beräkningshjälp!$AB$2:$AI$1082,7,FALSE)),VLOOKUP((ROW($H87)-ROW($H$1)+1)*10+COLUMN(I$1)-COLUMN($H$1)+1,Beräkningshjälp!$AB$2:$AI$1082,7,FALSE),IF(H88&gt;0,-VLOOKUP((ROW($H87)-ROW($H$1)+1)*10+COLUMN(I$1)-COLUMN($H$1)+1,Beräkningshjälp!$AB$2:$AI$1082,3,FALSE),0)),0),"")</f>
        <v/>
      </c>
      <c r="J88" s="2" t="str">
        <f>IF($E88&lt;&gt;"",IF(AND($E88&lt;&gt;"EJFANGST",$G88&lt;&gt;"INGA"),IF(ISNUMBER(VLOOKUP((ROW($H87)-ROW($H$1)+1)*10+COLUMN(J$1)-COLUMN($H$1)+1,Beräkningshjälp!$AB$2:$AI$1082,7,FALSE)),VLOOKUP((ROW($H87)-ROW($H$1)+1)*10+COLUMN(J$1)-COLUMN($H$1)+1,Beräkningshjälp!$AB$2:$AI$1082,7,FALSE),IF(I88&gt;0,-VLOOKUP((ROW($H87)-ROW($H$1)+1)*10+COLUMN(J$1)-COLUMN($H$1)+1,Beräkningshjälp!$AB$2:$AI$1082,3,FALSE),0)),0),"")</f>
        <v/>
      </c>
      <c r="K88" s="2" t="str">
        <f>IF($E88&lt;&gt;"",IF(AND($E88&lt;&gt;"EJFANGST",$G88&lt;&gt;"INGA"),IF(ISNUMBER(VLOOKUP((ROW($H87)-ROW($H$1)+1)*10+COLUMN(K$1)-COLUMN($H$1)+1,Beräkningshjälp!$AB$2:$AI$1082,7,FALSE)),VLOOKUP((ROW($H87)-ROW($H$1)+1)*10+COLUMN(K$1)-COLUMN($H$1)+1,Beräkningshjälp!$AB$2:$AI$1082,7,FALSE),IF(J88&gt;0,-VLOOKUP((ROW($H87)-ROW($H$1)+1)*10+COLUMN(K$1)-COLUMN($H$1)+1,Beräkningshjälp!$AB$2:$AI$1082,3,FALSE),0)),0),"")</f>
        <v/>
      </c>
      <c r="L88" s="2" t="str">
        <f>IF($E88&lt;&gt;"",IF(AND($E88&lt;&gt;"EJFANGST",$G88&lt;&gt;"INGA"),IF(ISNUMBER(VLOOKUP((ROW($H87)-ROW($H$1)+1)*10+COLUMN(L$1)-COLUMN($H$1)+1,Beräkningshjälp!$AB$2:$AI$1082,7,FALSE)),VLOOKUP((ROW($H87)-ROW($H$1)+1)*10+COLUMN(L$1)-COLUMN($H$1)+1,Beräkningshjälp!$AB$2:$AI$1082,7,FALSE),IF(K88&gt;0,-VLOOKUP((ROW($H87)-ROW($H$1)+1)*10+COLUMN(L$1)-COLUMN($H$1)+1,Beräkningshjälp!$AB$2:$AI$1082,3,FALSE),0)),0),"")</f>
        <v/>
      </c>
      <c r="M88" s="2" t="str">
        <f>IF($E88&lt;&gt;"",IF(AND($E88&lt;&gt;"EJFANGST",$G88&lt;&gt;"INGA"),IF(ISNUMBER(VLOOKUP((ROW($H87)-ROW($H$1)+1)*10+COLUMN(M$1)-COLUMN($H$1)+1,Beräkningshjälp!$AB$2:$AI$1082,7,FALSE)),VLOOKUP((ROW($H87)-ROW($H$1)+1)*10+COLUMN(M$1)-COLUMN($H$1)+1,Beräkningshjälp!$AB$2:$AI$1082,7,FALSE),IF(L88&gt;0,-VLOOKUP((ROW($H87)-ROW($H$1)+1)*10+COLUMN(M$1)-COLUMN($H$1)+1,Beräkningshjälp!$AB$2:$AI$1082,3,FALSE),0)),0),"")</f>
        <v/>
      </c>
      <c r="N88" s="2" t="str">
        <f>IF($E88&lt;&gt;"",IF(AND($E88&lt;&gt;"EJFANGST",$G88&lt;&gt;"INGA"),IF(ISNUMBER(VLOOKUP((ROW($H87)-ROW($H$1)+1)*10+COLUMN(N$1)-COLUMN($H$1)+1,Beräkningshjälp!$AB$2:$AI$1082,7,FALSE)),VLOOKUP((ROW($H87)-ROW($H$1)+1)*10+COLUMN(N$1)-COLUMN($H$1)+1,Beräkningshjälp!$AB$2:$AI$1082,7,FALSE),IF(M88&gt;0,-VLOOKUP((ROW($H87)-ROW($H$1)+1)*10+COLUMN(N$1)-COLUMN($H$1)+1,Beräkningshjälp!$AB$2:$AI$1082,3,FALSE),0)),0),"")</f>
        <v/>
      </c>
      <c r="O88" s="2" t="str">
        <f>IF($E88&lt;&gt;"",IF(AND($E88&lt;&gt;"EJFANGST",$G88&lt;&gt;"INGA"),IF(ISNUMBER(VLOOKUP((ROW($H87)-ROW($H$1)+1)*10+COLUMN(O$1)-COLUMN($H$1)+1,Beräkningshjälp!$AB$2:$AI$1082,7,FALSE)),VLOOKUP((ROW($H87)-ROW($H$1)+1)*10+COLUMN(O$1)-COLUMN($H$1)+1,Beräkningshjälp!$AB$2:$AI$1082,7,FALSE),IF(N88&gt;0,-VLOOKUP((ROW($H87)-ROW($H$1)+1)*10+COLUMN(O$1)-COLUMN($H$1)+1,Beräkningshjälp!$AB$2:$AI$1082,3,FALSE),0)),0),"")</f>
        <v/>
      </c>
      <c r="P88" s="2" t="str">
        <f>IF($E88&lt;&gt;"",IF(AND($E88&lt;&gt;"EJFANGST",$G88&lt;&gt;"INGA"),IF(ISNUMBER(VLOOKUP((ROW($H87)-ROW($H$1)+1)*10+COLUMN(P$1)-COLUMN($H$1)+1,Beräkningshjälp!$AB$2:$AI$1082,7,FALSE)),VLOOKUP((ROW($H87)-ROW($H$1)+1)*10+COLUMN(P$1)-COLUMN($H$1)+1,Beräkningshjälp!$AB$2:$AI$1082,7,FALSE),IF(O88&gt;0,-VLOOKUP((ROW($H87)-ROW($H$1)+1)*10+COLUMN(P$1)-COLUMN($H$1)+1,Beräkningshjälp!$AB$2:$AI$1082,3,FALSE),0)),0),"")</f>
        <v/>
      </c>
      <c r="Q88" s="2" t="str">
        <f>IF($E88&lt;&gt;"",IF(AND($E88&lt;&gt;"EJFANGST",$G88&lt;&gt;"INGA"),IF(ISNUMBER(VLOOKUP((ROW($H87)-ROW($H$1)+1)*10+COLUMN(Q$1)-COLUMN($H$1)+1,Beräkningshjälp!$AB$2:$AI$1082,7,FALSE)),VLOOKUP((ROW($H87)-ROW($H$1)+1)*10+COLUMN(Q$1)-COLUMN($H$1)+1,Beräkningshjälp!$AB$2:$AI$1082,7,FALSE),IF(P88&gt;0,-VLOOKUP((ROW($H87)-ROW($H$1)+1)*10+COLUMN(Q$1)-COLUMN($H$1)+1,Beräkningshjälp!$AB$2:$AI$1082,3,FALSE),0)),0),"")</f>
        <v/>
      </c>
      <c r="R88" s="116" t="str">
        <f>IF(COUNTIF(H88:Q88,"&gt;0")&gt;0,IF($E88&lt;&gt;"",IF(AND($E88&lt;&gt;"EJFANGST",$G88&lt;&gt;"INGA"),IF(ISNUMBER(VLOOKUP((ROW($H87)-ROW($H$1)+1)*10+COLUMN(H$1)-COLUMN($H$1)+1,Beräkningshjälp!$AB$2:$AI$1082,7,FALSE)),VLOOKUP((ROW($H87)-ROW($H$1)+1)*10+COLUMN(H$1)-COLUMN($H$1)+1,Beräkningshjälp!$AB$2:$AI$1082,3,FALSE),""),""),""),"")</f>
        <v/>
      </c>
    </row>
    <row r="89" spans="1:18" x14ac:dyDescent="0.25">
      <c r="A89" s="2" t="str">
        <f t="shared" si="1"/>
        <v/>
      </c>
      <c r="B89" s="2" t="str">
        <f>IF(D89&lt;&gt;"",'DATA TILL SLU'!$J$3,"")</f>
        <v/>
      </c>
      <c r="C89" s="2" t="str">
        <f>IF(D89&lt;&gt;"",'DATA TILL SLU'!$K$3,"")</f>
        <v/>
      </c>
      <c r="D89" s="2" t="str">
        <f>IF(OR(ROW(D88)-ROW(D$1)+1&lt;=MAX(Beräkningshjälp!$F$37:$F$54),ROW(D88)-ROW(D$1)+1&lt;=ROUND((MAX(Beräkningshjälp!AB$3:AB$1082)+4)/10,0)-1),D$2,"")</f>
        <v/>
      </c>
      <c r="E89" s="136" t="str">
        <f>IF(D89&lt;&gt;"",IF(COUNTIF(Beräkningshjälp!F$38:F$49,"&gt;0")&gt;=ROW(E88)-ROW(E$1)+1,VLOOKUP((VLOOKUP(ROW(E88)-ROW(E$1)+1,Beräkningshjälp!$F$37:$H$54,IF(ISNUMBER(VLOOKUP(ROW(E88)-ROW(E$1)+1,Beräkningshjälp!$F$37:$H$54,2,FALSE)),2,3),FALSE)),Beräkningshjälp!$M$2:$O$60,3,FALSE),VLOOKUP((ROW(E88)-ROW(E$1)+1)*10+1,Beräkningshjälp!$AB$2:$AF$1082,5,FALSE)),"")</f>
        <v/>
      </c>
      <c r="F89" s="2" t="str">
        <f>IF(D89&lt;&gt;"",Beräkningshjälp!$AH$1,"")</f>
        <v/>
      </c>
      <c r="G89" s="136" t="str">
        <f>IF(D89&lt;&gt;"",IF(COUNTIF(Beräkningshjälp!F$38:F$49,"&gt;0")&gt;=ROW(E88)-ROW(E$1)+1,"INGA",IF(COUNTIF(Beräkningshjälp!$G$38:$H$49,VLOOKUP(E89,Beräkningshjälp!$AF$2:$AG$1082,2,FALSE))&gt;0,"ENSTAK",IF(VLOOKUP(VLOOKUP(E89,Beräkningshjälp!O$2:U$60,7,FALSE),Artuppgifter!$I$11:$P$22,7,FALSE)=TRUE,"MINMAX","ALLA"))),"")</f>
        <v/>
      </c>
      <c r="H89" s="2" t="str">
        <f>IF($E89&lt;&gt;"",IF(AND($E89&lt;&gt;"EJFANGST",$G89&lt;&gt;"INGA"),IF(ISNUMBER(VLOOKUP((ROW($H88)-ROW($H$1)+1)*10+COLUMN(H$1)-COLUMN($H$1)+1,Beräkningshjälp!$AB$2:$AI$1082,7,FALSE)),VLOOKUP((ROW($H88)-ROW($H$1)+1)*10+COLUMN(H$1)-COLUMN($H$1)+1,Beräkningshjälp!$AB$2:$AI$1082,7,FALSE),IF(E89&gt;0,-VLOOKUP((ROW($H88)-ROW($H$1)+1)*10+COLUMN(H$1)-COLUMN($H$1)+1,Beräkningshjälp!$AB$2:$AI$1082,3,FALSE),0)),0),"")</f>
        <v/>
      </c>
      <c r="I89" s="2" t="str">
        <f>IF($E89&lt;&gt;"",IF(AND($E89&lt;&gt;"EJFANGST",$G89&lt;&gt;"INGA"),IF(ISNUMBER(VLOOKUP((ROW($H88)-ROW($H$1)+1)*10+COLUMN(I$1)-COLUMN($H$1)+1,Beräkningshjälp!$AB$2:$AI$1082,7,FALSE)),VLOOKUP((ROW($H88)-ROW($H$1)+1)*10+COLUMN(I$1)-COLUMN($H$1)+1,Beräkningshjälp!$AB$2:$AI$1082,7,FALSE),IF(H89&gt;0,-VLOOKUP((ROW($H88)-ROW($H$1)+1)*10+COLUMN(I$1)-COLUMN($H$1)+1,Beräkningshjälp!$AB$2:$AI$1082,3,FALSE),0)),0),"")</f>
        <v/>
      </c>
      <c r="J89" s="2" t="str">
        <f>IF($E89&lt;&gt;"",IF(AND($E89&lt;&gt;"EJFANGST",$G89&lt;&gt;"INGA"),IF(ISNUMBER(VLOOKUP((ROW($H88)-ROW($H$1)+1)*10+COLUMN(J$1)-COLUMN($H$1)+1,Beräkningshjälp!$AB$2:$AI$1082,7,FALSE)),VLOOKUP((ROW($H88)-ROW($H$1)+1)*10+COLUMN(J$1)-COLUMN($H$1)+1,Beräkningshjälp!$AB$2:$AI$1082,7,FALSE),IF(I89&gt;0,-VLOOKUP((ROW($H88)-ROW($H$1)+1)*10+COLUMN(J$1)-COLUMN($H$1)+1,Beräkningshjälp!$AB$2:$AI$1082,3,FALSE),0)),0),"")</f>
        <v/>
      </c>
      <c r="K89" s="2" t="str">
        <f>IF($E89&lt;&gt;"",IF(AND($E89&lt;&gt;"EJFANGST",$G89&lt;&gt;"INGA"),IF(ISNUMBER(VLOOKUP((ROW($H88)-ROW($H$1)+1)*10+COLUMN(K$1)-COLUMN($H$1)+1,Beräkningshjälp!$AB$2:$AI$1082,7,FALSE)),VLOOKUP((ROW($H88)-ROW($H$1)+1)*10+COLUMN(K$1)-COLUMN($H$1)+1,Beräkningshjälp!$AB$2:$AI$1082,7,FALSE),IF(J89&gt;0,-VLOOKUP((ROW($H88)-ROW($H$1)+1)*10+COLUMN(K$1)-COLUMN($H$1)+1,Beräkningshjälp!$AB$2:$AI$1082,3,FALSE),0)),0),"")</f>
        <v/>
      </c>
      <c r="L89" s="2" t="str">
        <f>IF($E89&lt;&gt;"",IF(AND($E89&lt;&gt;"EJFANGST",$G89&lt;&gt;"INGA"),IF(ISNUMBER(VLOOKUP((ROW($H88)-ROW($H$1)+1)*10+COLUMN(L$1)-COLUMN($H$1)+1,Beräkningshjälp!$AB$2:$AI$1082,7,FALSE)),VLOOKUP((ROW($H88)-ROW($H$1)+1)*10+COLUMN(L$1)-COLUMN($H$1)+1,Beräkningshjälp!$AB$2:$AI$1082,7,FALSE),IF(K89&gt;0,-VLOOKUP((ROW($H88)-ROW($H$1)+1)*10+COLUMN(L$1)-COLUMN($H$1)+1,Beräkningshjälp!$AB$2:$AI$1082,3,FALSE),0)),0),"")</f>
        <v/>
      </c>
      <c r="M89" s="2" t="str">
        <f>IF($E89&lt;&gt;"",IF(AND($E89&lt;&gt;"EJFANGST",$G89&lt;&gt;"INGA"),IF(ISNUMBER(VLOOKUP((ROW($H88)-ROW($H$1)+1)*10+COLUMN(M$1)-COLUMN($H$1)+1,Beräkningshjälp!$AB$2:$AI$1082,7,FALSE)),VLOOKUP((ROW($H88)-ROW($H$1)+1)*10+COLUMN(M$1)-COLUMN($H$1)+1,Beräkningshjälp!$AB$2:$AI$1082,7,FALSE),IF(L89&gt;0,-VLOOKUP((ROW($H88)-ROW($H$1)+1)*10+COLUMN(M$1)-COLUMN($H$1)+1,Beräkningshjälp!$AB$2:$AI$1082,3,FALSE),0)),0),"")</f>
        <v/>
      </c>
      <c r="N89" s="2" t="str">
        <f>IF($E89&lt;&gt;"",IF(AND($E89&lt;&gt;"EJFANGST",$G89&lt;&gt;"INGA"),IF(ISNUMBER(VLOOKUP((ROW($H88)-ROW($H$1)+1)*10+COLUMN(N$1)-COLUMN($H$1)+1,Beräkningshjälp!$AB$2:$AI$1082,7,FALSE)),VLOOKUP((ROW($H88)-ROW($H$1)+1)*10+COLUMN(N$1)-COLUMN($H$1)+1,Beräkningshjälp!$AB$2:$AI$1082,7,FALSE),IF(M89&gt;0,-VLOOKUP((ROW($H88)-ROW($H$1)+1)*10+COLUMN(N$1)-COLUMN($H$1)+1,Beräkningshjälp!$AB$2:$AI$1082,3,FALSE),0)),0),"")</f>
        <v/>
      </c>
      <c r="O89" s="2" t="str">
        <f>IF($E89&lt;&gt;"",IF(AND($E89&lt;&gt;"EJFANGST",$G89&lt;&gt;"INGA"),IF(ISNUMBER(VLOOKUP((ROW($H88)-ROW($H$1)+1)*10+COLUMN(O$1)-COLUMN($H$1)+1,Beräkningshjälp!$AB$2:$AI$1082,7,FALSE)),VLOOKUP((ROW($H88)-ROW($H$1)+1)*10+COLUMN(O$1)-COLUMN($H$1)+1,Beräkningshjälp!$AB$2:$AI$1082,7,FALSE),IF(N89&gt;0,-VLOOKUP((ROW($H88)-ROW($H$1)+1)*10+COLUMN(O$1)-COLUMN($H$1)+1,Beräkningshjälp!$AB$2:$AI$1082,3,FALSE),0)),0),"")</f>
        <v/>
      </c>
      <c r="P89" s="2" t="str">
        <f>IF($E89&lt;&gt;"",IF(AND($E89&lt;&gt;"EJFANGST",$G89&lt;&gt;"INGA"),IF(ISNUMBER(VLOOKUP((ROW($H88)-ROW($H$1)+1)*10+COLUMN(P$1)-COLUMN($H$1)+1,Beräkningshjälp!$AB$2:$AI$1082,7,FALSE)),VLOOKUP((ROW($H88)-ROW($H$1)+1)*10+COLUMN(P$1)-COLUMN($H$1)+1,Beräkningshjälp!$AB$2:$AI$1082,7,FALSE),IF(O89&gt;0,-VLOOKUP((ROW($H88)-ROW($H$1)+1)*10+COLUMN(P$1)-COLUMN($H$1)+1,Beräkningshjälp!$AB$2:$AI$1082,3,FALSE),0)),0),"")</f>
        <v/>
      </c>
      <c r="Q89" s="2" t="str">
        <f>IF($E89&lt;&gt;"",IF(AND($E89&lt;&gt;"EJFANGST",$G89&lt;&gt;"INGA"),IF(ISNUMBER(VLOOKUP((ROW($H88)-ROW($H$1)+1)*10+COLUMN(Q$1)-COLUMN($H$1)+1,Beräkningshjälp!$AB$2:$AI$1082,7,FALSE)),VLOOKUP((ROW($H88)-ROW($H$1)+1)*10+COLUMN(Q$1)-COLUMN($H$1)+1,Beräkningshjälp!$AB$2:$AI$1082,7,FALSE),IF(P89&gt;0,-VLOOKUP((ROW($H88)-ROW($H$1)+1)*10+COLUMN(Q$1)-COLUMN($H$1)+1,Beräkningshjälp!$AB$2:$AI$1082,3,FALSE),0)),0),"")</f>
        <v/>
      </c>
      <c r="R89" s="116" t="str">
        <f>IF(COUNTIF(H89:Q89,"&gt;0")&gt;0,IF($E89&lt;&gt;"",IF(AND($E89&lt;&gt;"EJFANGST",$G89&lt;&gt;"INGA"),IF(ISNUMBER(VLOOKUP((ROW($H88)-ROW($H$1)+1)*10+COLUMN(H$1)-COLUMN($H$1)+1,Beräkningshjälp!$AB$2:$AI$1082,7,FALSE)),VLOOKUP((ROW($H88)-ROW($H$1)+1)*10+COLUMN(H$1)-COLUMN($H$1)+1,Beräkningshjälp!$AB$2:$AI$1082,3,FALSE),""),""),""),"")</f>
        <v/>
      </c>
    </row>
    <row r="90" spans="1:18" x14ac:dyDescent="0.25">
      <c r="A90" s="2" t="str">
        <f t="shared" si="1"/>
        <v/>
      </c>
      <c r="B90" s="2" t="str">
        <f>IF(D90&lt;&gt;"",'DATA TILL SLU'!$J$3,"")</f>
        <v/>
      </c>
      <c r="C90" s="2" t="str">
        <f>IF(D90&lt;&gt;"",'DATA TILL SLU'!$K$3,"")</f>
        <v/>
      </c>
      <c r="D90" s="2" t="str">
        <f>IF(OR(ROW(D89)-ROW(D$1)+1&lt;=MAX(Beräkningshjälp!$F$37:$F$54),ROW(D89)-ROW(D$1)+1&lt;=ROUND((MAX(Beräkningshjälp!AB$3:AB$1082)+4)/10,0)-1),D$2,"")</f>
        <v/>
      </c>
      <c r="E90" s="136" t="str">
        <f>IF(D90&lt;&gt;"",IF(COUNTIF(Beräkningshjälp!F$38:F$49,"&gt;0")&gt;=ROW(E89)-ROW(E$1)+1,VLOOKUP((VLOOKUP(ROW(E89)-ROW(E$1)+1,Beräkningshjälp!$F$37:$H$54,IF(ISNUMBER(VLOOKUP(ROW(E89)-ROW(E$1)+1,Beräkningshjälp!$F$37:$H$54,2,FALSE)),2,3),FALSE)),Beräkningshjälp!$M$2:$O$60,3,FALSE),VLOOKUP((ROW(E89)-ROW(E$1)+1)*10+1,Beräkningshjälp!$AB$2:$AF$1082,5,FALSE)),"")</f>
        <v/>
      </c>
      <c r="F90" s="2" t="str">
        <f>IF(D90&lt;&gt;"",Beräkningshjälp!$AH$1,"")</f>
        <v/>
      </c>
      <c r="G90" s="136" t="str">
        <f>IF(D90&lt;&gt;"",IF(COUNTIF(Beräkningshjälp!F$38:F$49,"&gt;0")&gt;=ROW(E89)-ROW(E$1)+1,"INGA",IF(COUNTIF(Beräkningshjälp!$G$38:$H$49,VLOOKUP(E90,Beräkningshjälp!$AF$2:$AG$1082,2,FALSE))&gt;0,"ENSTAK",IF(VLOOKUP(VLOOKUP(E90,Beräkningshjälp!O$2:U$60,7,FALSE),Artuppgifter!$I$11:$P$22,7,FALSE)=TRUE,"MINMAX","ALLA"))),"")</f>
        <v/>
      </c>
      <c r="H90" s="2" t="str">
        <f>IF($E90&lt;&gt;"",IF(AND($E90&lt;&gt;"EJFANGST",$G90&lt;&gt;"INGA"),IF(ISNUMBER(VLOOKUP((ROW($H89)-ROW($H$1)+1)*10+COLUMN(H$1)-COLUMN($H$1)+1,Beräkningshjälp!$AB$2:$AI$1082,7,FALSE)),VLOOKUP((ROW($H89)-ROW($H$1)+1)*10+COLUMN(H$1)-COLUMN($H$1)+1,Beräkningshjälp!$AB$2:$AI$1082,7,FALSE),IF(E90&gt;0,-VLOOKUP((ROW($H89)-ROW($H$1)+1)*10+COLUMN(H$1)-COLUMN($H$1)+1,Beräkningshjälp!$AB$2:$AI$1082,3,FALSE),0)),0),"")</f>
        <v/>
      </c>
      <c r="I90" s="2" t="str">
        <f>IF($E90&lt;&gt;"",IF(AND($E90&lt;&gt;"EJFANGST",$G90&lt;&gt;"INGA"),IF(ISNUMBER(VLOOKUP((ROW($H89)-ROW($H$1)+1)*10+COLUMN(I$1)-COLUMN($H$1)+1,Beräkningshjälp!$AB$2:$AI$1082,7,FALSE)),VLOOKUP((ROW($H89)-ROW($H$1)+1)*10+COLUMN(I$1)-COLUMN($H$1)+1,Beräkningshjälp!$AB$2:$AI$1082,7,FALSE),IF(H90&gt;0,-VLOOKUP((ROW($H89)-ROW($H$1)+1)*10+COLUMN(I$1)-COLUMN($H$1)+1,Beräkningshjälp!$AB$2:$AI$1082,3,FALSE),0)),0),"")</f>
        <v/>
      </c>
      <c r="J90" s="2" t="str">
        <f>IF($E90&lt;&gt;"",IF(AND($E90&lt;&gt;"EJFANGST",$G90&lt;&gt;"INGA"),IF(ISNUMBER(VLOOKUP((ROW($H89)-ROW($H$1)+1)*10+COLUMN(J$1)-COLUMN($H$1)+1,Beräkningshjälp!$AB$2:$AI$1082,7,FALSE)),VLOOKUP((ROW($H89)-ROW($H$1)+1)*10+COLUMN(J$1)-COLUMN($H$1)+1,Beräkningshjälp!$AB$2:$AI$1082,7,FALSE),IF(I90&gt;0,-VLOOKUP((ROW($H89)-ROW($H$1)+1)*10+COLUMN(J$1)-COLUMN($H$1)+1,Beräkningshjälp!$AB$2:$AI$1082,3,FALSE),0)),0),"")</f>
        <v/>
      </c>
      <c r="K90" s="2" t="str">
        <f>IF($E90&lt;&gt;"",IF(AND($E90&lt;&gt;"EJFANGST",$G90&lt;&gt;"INGA"),IF(ISNUMBER(VLOOKUP((ROW($H89)-ROW($H$1)+1)*10+COLUMN(K$1)-COLUMN($H$1)+1,Beräkningshjälp!$AB$2:$AI$1082,7,FALSE)),VLOOKUP((ROW($H89)-ROW($H$1)+1)*10+COLUMN(K$1)-COLUMN($H$1)+1,Beräkningshjälp!$AB$2:$AI$1082,7,FALSE),IF(J90&gt;0,-VLOOKUP((ROW($H89)-ROW($H$1)+1)*10+COLUMN(K$1)-COLUMN($H$1)+1,Beräkningshjälp!$AB$2:$AI$1082,3,FALSE),0)),0),"")</f>
        <v/>
      </c>
      <c r="L90" s="2" t="str">
        <f>IF($E90&lt;&gt;"",IF(AND($E90&lt;&gt;"EJFANGST",$G90&lt;&gt;"INGA"),IF(ISNUMBER(VLOOKUP((ROW($H89)-ROW($H$1)+1)*10+COLUMN(L$1)-COLUMN($H$1)+1,Beräkningshjälp!$AB$2:$AI$1082,7,FALSE)),VLOOKUP((ROW($H89)-ROW($H$1)+1)*10+COLUMN(L$1)-COLUMN($H$1)+1,Beräkningshjälp!$AB$2:$AI$1082,7,FALSE),IF(K90&gt;0,-VLOOKUP((ROW($H89)-ROW($H$1)+1)*10+COLUMN(L$1)-COLUMN($H$1)+1,Beräkningshjälp!$AB$2:$AI$1082,3,FALSE),0)),0),"")</f>
        <v/>
      </c>
      <c r="M90" s="2" t="str">
        <f>IF($E90&lt;&gt;"",IF(AND($E90&lt;&gt;"EJFANGST",$G90&lt;&gt;"INGA"),IF(ISNUMBER(VLOOKUP((ROW($H89)-ROW($H$1)+1)*10+COLUMN(M$1)-COLUMN($H$1)+1,Beräkningshjälp!$AB$2:$AI$1082,7,FALSE)),VLOOKUP((ROW($H89)-ROW($H$1)+1)*10+COLUMN(M$1)-COLUMN($H$1)+1,Beräkningshjälp!$AB$2:$AI$1082,7,FALSE),IF(L90&gt;0,-VLOOKUP((ROW($H89)-ROW($H$1)+1)*10+COLUMN(M$1)-COLUMN($H$1)+1,Beräkningshjälp!$AB$2:$AI$1082,3,FALSE),0)),0),"")</f>
        <v/>
      </c>
      <c r="N90" s="2" t="str">
        <f>IF($E90&lt;&gt;"",IF(AND($E90&lt;&gt;"EJFANGST",$G90&lt;&gt;"INGA"),IF(ISNUMBER(VLOOKUP((ROW($H89)-ROW($H$1)+1)*10+COLUMN(N$1)-COLUMN($H$1)+1,Beräkningshjälp!$AB$2:$AI$1082,7,FALSE)),VLOOKUP((ROW($H89)-ROW($H$1)+1)*10+COLUMN(N$1)-COLUMN($H$1)+1,Beräkningshjälp!$AB$2:$AI$1082,7,FALSE),IF(M90&gt;0,-VLOOKUP((ROW($H89)-ROW($H$1)+1)*10+COLUMN(N$1)-COLUMN($H$1)+1,Beräkningshjälp!$AB$2:$AI$1082,3,FALSE),0)),0),"")</f>
        <v/>
      </c>
      <c r="O90" s="2" t="str">
        <f>IF($E90&lt;&gt;"",IF(AND($E90&lt;&gt;"EJFANGST",$G90&lt;&gt;"INGA"),IF(ISNUMBER(VLOOKUP((ROW($H89)-ROW($H$1)+1)*10+COLUMN(O$1)-COLUMN($H$1)+1,Beräkningshjälp!$AB$2:$AI$1082,7,FALSE)),VLOOKUP((ROW($H89)-ROW($H$1)+1)*10+COLUMN(O$1)-COLUMN($H$1)+1,Beräkningshjälp!$AB$2:$AI$1082,7,FALSE),IF(N90&gt;0,-VLOOKUP((ROW($H89)-ROW($H$1)+1)*10+COLUMN(O$1)-COLUMN($H$1)+1,Beräkningshjälp!$AB$2:$AI$1082,3,FALSE),0)),0),"")</f>
        <v/>
      </c>
      <c r="P90" s="2" t="str">
        <f>IF($E90&lt;&gt;"",IF(AND($E90&lt;&gt;"EJFANGST",$G90&lt;&gt;"INGA"),IF(ISNUMBER(VLOOKUP((ROW($H89)-ROW($H$1)+1)*10+COLUMN(P$1)-COLUMN($H$1)+1,Beräkningshjälp!$AB$2:$AI$1082,7,FALSE)),VLOOKUP((ROW($H89)-ROW($H$1)+1)*10+COLUMN(P$1)-COLUMN($H$1)+1,Beräkningshjälp!$AB$2:$AI$1082,7,FALSE),IF(O90&gt;0,-VLOOKUP((ROW($H89)-ROW($H$1)+1)*10+COLUMN(P$1)-COLUMN($H$1)+1,Beräkningshjälp!$AB$2:$AI$1082,3,FALSE),0)),0),"")</f>
        <v/>
      </c>
      <c r="Q90" s="2" t="str">
        <f>IF($E90&lt;&gt;"",IF(AND($E90&lt;&gt;"EJFANGST",$G90&lt;&gt;"INGA"),IF(ISNUMBER(VLOOKUP((ROW($H89)-ROW($H$1)+1)*10+COLUMN(Q$1)-COLUMN($H$1)+1,Beräkningshjälp!$AB$2:$AI$1082,7,FALSE)),VLOOKUP((ROW($H89)-ROW($H$1)+1)*10+COLUMN(Q$1)-COLUMN($H$1)+1,Beräkningshjälp!$AB$2:$AI$1082,7,FALSE),IF(P90&gt;0,-VLOOKUP((ROW($H89)-ROW($H$1)+1)*10+COLUMN(Q$1)-COLUMN($H$1)+1,Beräkningshjälp!$AB$2:$AI$1082,3,FALSE),0)),0),"")</f>
        <v/>
      </c>
      <c r="R90" s="116" t="str">
        <f>IF(COUNTIF(H90:Q90,"&gt;0")&gt;0,IF($E90&lt;&gt;"",IF(AND($E90&lt;&gt;"EJFANGST",$G90&lt;&gt;"INGA"),IF(ISNUMBER(VLOOKUP((ROW($H89)-ROW($H$1)+1)*10+COLUMN(H$1)-COLUMN($H$1)+1,Beräkningshjälp!$AB$2:$AI$1082,7,FALSE)),VLOOKUP((ROW($H89)-ROW($H$1)+1)*10+COLUMN(H$1)-COLUMN($H$1)+1,Beräkningshjälp!$AB$2:$AI$1082,3,FALSE),""),""),""),"")</f>
        <v/>
      </c>
    </row>
    <row r="91" spans="1:18" x14ac:dyDescent="0.25">
      <c r="A91" s="2" t="str">
        <f t="shared" si="1"/>
        <v/>
      </c>
      <c r="B91" s="2" t="str">
        <f>IF(D91&lt;&gt;"",'DATA TILL SLU'!$J$3,"")</f>
        <v/>
      </c>
      <c r="C91" s="2" t="str">
        <f>IF(D91&lt;&gt;"",'DATA TILL SLU'!$K$3,"")</f>
        <v/>
      </c>
      <c r="D91" s="2" t="str">
        <f>IF(OR(ROW(D90)-ROW(D$1)+1&lt;=MAX(Beräkningshjälp!$F$37:$F$54),ROW(D90)-ROW(D$1)+1&lt;=ROUND((MAX(Beräkningshjälp!AB$3:AB$1082)+4)/10,0)-1),D$2,"")</f>
        <v/>
      </c>
      <c r="E91" s="136" t="str">
        <f>IF(D91&lt;&gt;"",IF(COUNTIF(Beräkningshjälp!F$38:F$49,"&gt;0")&gt;=ROW(E90)-ROW(E$1)+1,VLOOKUP((VLOOKUP(ROW(E90)-ROW(E$1)+1,Beräkningshjälp!$F$37:$H$54,IF(ISNUMBER(VLOOKUP(ROW(E90)-ROW(E$1)+1,Beräkningshjälp!$F$37:$H$54,2,FALSE)),2,3),FALSE)),Beräkningshjälp!$M$2:$O$60,3,FALSE),VLOOKUP((ROW(E90)-ROW(E$1)+1)*10+1,Beräkningshjälp!$AB$2:$AF$1082,5,FALSE)),"")</f>
        <v/>
      </c>
      <c r="F91" s="2" t="str">
        <f>IF(D91&lt;&gt;"",Beräkningshjälp!$AH$1,"")</f>
        <v/>
      </c>
      <c r="G91" s="136" t="str">
        <f>IF(D91&lt;&gt;"",IF(COUNTIF(Beräkningshjälp!F$38:F$49,"&gt;0")&gt;=ROW(E90)-ROW(E$1)+1,"INGA",IF(COUNTIF(Beräkningshjälp!$G$38:$H$49,VLOOKUP(E91,Beräkningshjälp!$AF$2:$AG$1082,2,FALSE))&gt;0,"ENSTAK",IF(VLOOKUP(VLOOKUP(E91,Beräkningshjälp!O$2:U$60,7,FALSE),Artuppgifter!$I$11:$P$22,7,FALSE)=TRUE,"MINMAX","ALLA"))),"")</f>
        <v/>
      </c>
      <c r="H91" s="2" t="str">
        <f>IF($E91&lt;&gt;"",IF(AND($E91&lt;&gt;"EJFANGST",$G91&lt;&gt;"INGA"),IF(ISNUMBER(VLOOKUP((ROW($H90)-ROW($H$1)+1)*10+COLUMN(H$1)-COLUMN($H$1)+1,Beräkningshjälp!$AB$2:$AI$1082,7,FALSE)),VLOOKUP((ROW($H90)-ROW($H$1)+1)*10+COLUMN(H$1)-COLUMN($H$1)+1,Beräkningshjälp!$AB$2:$AI$1082,7,FALSE),IF(E91&gt;0,-VLOOKUP((ROW($H90)-ROW($H$1)+1)*10+COLUMN(H$1)-COLUMN($H$1)+1,Beräkningshjälp!$AB$2:$AI$1082,3,FALSE),0)),0),"")</f>
        <v/>
      </c>
      <c r="I91" s="2" t="str">
        <f>IF($E91&lt;&gt;"",IF(AND($E91&lt;&gt;"EJFANGST",$G91&lt;&gt;"INGA"),IF(ISNUMBER(VLOOKUP((ROW($H90)-ROW($H$1)+1)*10+COLUMN(I$1)-COLUMN($H$1)+1,Beräkningshjälp!$AB$2:$AI$1082,7,FALSE)),VLOOKUP((ROW($H90)-ROW($H$1)+1)*10+COLUMN(I$1)-COLUMN($H$1)+1,Beräkningshjälp!$AB$2:$AI$1082,7,FALSE),IF(H91&gt;0,-VLOOKUP((ROW($H90)-ROW($H$1)+1)*10+COLUMN(I$1)-COLUMN($H$1)+1,Beräkningshjälp!$AB$2:$AI$1082,3,FALSE),0)),0),"")</f>
        <v/>
      </c>
      <c r="J91" s="2" t="str">
        <f>IF($E91&lt;&gt;"",IF(AND($E91&lt;&gt;"EJFANGST",$G91&lt;&gt;"INGA"),IF(ISNUMBER(VLOOKUP((ROW($H90)-ROW($H$1)+1)*10+COLUMN(J$1)-COLUMN($H$1)+1,Beräkningshjälp!$AB$2:$AI$1082,7,FALSE)),VLOOKUP((ROW($H90)-ROW($H$1)+1)*10+COLUMN(J$1)-COLUMN($H$1)+1,Beräkningshjälp!$AB$2:$AI$1082,7,FALSE),IF(I91&gt;0,-VLOOKUP((ROW($H90)-ROW($H$1)+1)*10+COLUMN(J$1)-COLUMN($H$1)+1,Beräkningshjälp!$AB$2:$AI$1082,3,FALSE),0)),0),"")</f>
        <v/>
      </c>
      <c r="K91" s="2" t="str">
        <f>IF($E91&lt;&gt;"",IF(AND($E91&lt;&gt;"EJFANGST",$G91&lt;&gt;"INGA"),IF(ISNUMBER(VLOOKUP((ROW($H90)-ROW($H$1)+1)*10+COLUMN(K$1)-COLUMN($H$1)+1,Beräkningshjälp!$AB$2:$AI$1082,7,FALSE)),VLOOKUP((ROW($H90)-ROW($H$1)+1)*10+COLUMN(K$1)-COLUMN($H$1)+1,Beräkningshjälp!$AB$2:$AI$1082,7,FALSE),IF(J91&gt;0,-VLOOKUP((ROW($H90)-ROW($H$1)+1)*10+COLUMN(K$1)-COLUMN($H$1)+1,Beräkningshjälp!$AB$2:$AI$1082,3,FALSE),0)),0),"")</f>
        <v/>
      </c>
      <c r="L91" s="2" t="str">
        <f>IF($E91&lt;&gt;"",IF(AND($E91&lt;&gt;"EJFANGST",$G91&lt;&gt;"INGA"),IF(ISNUMBER(VLOOKUP((ROW($H90)-ROW($H$1)+1)*10+COLUMN(L$1)-COLUMN($H$1)+1,Beräkningshjälp!$AB$2:$AI$1082,7,FALSE)),VLOOKUP((ROW($H90)-ROW($H$1)+1)*10+COLUMN(L$1)-COLUMN($H$1)+1,Beräkningshjälp!$AB$2:$AI$1082,7,FALSE),IF(K91&gt;0,-VLOOKUP((ROW($H90)-ROW($H$1)+1)*10+COLUMN(L$1)-COLUMN($H$1)+1,Beräkningshjälp!$AB$2:$AI$1082,3,FALSE),0)),0),"")</f>
        <v/>
      </c>
      <c r="M91" s="2" t="str">
        <f>IF($E91&lt;&gt;"",IF(AND($E91&lt;&gt;"EJFANGST",$G91&lt;&gt;"INGA"),IF(ISNUMBER(VLOOKUP((ROW($H90)-ROW($H$1)+1)*10+COLUMN(M$1)-COLUMN($H$1)+1,Beräkningshjälp!$AB$2:$AI$1082,7,FALSE)),VLOOKUP((ROW($H90)-ROW($H$1)+1)*10+COLUMN(M$1)-COLUMN($H$1)+1,Beräkningshjälp!$AB$2:$AI$1082,7,FALSE),IF(L91&gt;0,-VLOOKUP((ROW($H90)-ROW($H$1)+1)*10+COLUMN(M$1)-COLUMN($H$1)+1,Beräkningshjälp!$AB$2:$AI$1082,3,FALSE),0)),0),"")</f>
        <v/>
      </c>
      <c r="N91" s="2" t="str">
        <f>IF($E91&lt;&gt;"",IF(AND($E91&lt;&gt;"EJFANGST",$G91&lt;&gt;"INGA"),IF(ISNUMBER(VLOOKUP((ROW($H90)-ROW($H$1)+1)*10+COLUMN(N$1)-COLUMN($H$1)+1,Beräkningshjälp!$AB$2:$AI$1082,7,FALSE)),VLOOKUP((ROW($H90)-ROW($H$1)+1)*10+COLUMN(N$1)-COLUMN($H$1)+1,Beräkningshjälp!$AB$2:$AI$1082,7,FALSE),IF(M91&gt;0,-VLOOKUP((ROW($H90)-ROW($H$1)+1)*10+COLUMN(N$1)-COLUMN($H$1)+1,Beräkningshjälp!$AB$2:$AI$1082,3,FALSE),0)),0),"")</f>
        <v/>
      </c>
      <c r="O91" s="2" t="str">
        <f>IF($E91&lt;&gt;"",IF(AND($E91&lt;&gt;"EJFANGST",$G91&lt;&gt;"INGA"),IF(ISNUMBER(VLOOKUP((ROW($H90)-ROW($H$1)+1)*10+COLUMN(O$1)-COLUMN($H$1)+1,Beräkningshjälp!$AB$2:$AI$1082,7,FALSE)),VLOOKUP((ROW($H90)-ROW($H$1)+1)*10+COLUMN(O$1)-COLUMN($H$1)+1,Beräkningshjälp!$AB$2:$AI$1082,7,FALSE),IF(N91&gt;0,-VLOOKUP((ROW($H90)-ROW($H$1)+1)*10+COLUMN(O$1)-COLUMN($H$1)+1,Beräkningshjälp!$AB$2:$AI$1082,3,FALSE),0)),0),"")</f>
        <v/>
      </c>
      <c r="P91" s="2" t="str">
        <f>IF($E91&lt;&gt;"",IF(AND($E91&lt;&gt;"EJFANGST",$G91&lt;&gt;"INGA"),IF(ISNUMBER(VLOOKUP((ROW($H90)-ROW($H$1)+1)*10+COLUMN(P$1)-COLUMN($H$1)+1,Beräkningshjälp!$AB$2:$AI$1082,7,FALSE)),VLOOKUP((ROW($H90)-ROW($H$1)+1)*10+COLUMN(P$1)-COLUMN($H$1)+1,Beräkningshjälp!$AB$2:$AI$1082,7,FALSE),IF(O91&gt;0,-VLOOKUP((ROW($H90)-ROW($H$1)+1)*10+COLUMN(P$1)-COLUMN($H$1)+1,Beräkningshjälp!$AB$2:$AI$1082,3,FALSE),0)),0),"")</f>
        <v/>
      </c>
      <c r="Q91" s="2" t="str">
        <f>IF($E91&lt;&gt;"",IF(AND($E91&lt;&gt;"EJFANGST",$G91&lt;&gt;"INGA"),IF(ISNUMBER(VLOOKUP((ROW($H90)-ROW($H$1)+1)*10+COLUMN(Q$1)-COLUMN($H$1)+1,Beräkningshjälp!$AB$2:$AI$1082,7,FALSE)),VLOOKUP((ROW($H90)-ROW($H$1)+1)*10+COLUMN(Q$1)-COLUMN($H$1)+1,Beräkningshjälp!$AB$2:$AI$1082,7,FALSE),IF(P91&gt;0,-VLOOKUP((ROW($H90)-ROW($H$1)+1)*10+COLUMN(Q$1)-COLUMN($H$1)+1,Beräkningshjälp!$AB$2:$AI$1082,3,FALSE),0)),0),"")</f>
        <v/>
      </c>
      <c r="R91" s="116" t="str">
        <f>IF(COUNTIF(H91:Q91,"&gt;0")&gt;0,IF($E91&lt;&gt;"",IF(AND($E91&lt;&gt;"EJFANGST",$G91&lt;&gt;"INGA"),IF(ISNUMBER(VLOOKUP((ROW($H90)-ROW($H$1)+1)*10+COLUMN(H$1)-COLUMN($H$1)+1,Beräkningshjälp!$AB$2:$AI$1082,7,FALSE)),VLOOKUP((ROW($H90)-ROW($H$1)+1)*10+COLUMN(H$1)-COLUMN($H$1)+1,Beräkningshjälp!$AB$2:$AI$1082,3,FALSE),""),""),""),"")</f>
        <v/>
      </c>
    </row>
    <row r="92" spans="1:18" x14ac:dyDescent="0.25">
      <c r="A92" s="2" t="str">
        <f t="shared" si="1"/>
        <v/>
      </c>
      <c r="B92" s="2" t="str">
        <f>IF(D92&lt;&gt;"",'DATA TILL SLU'!$J$3,"")</f>
        <v/>
      </c>
      <c r="C92" s="2" t="str">
        <f>IF(D92&lt;&gt;"",'DATA TILL SLU'!$K$3,"")</f>
        <v/>
      </c>
      <c r="D92" s="2" t="str">
        <f>IF(OR(ROW(D91)-ROW(D$1)+1&lt;=MAX(Beräkningshjälp!$F$37:$F$54),ROW(D91)-ROW(D$1)+1&lt;=ROUND((MAX(Beräkningshjälp!AB$3:AB$1082)+4)/10,0)-1),D$2,"")</f>
        <v/>
      </c>
      <c r="E92" s="136" t="str">
        <f>IF(D92&lt;&gt;"",IF(COUNTIF(Beräkningshjälp!F$38:F$49,"&gt;0")&gt;=ROW(E91)-ROW(E$1)+1,VLOOKUP((VLOOKUP(ROW(E91)-ROW(E$1)+1,Beräkningshjälp!$F$37:$H$54,IF(ISNUMBER(VLOOKUP(ROW(E91)-ROW(E$1)+1,Beräkningshjälp!$F$37:$H$54,2,FALSE)),2,3),FALSE)),Beräkningshjälp!$M$2:$O$60,3,FALSE),VLOOKUP((ROW(E91)-ROW(E$1)+1)*10+1,Beräkningshjälp!$AB$2:$AF$1082,5,FALSE)),"")</f>
        <v/>
      </c>
      <c r="F92" s="2" t="str">
        <f>IF(D92&lt;&gt;"",Beräkningshjälp!$AH$1,"")</f>
        <v/>
      </c>
      <c r="G92" s="136" t="str">
        <f>IF(D92&lt;&gt;"",IF(COUNTIF(Beräkningshjälp!F$38:F$49,"&gt;0")&gt;=ROW(E91)-ROW(E$1)+1,"INGA",IF(COUNTIF(Beräkningshjälp!$G$38:$H$49,VLOOKUP(E92,Beräkningshjälp!$AF$2:$AG$1082,2,FALSE))&gt;0,"ENSTAK",IF(VLOOKUP(VLOOKUP(E92,Beräkningshjälp!O$2:U$60,7,FALSE),Artuppgifter!$I$11:$P$22,7,FALSE)=TRUE,"MINMAX","ALLA"))),"")</f>
        <v/>
      </c>
      <c r="H92" s="2" t="str">
        <f>IF($E92&lt;&gt;"",IF(AND($E92&lt;&gt;"EJFANGST",$G92&lt;&gt;"INGA"),IF(ISNUMBER(VLOOKUP((ROW($H91)-ROW($H$1)+1)*10+COLUMN(H$1)-COLUMN($H$1)+1,Beräkningshjälp!$AB$2:$AI$1082,7,FALSE)),VLOOKUP((ROW($H91)-ROW($H$1)+1)*10+COLUMN(H$1)-COLUMN($H$1)+1,Beräkningshjälp!$AB$2:$AI$1082,7,FALSE),IF(E92&gt;0,-VLOOKUP((ROW($H91)-ROW($H$1)+1)*10+COLUMN(H$1)-COLUMN($H$1)+1,Beräkningshjälp!$AB$2:$AI$1082,3,FALSE),0)),0),"")</f>
        <v/>
      </c>
      <c r="I92" s="2" t="str">
        <f>IF($E92&lt;&gt;"",IF(AND($E92&lt;&gt;"EJFANGST",$G92&lt;&gt;"INGA"),IF(ISNUMBER(VLOOKUP((ROW($H91)-ROW($H$1)+1)*10+COLUMN(I$1)-COLUMN($H$1)+1,Beräkningshjälp!$AB$2:$AI$1082,7,FALSE)),VLOOKUP((ROW($H91)-ROW($H$1)+1)*10+COLUMN(I$1)-COLUMN($H$1)+1,Beräkningshjälp!$AB$2:$AI$1082,7,FALSE),IF(H92&gt;0,-VLOOKUP((ROW($H91)-ROW($H$1)+1)*10+COLUMN(I$1)-COLUMN($H$1)+1,Beräkningshjälp!$AB$2:$AI$1082,3,FALSE),0)),0),"")</f>
        <v/>
      </c>
      <c r="J92" s="2" t="str">
        <f>IF($E92&lt;&gt;"",IF(AND($E92&lt;&gt;"EJFANGST",$G92&lt;&gt;"INGA"),IF(ISNUMBER(VLOOKUP((ROW($H91)-ROW($H$1)+1)*10+COLUMN(J$1)-COLUMN($H$1)+1,Beräkningshjälp!$AB$2:$AI$1082,7,FALSE)),VLOOKUP((ROW($H91)-ROW($H$1)+1)*10+COLUMN(J$1)-COLUMN($H$1)+1,Beräkningshjälp!$AB$2:$AI$1082,7,FALSE),IF(I92&gt;0,-VLOOKUP((ROW($H91)-ROW($H$1)+1)*10+COLUMN(J$1)-COLUMN($H$1)+1,Beräkningshjälp!$AB$2:$AI$1082,3,FALSE),0)),0),"")</f>
        <v/>
      </c>
      <c r="K92" s="2" t="str">
        <f>IF($E92&lt;&gt;"",IF(AND($E92&lt;&gt;"EJFANGST",$G92&lt;&gt;"INGA"),IF(ISNUMBER(VLOOKUP((ROW($H91)-ROW($H$1)+1)*10+COLUMN(K$1)-COLUMN($H$1)+1,Beräkningshjälp!$AB$2:$AI$1082,7,FALSE)),VLOOKUP((ROW($H91)-ROW($H$1)+1)*10+COLUMN(K$1)-COLUMN($H$1)+1,Beräkningshjälp!$AB$2:$AI$1082,7,FALSE),IF(J92&gt;0,-VLOOKUP((ROW($H91)-ROW($H$1)+1)*10+COLUMN(K$1)-COLUMN($H$1)+1,Beräkningshjälp!$AB$2:$AI$1082,3,FALSE),0)),0),"")</f>
        <v/>
      </c>
      <c r="L92" s="2" t="str">
        <f>IF($E92&lt;&gt;"",IF(AND($E92&lt;&gt;"EJFANGST",$G92&lt;&gt;"INGA"),IF(ISNUMBER(VLOOKUP((ROW($H91)-ROW($H$1)+1)*10+COLUMN(L$1)-COLUMN($H$1)+1,Beräkningshjälp!$AB$2:$AI$1082,7,FALSE)),VLOOKUP((ROW($H91)-ROW($H$1)+1)*10+COLUMN(L$1)-COLUMN($H$1)+1,Beräkningshjälp!$AB$2:$AI$1082,7,FALSE),IF(K92&gt;0,-VLOOKUP((ROW($H91)-ROW($H$1)+1)*10+COLUMN(L$1)-COLUMN($H$1)+1,Beräkningshjälp!$AB$2:$AI$1082,3,FALSE),0)),0),"")</f>
        <v/>
      </c>
      <c r="M92" s="2" t="str">
        <f>IF($E92&lt;&gt;"",IF(AND($E92&lt;&gt;"EJFANGST",$G92&lt;&gt;"INGA"),IF(ISNUMBER(VLOOKUP((ROW($H91)-ROW($H$1)+1)*10+COLUMN(M$1)-COLUMN($H$1)+1,Beräkningshjälp!$AB$2:$AI$1082,7,FALSE)),VLOOKUP((ROW($H91)-ROW($H$1)+1)*10+COLUMN(M$1)-COLUMN($H$1)+1,Beräkningshjälp!$AB$2:$AI$1082,7,FALSE),IF(L92&gt;0,-VLOOKUP((ROW($H91)-ROW($H$1)+1)*10+COLUMN(M$1)-COLUMN($H$1)+1,Beräkningshjälp!$AB$2:$AI$1082,3,FALSE),0)),0),"")</f>
        <v/>
      </c>
      <c r="N92" s="2" t="str">
        <f>IF($E92&lt;&gt;"",IF(AND($E92&lt;&gt;"EJFANGST",$G92&lt;&gt;"INGA"),IF(ISNUMBER(VLOOKUP((ROW($H91)-ROW($H$1)+1)*10+COLUMN(N$1)-COLUMN($H$1)+1,Beräkningshjälp!$AB$2:$AI$1082,7,FALSE)),VLOOKUP((ROW($H91)-ROW($H$1)+1)*10+COLUMN(N$1)-COLUMN($H$1)+1,Beräkningshjälp!$AB$2:$AI$1082,7,FALSE),IF(M92&gt;0,-VLOOKUP((ROW($H91)-ROW($H$1)+1)*10+COLUMN(N$1)-COLUMN($H$1)+1,Beräkningshjälp!$AB$2:$AI$1082,3,FALSE),0)),0),"")</f>
        <v/>
      </c>
      <c r="O92" s="2" t="str">
        <f>IF($E92&lt;&gt;"",IF(AND($E92&lt;&gt;"EJFANGST",$G92&lt;&gt;"INGA"),IF(ISNUMBER(VLOOKUP((ROW($H91)-ROW($H$1)+1)*10+COLUMN(O$1)-COLUMN($H$1)+1,Beräkningshjälp!$AB$2:$AI$1082,7,FALSE)),VLOOKUP((ROW($H91)-ROW($H$1)+1)*10+COLUMN(O$1)-COLUMN($H$1)+1,Beräkningshjälp!$AB$2:$AI$1082,7,FALSE),IF(N92&gt;0,-VLOOKUP((ROW($H91)-ROW($H$1)+1)*10+COLUMN(O$1)-COLUMN($H$1)+1,Beräkningshjälp!$AB$2:$AI$1082,3,FALSE),0)),0),"")</f>
        <v/>
      </c>
      <c r="P92" s="2" t="str">
        <f>IF($E92&lt;&gt;"",IF(AND($E92&lt;&gt;"EJFANGST",$G92&lt;&gt;"INGA"),IF(ISNUMBER(VLOOKUP((ROW($H91)-ROW($H$1)+1)*10+COLUMN(P$1)-COLUMN($H$1)+1,Beräkningshjälp!$AB$2:$AI$1082,7,FALSE)),VLOOKUP((ROW($H91)-ROW($H$1)+1)*10+COLUMN(P$1)-COLUMN($H$1)+1,Beräkningshjälp!$AB$2:$AI$1082,7,FALSE),IF(O92&gt;0,-VLOOKUP((ROW($H91)-ROW($H$1)+1)*10+COLUMN(P$1)-COLUMN($H$1)+1,Beräkningshjälp!$AB$2:$AI$1082,3,FALSE),0)),0),"")</f>
        <v/>
      </c>
      <c r="Q92" s="2" t="str">
        <f>IF($E92&lt;&gt;"",IF(AND($E92&lt;&gt;"EJFANGST",$G92&lt;&gt;"INGA"),IF(ISNUMBER(VLOOKUP((ROW($H91)-ROW($H$1)+1)*10+COLUMN(Q$1)-COLUMN($H$1)+1,Beräkningshjälp!$AB$2:$AI$1082,7,FALSE)),VLOOKUP((ROW($H91)-ROW($H$1)+1)*10+COLUMN(Q$1)-COLUMN($H$1)+1,Beräkningshjälp!$AB$2:$AI$1082,7,FALSE),IF(P92&gt;0,-VLOOKUP((ROW($H91)-ROW($H$1)+1)*10+COLUMN(Q$1)-COLUMN($H$1)+1,Beräkningshjälp!$AB$2:$AI$1082,3,FALSE),0)),0),"")</f>
        <v/>
      </c>
      <c r="R92" s="116" t="str">
        <f>IF(COUNTIF(H92:Q92,"&gt;0")&gt;0,IF($E92&lt;&gt;"",IF(AND($E92&lt;&gt;"EJFANGST",$G92&lt;&gt;"INGA"),IF(ISNUMBER(VLOOKUP((ROW($H91)-ROW($H$1)+1)*10+COLUMN(H$1)-COLUMN($H$1)+1,Beräkningshjälp!$AB$2:$AI$1082,7,FALSE)),VLOOKUP((ROW($H91)-ROW($H$1)+1)*10+COLUMN(H$1)-COLUMN($H$1)+1,Beräkningshjälp!$AB$2:$AI$1082,3,FALSE),""),""),""),"")</f>
        <v/>
      </c>
    </row>
    <row r="93" spans="1:18" x14ac:dyDescent="0.25">
      <c r="A93" s="2" t="str">
        <f t="shared" si="1"/>
        <v/>
      </c>
      <c r="B93" s="2" t="str">
        <f>IF(D93&lt;&gt;"",'DATA TILL SLU'!$J$3,"")</f>
        <v/>
      </c>
      <c r="C93" s="2" t="str">
        <f>IF(D93&lt;&gt;"",'DATA TILL SLU'!$K$3,"")</f>
        <v/>
      </c>
      <c r="D93" s="2" t="str">
        <f>IF(OR(ROW(D92)-ROW(D$1)+1&lt;=MAX(Beräkningshjälp!$F$37:$F$54),ROW(D92)-ROW(D$1)+1&lt;=ROUND((MAX(Beräkningshjälp!AB$3:AB$1082)+4)/10,0)-1),D$2,"")</f>
        <v/>
      </c>
      <c r="E93" s="136" t="str">
        <f>IF(D93&lt;&gt;"",IF(COUNTIF(Beräkningshjälp!F$38:F$49,"&gt;0")&gt;=ROW(E92)-ROW(E$1)+1,VLOOKUP((VLOOKUP(ROW(E92)-ROW(E$1)+1,Beräkningshjälp!$F$37:$H$54,IF(ISNUMBER(VLOOKUP(ROW(E92)-ROW(E$1)+1,Beräkningshjälp!$F$37:$H$54,2,FALSE)),2,3),FALSE)),Beräkningshjälp!$M$2:$O$60,3,FALSE),VLOOKUP((ROW(E92)-ROW(E$1)+1)*10+1,Beräkningshjälp!$AB$2:$AF$1082,5,FALSE)),"")</f>
        <v/>
      </c>
      <c r="F93" s="2" t="str">
        <f>IF(D93&lt;&gt;"",Beräkningshjälp!$AH$1,"")</f>
        <v/>
      </c>
      <c r="G93" s="136" t="str">
        <f>IF(D93&lt;&gt;"",IF(COUNTIF(Beräkningshjälp!F$38:F$49,"&gt;0")&gt;=ROW(E92)-ROW(E$1)+1,"INGA",IF(COUNTIF(Beräkningshjälp!$G$38:$H$49,VLOOKUP(E93,Beräkningshjälp!$AF$2:$AG$1082,2,FALSE))&gt;0,"ENSTAK",IF(VLOOKUP(VLOOKUP(E93,Beräkningshjälp!O$2:U$60,7,FALSE),Artuppgifter!$I$11:$P$22,7,FALSE)=TRUE,"MINMAX","ALLA"))),"")</f>
        <v/>
      </c>
      <c r="H93" s="2" t="str">
        <f>IF($E93&lt;&gt;"",IF(AND($E93&lt;&gt;"EJFANGST",$G93&lt;&gt;"INGA"),IF(ISNUMBER(VLOOKUP((ROW($H92)-ROW($H$1)+1)*10+COLUMN(H$1)-COLUMN($H$1)+1,Beräkningshjälp!$AB$2:$AI$1082,7,FALSE)),VLOOKUP((ROW($H92)-ROW($H$1)+1)*10+COLUMN(H$1)-COLUMN($H$1)+1,Beräkningshjälp!$AB$2:$AI$1082,7,FALSE),IF(E93&gt;0,-VLOOKUP((ROW($H92)-ROW($H$1)+1)*10+COLUMN(H$1)-COLUMN($H$1)+1,Beräkningshjälp!$AB$2:$AI$1082,3,FALSE),0)),0),"")</f>
        <v/>
      </c>
      <c r="I93" s="2" t="str">
        <f>IF($E93&lt;&gt;"",IF(AND($E93&lt;&gt;"EJFANGST",$G93&lt;&gt;"INGA"),IF(ISNUMBER(VLOOKUP((ROW($H92)-ROW($H$1)+1)*10+COLUMN(I$1)-COLUMN($H$1)+1,Beräkningshjälp!$AB$2:$AI$1082,7,FALSE)),VLOOKUP((ROW($H92)-ROW($H$1)+1)*10+COLUMN(I$1)-COLUMN($H$1)+1,Beräkningshjälp!$AB$2:$AI$1082,7,FALSE),IF(H93&gt;0,-VLOOKUP((ROW($H92)-ROW($H$1)+1)*10+COLUMN(I$1)-COLUMN($H$1)+1,Beräkningshjälp!$AB$2:$AI$1082,3,FALSE),0)),0),"")</f>
        <v/>
      </c>
      <c r="J93" s="2" t="str">
        <f>IF($E93&lt;&gt;"",IF(AND($E93&lt;&gt;"EJFANGST",$G93&lt;&gt;"INGA"),IF(ISNUMBER(VLOOKUP((ROW($H92)-ROW($H$1)+1)*10+COLUMN(J$1)-COLUMN($H$1)+1,Beräkningshjälp!$AB$2:$AI$1082,7,FALSE)),VLOOKUP((ROW($H92)-ROW($H$1)+1)*10+COLUMN(J$1)-COLUMN($H$1)+1,Beräkningshjälp!$AB$2:$AI$1082,7,FALSE),IF(I93&gt;0,-VLOOKUP((ROW($H92)-ROW($H$1)+1)*10+COLUMN(J$1)-COLUMN($H$1)+1,Beräkningshjälp!$AB$2:$AI$1082,3,FALSE),0)),0),"")</f>
        <v/>
      </c>
      <c r="K93" s="2" t="str">
        <f>IF($E93&lt;&gt;"",IF(AND($E93&lt;&gt;"EJFANGST",$G93&lt;&gt;"INGA"),IF(ISNUMBER(VLOOKUP((ROW($H92)-ROW($H$1)+1)*10+COLUMN(K$1)-COLUMN($H$1)+1,Beräkningshjälp!$AB$2:$AI$1082,7,FALSE)),VLOOKUP((ROW($H92)-ROW($H$1)+1)*10+COLUMN(K$1)-COLUMN($H$1)+1,Beräkningshjälp!$AB$2:$AI$1082,7,FALSE),IF(J93&gt;0,-VLOOKUP((ROW($H92)-ROW($H$1)+1)*10+COLUMN(K$1)-COLUMN($H$1)+1,Beräkningshjälp!$AB$2:$AI$1082,3,FALSE),0)),0),"")</f>
        <v/>
      </c>
      <c r="L93" s="2" t="str">
        <f>IF($E93&lt;&gt;"",IF(AND($E93&lt;&gt;"EJFANGST",$G93&lt;&gt;"INGA"),IF(ISNUMBER(VLOOKUP((ROW($H92)-ROW($H$1)+1)*10+COLUMN(L$1)-COLUMN($H$1)+1,Beräkningshjälp!$AB$2:$AI$1082,7,FALSE)),VLOOKUP((ROW($H92)-ROW($H$1)+1)*10+COLUMN(L$1)-COLUMN($H$1)+1,Beräkningshjälp!$AB$2:$AI$1082,7,FALSE),IF(K93&gt;0,-VLOOKUP((ROW($H92)-ROW($H$1)+1)*10+COLUMN(L$1)-COLUMN($H$1)+1,Beräkningshjälp!$AB$2:$AI$1082,3,FALSE),0)),0),"")</f>
        <v/>
      </c>
      <c r="M93" s="2" t="str">
        <f>IF($E93&lt;&gt;"",IF(AND($E93&lt;&gt;"EJFANGST",$G93&lt;&gt;"INGA"),IF(ISNUMBER(VLOOKUP((ROW($H92)-ROW($H$1)+1)*10+COLUMN(M$1)-COLUMN($H$1)+1,Beräkningshjälp!$AB$2:$AI$1082,7,FALSE)),VLOOKUP((ROW($H92)-ROW($H$1)+1)*10+COLUMN(M$1)-COLUMN($H$1)+1,Beräkningshjälp!$AB$2:$AI$1082,7,FALSE),IF(L93&gt;0,-VLOOKUP((ROW($H92)-ROW($H$1)+1)*10+COLUMN(M$1)-COLUMN($H$1)+1,Beräkningshjälp!$AB$2:$AI$1082,3,FALSE),0)),0),"")</f>
        <v/>
      </c>
      <c r="N93" s="2" t="str">
        <f>IF($E93&lt;&gt;"",IF(AND($E93&lt;&gt;"EJFANGST",$G93&lt;&gt;"INGA"),IF(ISNUMBER(VLOOKUP((ROW($H92)-ROW($H$1)+1)*10+COLUMN(N$1)-COLUMN($H$1)+1,Beräkningshjälp!$AB$2:$AI$1082,7,FALSE)),VLOOKUP((ROW($H92)-ROW($H$1)+1)*10+COLUMN(N$1)-COLUMN($H$1)+1,Beräkningshjälp!$AB$2:$AI$1082,7,FALSE),IF(M93&gt;0,-VLOOKUP((ROW($H92)-ROW($H$1)+1)*10+COLUMN(N$1)-COLUMN($H$1)+1,Beräkningshjälp!$AB$2:$AI$1082,3,FALSE),0)),0),"")</f>
        <v/>
      </c>
      <c r="O93" s="2" t="str">
        <f>IF($E93&lt;&gt;"",IF(AND($E93&lt;&gt;"EJFANGST",$G93&lt;&gt;"INGA"),IF(ISNUMBER(VLOOKUP((ROW($H92)-ROW($H$1)+1)*10+COLUMN(O$1)-COLUMN($H$1)+1,Beräkningshjälp!$AB$2:$AI$1082,7,FALSE)),VLOOKUP((ROW($H92)-ROW($H$1)+1)*10+COLUMN(O$1)-COLUMN($H$1)+1,Beräkningshjälp!$AB$2:$AI$1082,7,FALSE),IF(N93&gt;0,-VLOOKUP((ROW($H92)-ROW($H$1)+1)*10+COLUMN(O$1)-COLUMN($H$1)+1,Beräkningshjälp!$AB$2:$AI$1082,3,FALSE),0)),0),"")</f>
        <v/>
      </c>
      <c r="P93" s="2" t="str">
        <f>IF($E93&lt;&gt;"",IF(AND($E93&lt;&gt;"EJFANGST",$G93&lt;&gt;"INGA"),IF(ISNUMBER(VLOOKUP((ROW($H92)-ROW($H$1)+1)*10+COLUMN(P$1)-COLUMN($H$1)+1,Beräkningshjälp!$AB$2:$AI$1082,7,FALSE)),VLOOKUP((ROW($H92)-ROW($H$1)+1)*10+COLUMN(P$1)-COLUMN($H$1)+1,Beräkningshjälp!$AB$2:$AI$1082,7,FALSE),IF(O93&gt;0,-VLOOKUP((ROW($H92)-ROW($H$1)+1)*10+COLUMN(P$1)-COLUMN($H$1)+1,Beräkningshjälp!$AB$2:$AI$1082,3,FALSE),0)),0),"")</f>
        <v/>
      </c>
      <c r="Q93" s="2" t="str">
        <f>IF($E93&lt;&gt;"",IF(AND($E93&lt;&gt;"EJFANGST",$G93&lt;&gt;"INGA"),IF(ISNUMBER(VLOOKUP((ROW($H92)-ROW($H$1)+1)*10+COLUMN(Q$1)-COLUMN($H$1)+1,Beräkningshjälp!$AB$2:$AI$1082,7,FALSE)),VLOOKUP((ROW($H92)-ROW($H$1)+1)*10+COLUMN(Q$1)-COLUMN($H$1)+1,Beräkningshjälp!$AB$2:$AI$1082,7,FALSE),IF(P93&gt;0,-VLOOKUP((ROW($H92)-ROW($H$1)+1)*10+COLUMN(Q$1)-COLUMN($H$1)+1,Beräkningshjälp!$AB$2:$AI$1082,3,FALSE),0)),0),"")</f>
        <v/>
      </c>
      <c r="R93" s="116" t="str">
        <f>IF(COUNTIF(H93:Q93,"&gt;0")&gt;0,IF($E93&lt;&gt;"",IF(AND($E93&lt;&gt;"EJFANGST",$G93&lt;&gt;"INGA"),IF(ISNUMBER(VLOOKUP((ROW($H92)-ROW($H$1)+1)*10+COLUMN(H$1)-COLUMN($H$1)+1,Beräkningshjälp!$AB$2:$AI$1082,7,FALSE)),VLOOKUP((ROW($H92)-ROW($H$1)+1)*10+COLUMN(H$1)-COLUMN($H$1)+1,Beräkningshjälp!$AB$2:$AI$1082,3,FALSE),""),""),""),"")</f>
        <v/>
      </c>
    </row>
    <row r="94" spans="1:18" x14ac:dyDescent="0.25">
      <c r="A94" s="2" t="str">
        <f t="shared" si="1"/>
        <v/>
      </c>
      <c r="B94" s="2" t="str">
        <f>IF(D94&lt;&gt;"",'DATA TILL SLU'!$J$3,"")</f>
        <v/>
      </c>
      <c r="C94" s="2" t="str">
        <f>IF(D94&lt;&gt;"",'DATA TILL SLU'!$K$3,"")</f>
        <v/>
      </c>
      <c r="D94" s="2" t="str">
        <f>IF(OR(ROW(D93)-ROW(D$1)+1&lt;=MAX(Beräkningshjälp!$F$37:$F$54),ROW(D93)-ROW(D$1)+1&lt;=ROUND((MAX(Beräkningshjälp!AB$3:AB$1082)+4)/10,0)-1),D$2,"")</f>
        <v/>
      </c>
      <c r="E94" s="136" t="str">
        <f>IF(D94&lt;&gt;"",IF(COUNTIF(Beräkningshjälp!F$38:F$49,"&gt;0")&gt;=ROW(E93)-ROW(E$1)+1,VLOOKUP((VLOOKUP(ROW(E93)-ROW(E$1)+1,Beräkningshjälp!$F$37:$H$54,IF(ISNUMBER(VLOOKUP(ROW(E93)-ROW(E$1)+1,Beräkningshjälp!$F$37:$H$54,2,FALSE)),2,3),FALSE)),Beräkningshjälp!$M$2:$O$60,3,FALSE),VLOOKUP((ROW(E93)-ROW(E$1)+1)*10+1,Beräkningshjälp!$AB$2:$AF$1082,5,FALSE)),"")</f>
        <v/>
      </c>
      <c r="F94" s="2" t="str">
        <f>IF(D94&lt;&gt;"",Beräkningshjälp!$AH$1,"")</f>
        <v/>
      </c>
      <c r="G94" s="136" t="str">
        <f>IF(D94&lt;&gt;"",IF(COUNTIF(Beräkningshjälp!F$38:F$49,"&gt;0")&gt;=ROW(E93)-ROW(E$1)+1,"INGA",IF(COUNTIF(Beräkningshjälp!$G$38:$H$49,VLOOKUP(E94,Beräkningshjälp!$AF$2:$AG$1082,2,FALSE))&gt;0,"ENSTAK",IF(VLOOKUP(VLOOKUP(E94,Beräkningshjälp!O$2:U$60,7,FALSE),Artuppgifter!$I$11:$P$22,7,FALSE)=TRUE,"MINMAX","ALLA"))),"")</f>
        <v/>
      </c>
      <c r="H94" s="2" t="str">
        <f>IF($E94&lt;&gt;"",IF(AND($E94&lt;&gt;"EJFANGST",$G94&lt;&gt;"INGA"),IF(ISNUMBER(VLOOKUP((ROW($H93)-ROW($H$1)+1)*10+COLUMN(H$1)-COLUMN($H$1)+1,Beräkningshjälp!$AB$2:$AI$1082,7,FALSE)),VLOOKUP((ROW($H93)-ROW($H$1)+1)*10+COLUMN(H$1)-COLUMN($H$1)+1,Beräkningshjälp!$AB$2:$AI$1082,7,FALSE),IF(E94&gt;0,-VLOOKUP((ROW($H93)-ROW($H$1)+1)*10+COLUMN(H$1)-COLUMN($H$1)+1,Beräkningshjälp!$AB$2:$AI$1082,3,FALSE),0)),0),"")</f>
        <v/>
      </c>
      <c r="I94" s="2" t="str">
        <f>IF($E94&lt;&gt;"",IF(AND($E94&lt;&gt;"EJFANGST",$G94&lt;&gt;"INGA"),IF(ISNUMBER(VLOOKUP((ROW($H93)-ROW($H$1)+1)*10+COLUMN(I$1)-COLUMN($H$1)+1,Beräkningshjälp!$AB$2:$AI$1082,7,FALSE)),VLOOKUP((ROW($H93)-ROW($H$1)+1)*10+COLUMN(I$1)-COLUMN($H$1)+1,Beräkningshjälp!$AB$2:$AI$1082,7,FALSE),IF(H94&gt;0,-VLOOKUP((ROW($H93)-ROW($H$1)+1)*10+COLUMN(I$1)-COLUMN($H$1)+1,Beräkningshjälp!$AB$2:$AI$1082,3,FALSE),0)),0),"")</f>
        <v/>
      </c>
      <c r="J94" s="2" t="str">
        <f>IF($E94&lt;&gt;"",IF(AND($E94&lt;&gt;"EJFANGST",$G94&lt;&gt;"INGA"),IF(ISNUMBER(VLOOKUP((ROW($H93)-ROW($H$1)+1)*10+COLUMN(J$1)-COLUMN($H$1)+1,Beräkningshjälp!$AB$2:$AI$1082,7,FALSE)),VLOOKUP((ROW($H93)-ROW($H$1)+1)*10+COLUMN(J$1)-COLUMN($H$1)+1,Beräkningshjälp!$AB$2:$AI$1082,7,FALSE),IF(I94&gt;0,-VLOOKUP((ROW($H93)-ROW($H$1)+1)*10+COLUMN(J$1)-COLUMN($H$1)+1,Beräkningshjälp!$AB$2:$AI$1082,3,FALSE),0)),0),"")</f>
        <v/>
      </c>
      <c r="K94" s="2" t="str">
        <f>IF($E94&lt;&gt;"",IF(AND($E94&lt;&gt;"EJFANGST",$G94&lt;&gt;"INGA"),IF(ISNUMBER(VLOOKUP((ROW($H93)-ROW($H$1)+1)*10+COLUMN(K$1)-COLUMN($H$1)+1,Beräkningshjälp!$AB$2:$AI$1082,7,FALSE)),VLOOKUP((ROW($H93)-ROW($H$1)+1)*10+COLUMN(K$1)-COLUMN($H$1)+1,Beräkningshjälp!$AB$2:$AI$1082,7,FALSE),IF(J94&gt;0,-VLOOKUP((ROW($H93)-ROW($H$1)+1)*10+COLUMN(K$1)-COLUMN($H$1)+1,Beräkningshjälp!$AB$2:$AI$1082,3,FALSE),0)),0),"")</f>
        <v/>
      </c>
      <c r="L94" s="2" t="str">
        <f>IF($E94&lt;&gt;"",IF(AND($E94&lt;&gt;"EJFANGST",$G94&lt;&gt;"INGA"),IF(ISNUMBER(VLOOKUP((ROW($H93)-ROW($H$1)+1)*10+COLUMN(L$1)-COLUMN($H$1)+1,Beräkningshjälp!$AB$2:$AI$1082,7,FALSE)),VLOOKUP((ROW($H93)-ROW($H$1)+1)*10+COLUMN(L$1)-COLUMN($H$1)+1,Beräkningshjälp!$AB$2:$AI$1082,7,FALSE),IF(K94&gt;0,-VLOOKUP((ROW($H93)-ROW($H$1)+1)*10+COLUMN(L$1)-COLUMN($H$1)+1,Beräkningshjälp!$AB$2:$AI$1082,3,FALSE),0)),0),"")</f>
        <v/>
      </c>
      <c r="M94" s="2" t="str">
        <f>IF($E94&lt;&gt;"",IF(AND($E94&lt;&gt;"EJFANGST",$G94&lt;&gt;"INGA"),IF(ISNUMBER(VLOOKUP((ROW($H93)-ROW($H$1)+1)*10+COLUMN(M$1)-COLUMN($H$1)+1,Beräkningshjälp!$AB$2:$AI$1082,7,FALSE)),VLOOKUP((ROW($H93)-ROW($H$1)+1)*10+COLUMN(M$1)-COLUMN($H$1)+1,Beräkningshjälp!$AB$2:$AI$1082,7,FALSE),IF(L94&gt;0,-VLOOKUP((ROW($H93)-ROW($H$1)+1)*10+COLUMN(M$1)-COLUMN($H$1)+1,Beräkningshjälp!$AB$2:$AI$1082,3,FALSE),0)),0),"")</f>
        <v/>
      </c>
      <c r="N94" s="2" t="str">
        <f>IF($E94&lt;&gt;"",IF(AND($E94&lt;&gt;"EJFANGST",$G94&lt;&gt;"INGA"),IF(ISNUMBER(VLOOKUP((ROW($H93)-ROW($H$1)+1)*10+COLUMN(N$1)-COLUMN($H$1)+1,Beräkningshjälp!$AB$2:$AI$1082,7,FALSE)),VLOOKUP((ROW($H93)-ROW($H$1)+1)*10+COLUMN(N$1)-COLUMN($H$1)+1,Beräkningshjälp!$AB$2:$AI$1082,7,FALSE),IF(M94&gt;0,-VLOOKUP((ROW($H93)-ROW($H$1)+1)*10+COLUMN(N$1)-COLUMN($H$1)+1,Beräkningshjälp!$AB$2:$AI$1082,3,FALSE),0)),0),"")</f>
        <v/>
      </c>
      <c r="O94" s="2" t="str">
        <f>IF($E94&lt;&gt;"",IF(AND($E94&lt;&gt;"EJFANGST",$G94&lt;&gt;"INGA"),IF(ISNUMBER(VLOOKUP((ROW($H93)-ROW($H$1)+1)*10+COLUMN(O$1)-COLUMN($H$1)+1,Beräkningshjälp!$AB$2:$AI$1082,7,FALSE)),VLOOKUP((ROW($H93)-ROW($H$1)+1)*10+COLUMN(O$1)-COLUMN($H$1)+1,Beräkningshjälp!$AB$2:$AI$1082,7,FALSE),IF(N94&gt;0,-VLOOKUP((ROW($H93)-ROW($H$1)+1)*10+COLUMN(O$1)-COLUMN($H$1)+1,Beräkningshjälp!$AB$2:$AI$1082,3,FALSE),0)),0),"")</f>
        <v/>
      </c>
      <c r="P94" s="2" t="str">
        <f>IF($E94&lt;&gt;"",IF(AND($E94&lt;&gt;"EJFANGST",$G94&lt;&gt;"INGA"),IF(ISNUMBER(VLOOKUP((ROW($H93)-ROW($H$1)+1)*10+COLUMN(P$1)-COLUMN($H$1)+1,Beräkningshjälp!$AB$2:$AI$1082,7,FALSE)),VLOOKUP((ROW($H93)-ROW($H$1)+1)*10+COLUMN(P$1)-COLUMN($H$1)+1,Beräkningshjälp!$AB$2:$AI$1082,7,FALSE),IF(O94&gt;0,-VLOOKUP((ROW($H93)-ROW($H$1)+1)*10+COLUMN(P$1)-COLUMN($H$1)+1,Beräkningshjälp!$AB$2:$AI$1082,3,FALSE),0)),0),"")</f>
        <v/>
      </c>
      <c r="Q94" s="2" t="str">
        <f>IF($E94&lt;&gt;"",IF(AND($E94&lt;&gt;"EJFANGST",$G94&lt;&gt;"INGA"),IF(ISNUMBER(VLOOKUP((ROW($H93)-ROW($H$1)+1)*10+COLUMN(Q$1)-COLUMN($H$1)+1,Beräkningshjälp!$AB$2:$AI$1082,7,FALSE)),VLOOKUP((ROW($H93)-ROW($H$1)+1)*10+COLUMN(Q$1)-COLUMN($H$1)+1,Beräkningshjälp!$AB$2:$AI$1082,7,FALSE),IF(P94&gt;0,-VLOOKUP((ROW($H93)-ROW($H$1)+1)*10+COLUMN(Q$1)-COLUMN($H$1)+1,Beräkningshjälp!$AB$2:$AI$1082,3,FALSE),0)),0),"")</f>
        <v/>
      </c>
      <c r="R94" s="116" t="str">
        <f>IF(COUNTIF(H94:Q94,"&gt;0")&gt;0,IF($E94&lt;&gt;"",IF(AND($E94&lt;&gt;"EJFANGST",$G94&lt;&gt;"INGA"),IF(ISNUMBER(VLOOKUP((ROW($H93)-ROW($H$1)+1)*10+COLUMN(H$1)-COLUMN($H$1)+1,Beräkningshjälp!$AB$2:$AI$1082,7,FALSE)),VLOOKUP((ROW($H93)-ROW($H$1)+1)*10+COLUMN(H$1)-COLUMN($H$1)+1,Beräkningshjälp!$AB$2:$AI$1082,3,FALSE),""),""),""),"")</f>
        <v/>
      </c>
    </row>
    <row r="95" spans="1:18" x14ac:dyDescent="0.25">
      <c r="A95" s="2" t="str">
        <f t="shared" si="1"/>
        <v/>
      </c>
      <c r="B95" s="2" t="str">
        <f>IF(D95&lt;&gt;"",'DATA TILL SLU'!$J$3,"")</f>
        <v/>
      </c>
      <c r="C95" s="2" t="str">
        <f>IF(D95&lt;&gt;"",'DATA TILL SLU'!$K$3,"")</f>
        <v/>
      </c>
      <c r="D95" s="2" t="str">
        <f>IF(OR(ROW(D94)-ROW(D$1)+1&lt;=MAX(Beräkningshjälp!$F$37:$F$54),ROW(D94)-ROW(D$1)+1&lt;=ROUND((MAX(Beräkningshjälp!AB$3:AB$1082)+4)/10,0)-1),D$2,"")</f>
        <v/>
      </c>
      <c r="E95" s="136" t="str">
        <f>IF(D95&lt;&gt;"",IF(COUNTIF(Beräkningshjälp!F$38:F$49,"&gt;0")&gt;=ROW(E94)-ROW(E$1)+1,VLOOKUP((VLOOKUP(ROW(E94)-ROW(E$1)+1,Beräkningshjälp!$F$37:$H$54,IF(ISNUMBER(VLOOKUP(ROW(E94)-ROW(E$1)+1,Beräkningshjälp!$F$37:$H$54,2,FALSE)),2,3),FALSE)),Beräkningshjälp!$M$2:$O$60,3,FALSE),VLOOKUP((ROW(E94)-ROW(E$1)+1)*10+1,Beräkningshjälp!$AB$2:$AF$1082,5,FALSE)),"")</f>
        <v/>
      </c>
      <c r="F95" s="2" t="str">
        <f>IF(D95&lt;&gt;"",Beräkningshjälp!$AH$1,"")</f>
        <v/>
      </c>
      <c r="G95" s="136" t="str">
        <f>IF(D95&lt;&gt;"",IF(COUNTIF(Beräkningshjälp!F$38:F$49,"&gt;0")&gt;=ROW(E94)-ROW(E$1)+1,"INGA",IF(COUNTIF(Beräkningshjälp!$G$38:$H$49,VLOOKUP(E95,Beräkningshjälp!$AF$2:$AG$1082,2,FALSE))&gt;0,"ENSTAK",IF(VLOOKUP(VLOOKUP(E95,Beräkningshjälp!O$2:U$60,7,FALSE),Artuppgifter!$I$11:$P$22,7,FALSE)=TRUE,"MINMAX","ALLA"))),"")</f>
        <v/>
      </c>
      <c r="H95" s="2" t="str">
        <f>IF($E95&lt;&gt;"",IF(AND($E95&lt;&gt;"EJFANGST",$G95&lt;&gt;"INGA"),IF(ISNUMBER(VLOOKUP((ROW($H94)-ROW($H$1)+1)*10+COLUMN(H$1)-COLUMN($H$1)+1,Beräkningshjälp!$AB$2:$AI$1082,7,FALSE)),VLOOKUP((ROW($H94)-ROW($H$1)+1)*10+COLUMN(H$1)-COLUMN($H$1)+1,Beräkningshjälp!$AB$2:$AI$1082,7,FALSE),IF(E95&gt;0,-VLOOKUP((ROW($H94)-ROW($H$1)+1)*10+COLUMN(H$1)-COLUMN($H$1)+1,Beräkningshjälp!$AB$2:$AI$1082,3,FALSE),0)),0),"")</f>
        <v/>
      </c>
      <c r="I95" s="2" t="str">
        <f>IF($E95&lt;&gt;"",IF(AND($E95&lt;&gt;"EJFANGST",$G95&lt;&gt;"INGA"),IF(ISNUMBER(VLOOKUP((ROW($H94)-ROW($H$1)+1)*10+COLUMN(I$1)-COLUMN($H$1)+1,Beräkningshjälp!$AB$2:$AI$1082,7,FALSE)),VLOOKUP((ROW($H94)-ROW($H$1)+1)*10+COLUMN(I$1)-COLUMN($H$1)+1,Beräkningshjälp!$AB$2:$AI$1082,7,FALSE),IF(H95&gt;0,-VLOOKUP((ROW($H94)-ROW($H$1)+1)*10+COLUMN(I$1)-COLUMN($H$1)+1,Beräkningshjälp!$AB$2:$AI$1082,3,FALSE),0)),0),"")</f>
        <v/>
      </c>
      <c r="J95" s="2" t="str">
        <f>IF($E95&lt;&gt;"",IF(AND($E95&lt;&gt;"EJFANGST",$G95&lt;&gt;"INGA"),IF(ISNUMBER(VLOOKUP((ROW($H94)-ROW($H$1)+1)*10+COLUMN(J$1)-COLUMN($H$1)+1,Beräkningshjälp!$AB$2:$AI$1082,7,FALSE)),VLOOKUP((ROW($H94)-ROW($H$1)+1)*10+COLUMN(J$1)-COLUMN($H$1)+1,Beräkningshjälp!$AB$2:$AI$1082,7,FALSE),IF(I95&gt;0,-VLOOKUP((ROW($H94)-ROW($H$1)+1)*10+COLUMN(J$1)-COLUMN($H$1)+1,Beräkningshjälp!$AB$2:$AI$1082,3,FALSE),0)),0),"")</f>
        <v/>
      </c>
      <c r="K95" s="2" t="str">
        <f>IF($E95&lt;&gt;"",IF(AND($E95&lt;&gt;"EJFANGST",$G95&lt;&gt;"INGA"),IF(ISNUMBER(VLOOKUP((ROW($H94)-ROW($H$1)+1)*10+COLUMN(K$1)-COLUMN($H$1)+1,Beräkningshjälp!$AB$2:$AI$1082,7,FALSE)),VLOOKUP((ROW($H94)-ROW($H$1)+1)*10+COLUMN(K$1)-COLUMN($H$1)+1,Beräkningshjälp!$AB$2:$AI$1082,7,FALSE),IF(J95&gt;0,-VLOOKUP((ROW($H94)-ROW($H$1)+1)*10+COLUMN(K$1)-COLUMN($H$1)+1,Beräkningshjälp!$AB$2:$AI$1082,3,FALSE),0)),0),"")</f>
        <v/>
      </c>
      <c r="L95" s="2" t="str">
        <f>IF($E95&lt;&gt;"",IF(AND($E95&lt;&gt;"EJFANGST",$G95&lt;&gt;"INGA"),IF(ISNUMBER(VLOOKUP((ROW($H94)-ROW($H$1)+1)*10+COLUMN(L$1)-COLUMN($H$1)+1,Beräkningshjälp!$AB$2:$AI$1082,7,FALSE)),VLOOKUP((ROW($H94)-ROW($H$1)+1)*10+COLUMN(L$1)-COLUMN($H$1)+1,Beräkningshjälp!$AB$2:$AI$1082,7,FALSE),IF(K95&gt;0,-VLOOKUP((ROW($H94)-ROW($H$1)+1)*10+COLUMN(L$1)-COLUMN($H$1)+1,Beräkningshjälp!$AB$2:$AI$1082,3,FALSE),0)),0),"")</f>
        <v/>
      </c>
      <c r="M95" s="2" t="str">
        <f>IF($E95&lt;&gt;"",IF(AND($E95&lt;&gt;"EJFANGST",$G95&lt;&gt;"INGA"),IF(ISNUMBER(VLOOKUP((ROW($H94)-ROW($H$1)+1)*10+COLUMN(M$1)-COLUMN($H$1)+1,Beräkningshjälp!$AB$2:$AI$1082,7,FALSE)),VLOOKUP((ROW($H94)-ROW($H$1)+1)*10+COLUMN(M$1)-COLUMN($H$1)+1,Beräkningshjälp!$AB$2:$AI$1082,7,FALSE),IF(L95&gt;0,-VLOOKUP((ROW($H94)-ROW($H$1)+1)*10+COLUMN(M$1)-COLUMN($H$1)+1,Beräkningshjälp!$AB$2:$AI$1082,3,FALSE),0)),0),"")</f>
        <v/>
      </c>
      <c r="N95" s="2" t="str">
        <f>IF($E95&lt;&gt;"",IF(AND($E95&lt;&gt;"EJFANGST",$G95&lt;&gt;"INGA"),IF(ISNUMBER(VLOOKUP((ROW($H94)-ROW($H$1)+1)*10+COLUMN(N$1)-COLUMN($H$1)+1,Beräkningshjälp!$AB$2:$AI$1082,7,FALSE)),VLOOKUP((ROW($H94)-ROW($H$1)+1)*10+COLUMN(N$1)-COLUMN($H$1)+1,Beräkningshjälp!$AB$2:$AI$1082,7,FALSE),IF(M95&gt;0,-VLOOKUP((ROW($H94)-ROW($H$1)+1)*10+COLUMN(N$1)-COLUMN($H$1)+1,Beräkningshjälp!$AB$2:$AI$1082,3,FALSE),0)),0),"")</f>
        <v/>
      </c>
      <c r="O95" s="2" t="str">
        <f>IF($E95&lt;&gt;"",IF(AND($E95&lt;&gt;"EJFANGST",$G95&lt;&gt;"INGA"),IF(ISNUMBER(VLOOKUP((ROW($H94)-ROW($H$1)+1)*10+COLUMN(O$1)-COLUMN($H$1)+1,Beräkningshjälp!$AB$2:$AI$1082,7,FALSE)),VLOOKUP((ROW($H94)-ROW($H$1)+1)*10+COLUMN(O$1)-COLUMN($H$1)+1,Beräkningshjälp!$AB$2:$AI$1082,7,FALSE),IF(N95&gt;0,-VLOOKUP((ROW($H94)-ROW($H$1)+1)*10+COLUMN(O$1)-COLUMN($H$1)+1,Beräkningshjälp!$AB$2:$AI$1082,3,FALSE),0)),0),"")</f>
        <v/>
      </c>
      <c r="P95" s="2" t="str">
        <f>IF($E95&lt;&gt;"",IF(AND($E95&lt;&gt;"EJFANGST",$G95&lt;&gt;"INGA"),IF(ISNUMBER(VLOOKUP((ROW($H94)-ROW($H$1)+1)*10+COLUMN(P$1)-COLUMN($H$1)+1,Beräkningshjälp!$AB$2:$AI$1082,7,FALSE)),VLOOKUP((ROW($H94)-ROW($H$1)+1)*10+COLUMN(P$1)-COLUMN($H$1)+1,Beräkningshjälp!$AB$2:$AI$1082,7,FALSE),IF(O95&gt;0,-VLOOKUP((ROW($H94)-ROW($H$1)+1)*10+COLUMN(P$1)-COLUMN($H$1)+1,Beräkningshjälp!$AB$2:$AI$1082,3,FALSE),0)),0),"")</f>
        <v/>
      </c>
      <c r="Q95" s="2" t="str">
        <f>IF($E95&lt;&gt;"",IF(AND($E95&lt;&gt;"EJFANGST",$G95&lt;&gt;"INGA"),IF(ISNUMBER(VLOOKUP((ROW($H94)-ROW($H$1)+1)*10+COLUMN(Q$1)-COLUMN($H$1)+1,Beräkningshjälp!$AB$2:$AI$1082,7,FALSE)),VLOOKUP((ROW($H94)-ROW($H$1)+1)*10+COLUMN(Q$1)-COLUMN($H$1)+1,Beräkningshjälp!$AB$2:$AI$1082,7,FALSE),IF(P95&gt;0,-VLOOKUP((ROW($H94)-ROW($H$1)+1)*10+COLUMN(Q$1)-COLUMN($H$1)+1,Beräkningshjälp!$AB$2:$AI$1082,3,FALSE),0)),0),"")</f>
        <v/>
      </c>
      <c r="R95" s="116" t="str">
        <f>IF(COUNTIF(H95:Q95,"&gt;0")&gt;0,IF($E95&lt;&gt;"",IF(AND($E95&lt;&gt;"EJFANGST",$G95&lt;&gt;"INGA"),IF(ISNUMBER(VLOOKUP((ROW($H94)-ROW($H$1)+1)*10+COLUMN(H$1)-COLUMN($H$1)+1,Beräkningshjälp!$AB$2:$AI$1082,7,FALSE)),VLOOKUP((ROW($H94)-ROW($H$1)+1)*10+COLUMN(H$1)-COLUMN($H$1)+1,Beräkningshjälp!$AB$2:$AI$1082,3,FALSE),""),""),""),"")</f>
        <v/>
      </c>
    </row>
    <row r="96" spans="1:18" x14ac:dyDescent="0.25">
      <c r="A96" s="2" t="str">
        <f t="shared" si="1"/>
        <v/>
      </c>
      <c r="B96" s="2" t="str">
        <f>IF(D96&lt;&gt;"",'DATA TILL SLU'!$J$3,"")</f>
        <v/>
      </c>
      <c r="C96" s="2" t="str">
        <f>IF(D96&lt;&gt;"",'DATA TILL SLU'!$K$3,"")</f>
        <v/>
      </c>
      <c r="D96" s="2" t="str">
        <f>IF(OR(ROW(D95)-ROW(D$1)+1&lt;=MAX(Beräkningshjälp!$F$37:$F$54),ROW(D95)-ROW(D$1)+1&lt;=ROUND((MAX(Beräkningshjälp!AB$3:AB$1082)+4)/10,0)-1),D$2,"")</f>
        <v/>
      </c>
      <c r="E96" s="136" t="str">
        <f>IF(D96&lt;&gt;"",IF(COUNTIF(Beräkningshjälp!F$38:F$49,"&gt;0")&gt;=ROW(E95)-ROW(E$1)+1,VLOOKUP((VLOOKUP(ROW(E95)-ROW(E$1)+1,Beräkningshjälp!$F$37:$H$54,IF(ISNUMBER(VLOOKUP(ROW(E95)-ROW(E$1)+1,Beräkningshjälp!$F$37:$H$54,2,FALSE)),2,3),FALSE)),Beräkningshjälp!$M$2:$O$60,3,FALSE),VLOOKUP((ROW(E95)-ROW(E$1)+1)*10+1,Beräkningshjälp!$AB$2:$AF$1082,5,FALSE)),"")</f>
        <v/>
      </c>
      <c r="F96" s="2" t="str">
        <f>IF(D96&lt;&gt;"",Beräkningshjälp!$AH$1,"")</f>
        <v/>
      </c>
      <c r="G96" s="136" t="str">
        <f>IF(D96&lt;&gt;"",IF(COUNTIF(Beräkningshjälp!F$38:F$49,"&gt;0")&gt;=ROW(E95)-ROW(E$1)+1,"INGA",IF(COUNTIF(Beräkningshjälp!$G$38:$H$49,VLOOKUP(E96,Beräkningshjälp!$AF$2:$AG$1082,2,FALSE))&gt;0,"ENSTAK",IF(VLOOKUP(VLOOKUP(E96,Beräkningshjälp!O$2:U$60,7,FALSE),Artuppgifter!$I$11:$P$22,7,FALSE)=TRUE,"MINMAX","ALLA"))),"")</f>
        <v/>
      </c>
      <c r="H96" s="2" t="str">
        <f>IF($E96&lt;&gt;"",IF(AND($E96&lt;&gt;"EJFANGST",$G96&lt;&gt;"INGA"),IF(ISNUMBER(VLOOKUP((ROW($H95)-ROW($H$1)+1)*10+COLUMN(H$1)-COLUMN($H$1)+1,Beräkningshjälp!$AB$2:$AI$1082,7,FALSE)),VLOOKUP((ROW($H95)-ROW($H$1)+1)*10+COLUMN(H$1)-COLUMN($H$1)+1,Beräkningshjälp!$AB$2:$AI$1082,7,FALSE),IF(E96&gt;0,-VLOOKUP((ROW($H95)-ROW($H$1)+1)*10+COLUMN(H$1)-COLUMN($H$1)+1,Beräkningshjälp!$AB$2:$AI$1082,3,FALSE),0)),0),"")</f>
        <v/>
      </c>
      <c r="I96" s="2" t="str">
        <f>IF($E96&lt;&gt;"",IF(AND($E96&lt;&gt;"EJFANGST",$G96&lt;&gt;"INGA"),IF(ISNUMBER(VLOOKUP((ROW($H95)-ROW($H$1)+1)*10+COLUMN(I$1)-COLUMN($H$1)+1,Beräkningshjälp!$AB$2:$AI$1082,7,FALSE)),VLOOKUP((ROW($H95)-ROW($H$1)+1)*10+COLUMN(I$1)-COLUMN($H$1)+1,Beräkningshjälp!$AB$2:$AI$1082,7,FALSE),IF(H96&gt;0,-VLOOKUP((ROW($H95)-ROW($H$1)+1)*10+COLUMN(I$1)-COLUMN($H$1)+1,Beräkningshjälp!$AB$2:$AI$1082,3,FALSE),0)),0),"")</f>
        <v/>
      </c>
      <c r="J96" s="2" t="str">
        <f>IF($E96&lt;&gt;"",IF(AND($E96&lt;&gt;"EJFANGST",$G96&lt;&gt;"INGA"),IF(ISNUMBER(VLOOKUP((ROW($H95)-ROW($H$1)+1)*10+COLUMN(J$1)-COLUMN($H$1)+1,Beräkningshjälp!$AB$2:$AI$1082,7,FALSE)),VLOOKUP((ROW($H95)-ROW($H$1)+1)*10+COLUMN(J$1)-COLUMN($H$1)+1,Beräkningshjälp!$AB$2:$AI$1082,7,FALSE),IF(I96&gt;0,-VLOOKUP((ROW($H95)-ROW($H$1)+1)*10+COLUMN(J$1)-COLUMN($H$1)+1,Beräkningshjälp!$AB$2:$AI$1082,3,FALSE),0)),0),"")</f>
        <v/>
      </c>
      <c r="K96" s="2" t="str">
        <f>IF($E96&lt;&gt;"",IF(AND($E96&lt;&gt;"EJFANGST",$G96&lt;&gt;"INGA"),IF(ISNUMBER(VLOOKUP((ROW($H95)-ROW($H$1)+1)*10+COLUMN(K$1)-COLUMN($H$1)+1,Beräkningshjälp!$AB$2:$AI$1082,7,FALSE)),VLOOKUP((ROW($H95)-ROW($H$1)+1)*10+COLUMN(K$1)-COLUMN($H$1)+1,Beräkningshjälp!$AB$2:$AI$1082,7,FALSE),IF(J96&gt;0,-VLOOKUP((ROW($H95)-ROW($H$1)+1)*10+COLUMN(K$1)-COLUMN($H$1)+1,Beräkningshjälp!$AB$2:$AI$1082,3,FALSE),0)),0),"")</f>
        <v/>
      </c>
      <c r="L96" s="2" t="str">
        <f>IF($E96&lt;&gt;"",IF(AND($E96&lt;&gt;"EJFANGST",$G96&lt;&gt;"INGA"),IF(ISNUMBER(VLOOKUP((ROW($H95)-ROW($H$1)+1)*10+COLUMN(L$1)-COLUMN($H$1)+1,Beräkningshjälp!$AB$2:$AI$1082,7,FALSE)),VLOOKUP((ROW($H95)-ROW($H$1)+1)*10+COLUMN(L$1)-COLUMN($H$1)+1,Beräkningshjälp!$AB$2:$AI$1082,7,FALSE),IF(K96&gt;0,-VLOOKUP((ROW($H95)-ROW($H$1)+1)*10+COLUMN(L$1)-COLUMN($H$1)+1,Beräkningshjälp!$AB$2:$AI$1082,3,FALSE),0)),0),"")</f>
        <v/>
      </c>
      <c r="M96" s="2" t="str">
        <f>IF($E96&lt;&gt;"",IF(AND($E96&lt;&gt;"EJFANGST",$G96&lt;&gt;"INGA"),IF(ISNUMBER(VLOOKUP((ROW($H95)-ROW($H$1)+1)*10+COLUMN(M$1)-COLUMN($H$1)+1,Beräkningshjälp!$AB$2:$AI$1082,7,FALSE)),VLOOKUP((ROW($H95)-ROW($H$1)+1)*10+COLUMN(M$1)-COLUMN($H$1)+1,Beräkningshjälp!$AB$2:$AI$1082,7,FALSE),IF(L96&gt;0,-VLOOKUP((ROW($H95)-ROW($H$1)+1)*10+COLUMN(M$1)-COLUMN($H$1)+1,Beräkningshjälp!$AB$2:$AI$1082,3,FALSE),0)),0),"")</f>
        <v/>
      </c>
      <c r="N96" s="2" t="str">
        <f>IF($E96&lt;&gt;"",IF(AND($E96&lt;&gt;"EJFANGST",$G96&lt;&gt;"INGA"),IF(ISNUMBER(VLOOKUP((ROW($H95)-ROW($H$1)+1)*10+COLUMN(N$1)-COLUMN($H$1)+1,Beräkningshjälp!$AB$2:$AI$1082,7,FALSE)),VLOOKUP((ROW($H95)-ROW($H$1)+1)*10+COLUMN(N$1)-COLUMN($H$1)+1,Beräkningshjälp!$AB$2:$AI$1082,7,FALSE),IF(M96&gt;0,-VLOOKUP((ROW($H95)-ROW($H$1)+1)*10+COLUMN(N$1)-COLUMN($H$1)+1,Beräkningshjälp!$AB$2:$AI$1082,3,FALSE),0)),0),"")</f>
        <v/>
      </c>
      <c r="O96" s="2" t="str">
        <f>IF($E96&lt;&gt;"",IF(AND($E96&lt;&gt;"EJFANGST",$G96&lt;&gt;"INGA"),IF(ISNUMBER(VLOOKUP((ROW($H95)-ROW($H$1)+1)*10+COLUMN(O$1)-COLUMN($H$1)+1,Beräkningshjälp!$AB$2:$AI$1082,7,FALSE)),VLOOKUP((ROW($H95)-ROW($H$1)+1)*10+COLUMN(O$1)-COLUMN($H$1)+1,Beräkningshjälp!$AB$2:$AI$1082,7,FALSE),IF(N96&gt;0,-VLOOKUP((ROW($H95)-ROW($H$1)+1)*10+COLUMN(O$1)-COLUMN($H$1)+1,Beräkningshjälp!$AB$2:$AI$1082,3,FALSE),0)),0),"")</f>
        <v/>
      </c>
      <c r="P96" s="2" t="str">
        <f>IF($E96&lt;&gt;"",IF(AND($E96&lt;&gt;"EJFANGST",$G96&lt;&gt;"INGA"),IF(ISNUMBER(VLOOKUP((ROW($H95)-ROW($H$1)+1)*10+COLUMN(P$1)-COLUMN($H$1)+1,Beräkningshjälp!$AB$2:$AI$1082,7,FALSE)),VLOOKUP((ROW($H95)-ROW($H$1)+1)*10+COLUMN(P$1)-COLUMN($H$1)+1,Beräkningshjälp!$AB$2:$AI$1082,7,FALSE),IF(O96&gt;0,-VLOOKUP((ROW($H95)-ROW($H$1)+1)*10+COLUMN(P$1)-COLUMN($H$1)+1,Beräkningshjälp!$AB$2:$AI$1082,3,FALSE),0)),0),"")</f>
        <v/>
      </c>
      <c r="Q96" s="2" t="str">
        <f>IF($E96&lt;&gt;"",IF(AND($E96&lt;&gt;"EJFANGST",$G96&lt;&gt;"INGA"),IF(ISNUMBER(VLOOKUP((ROW($H95)-ROW($H$1)+1)*10+COLUMN(Q$1)-COLUMN($H$1)+1,Beräkningshjälp!$AB$2:$AI$1082,7,FALSE)),VLOOKUP((ROW($H95)-ROW($H$1)+1)*10+COLUMN(Q$1)-COLUMN($H$1)+1,Beräkningshjälp!$AB$2:$AI$1082,7,FALSE),IF(P96&gt;0,-VLOOKUP((ROW($H95)-ROW($H$1)+1)*10+COLUMN(Q$1)-COLUMN($H$1)+1,Beräkningshjälp!$AB$2:$AI$1082,3,FALSE),0)),0),"")</f>
        <v/>
      </c>
      <c r="R96" s="116" t="str">
        <f>IF(COUNTIF(H96:Q96,"&gt;0")&gt;0,IF($E96&lt;&gt;"",IF(AND($E96&lt;&gt;"EJFANGST",$G96&lt;&gt;"INGA"),IF(ISNUMBER(VLOOKUP((ROW($H95)-ROW($H$1)+1)*10+COLUMN(H$1)-COLUMN($H$1)+1,Beräkningshjälp!$AB$2:$AI$1082,7,FALSE)),VLOOKUP((ROW($H95)-ROW($H$1)+1)*10+COLUMN(H$1)-COLUMN($H$1)+1,Beräkningshjälp!$AB$2:$AI$1082,3,FALSE),""),""),""),"")</f>
        <v/>
      </c>
    </row>
    <row r="97" spans="1:18" x14ac:dyDescent="0.25">
      <c r="A97" s="2" t="str">
        <f t="shared" si="1"/>
        <v/>
      </c>
      <c r="B97" s="2" t="str">
        <f>IF(D97&lt;&gt;"",'DATA TILL SLU'!$J$3,"")</f>
        <v/>
      </c>
      <c r="C97" s="2" t="str">
        <f>IF(D97&lt;&gt;"",'DATA TILL SLU'!$K$3,"")</f>
        <v/>
      </c>
      <c r="D97" s="2" t="str">
        <f>IF(OR(ROW(D96)-ROW(D$1)+1&lt;=MAX(Beräkningshjälp!$F$37:$F$54),ROW(D96)-ROW(D$1)+1&lt;=ROUND((MAX(Beräkningshjälp!AB$3:AB$1082)+4)/10,0)-1),D$2,"")</f>
        <v/>
      </c>
      <c r="E97" s="136" t="str">
        <f>IF(D97&lt;&gt;"",IF(COUNTIF(Beräkningshjälp!F$38:F$49,"&gt;0")&gt;=ROW(E96)-ROW(E$1)+1,VLOOKUP((VLOOKUP(ROW(E96)-ROW(E$1)+1,Beräkningshjälp!$F$37:$H$54,IF(ISNUMBER(VLOOKUP(ROW(E96)-ROW(E$1)+1,Beräkningshjälp!$F$37:$H$54,2,FALSE)),2,3),FALSE)),Beräkningshjälp!$M$2:$O$60,3,FALSE),VLOOKUP((ROW(E96)-ROW(E$1)+1)*10+1,Beräkningshjälp!$AB$2:$AF$1082,5,FALSE)),"")</f>
        <v/>
      </c>
      <c r="F97" s="2" t="str">
        <f>IF(D97&lt;&gt;"",Beräkningshjälp!$AH$1,"")</f>
        <v/>
      </c>
      <c r="G97" s="136" t="str">
        <f>IF(D97&lt;&gt;"",IF(COUNTIF(Beräkningshjälp!F$38:F$49,"&gt;0")&gt;=ROW(E96)-ROW(E$1)+1,"INGA",IF(COUNTIF(Beräkningshjälp!$G$38:$H$49,VLOOKUP(E97,Beräkningshjälp!$AF$2:$AG$1082,2,FALSE))&gt;0,"ENSTAK",IF(VLOOKUP(VLOOKUP(E97,Beräkningshjälp!O$2:U$60,7,FALSE),Artuppgifter!$I$11:$P$22,7,FALSE)=TRUE,"MINMAX","ALLA"))),"")</f>
        <v/>
      </c>
      <c r="H97" s="2" t="str">
        <f>IF($E97&lt;&gt;"",IF(AND($E97&lt;&gt;"EJFANGST",$G97&lt;&gt;"INGA"),IF(ISNUMBER(VLOOKUP((ROW($H96)-ROW($H$1)+1)*10+COLUMN(H$1)-COLUMN($H$1)+1,Beräkningshjälp!$AB$2:$AI$1082,7,FALSE)),VLOOKUP((ROW($H96)-ROW($H$1)+1)*10+COLUMN(H$1)-COLUMN($H$1)+1,Beräkningshjälp!$AB$2:$AI$1082,7,FALSE),IF(E97&gt;0,-VLOOKUP((ROW($H96)-ROW($H$1)+1)*10+COLUMN(H$1)-COLUMN($H$1)+1,Beräkningshjälp!$AB$2:$AI$1082,3,FALSE),0)),0),"")</f>
        <v/>
      </c>
      <c r="I97" s="2" t="str">
        <f>IF($E97&lt;&gt;"",IF(AND($E97&lt;&gt;"EJFANGST",$G97&lt;&gt;"INGA"),IF(ISNUMBER(VLOOKUP((ROW($H96)-ROW($H$1)+1)*10+COLUMN(I$1)-COLUMN($H$1)+1,Beräkningshjälp!$AB$2:$AI$1082,7,FALSE)),VLOOKUP((ROW($H96)-ROW($H$1)+1)*10+COLUMN(I$1)-COLUMN($H$1)+1,Beräkningshjälp!$AB$2:$AI$1082,7,FALSE),IF(H97&gt;0,-VLOOKUP((ROW($H96)-ROW($H$1)+1)*10+COLUMN(I$1)-COLUMN($H$1)+1,Beräkningshjälp!$AB$2:$AI$1082,3,FALSE),0)),0),"")</f>
        <v/>
      </c>
      <c r="J97" s="2" t="str">
        <f>IF($E97&lt;&gt;"",IF(AND($E97&lt;&gt;"EJFANGST",$G97&lt;&gt;"INGA"),IF(ISNUMBER(VLOOKUP((ROW($H96)-ROW($H$1)+1)*10+COLUMN(J$1)-COLUMN($H$1)+1,Beräkningshjälp!$AB$2:$AI$1082,7,FALSE)),VLOOKUP((ROW($H96)-ROW($H$1)+1)*10+COLUMN(J$1)-COLUMN($H$1)+1,Beräkningshjälp!$AB$2:$AI$1082,7,FALSE),IF(I97&gt;0,-VLOOKUP((ROW($H96)-ROW($H$1)+1)*10+COLUMN(J$1)-COLUMN($H$1)+1,Beräkningshjälp!$AB$2:$AI$1082,3,FALSE),0)),0),"")</f>
        <v/>
      </c>
      <c r="K97" s="2" t="str">
        <f>IF($E97&lt;&gt;"",IF(AND($E97&lt;&gt;"EJFANGST",$G97&lt;&gt;"INGA"),IF(ISNUMBER(VLOOKUP((ROW($H96)-ROW($H$1)+1)*10+COLUMN(K$1)-COLUMN($H$1)+1,Beräkningshjälp!$AB$2:$AI$1082,7,FALSE)),VLOOKUP((ROW($H96)-ROW($H$1)+1)*10+COLUMN(K$1)-COLUMN($H$1)+1,Beräkningshjälp!$AB$2:$AI$1082,7,FALSE),IF(J97&gt;0,-VLOOKUP((ROW($H96)-ROW($H$1)+1)*10+COLUMN(K$1)-COLUMN($H$1)+1,Beräkningshjälp!$AB$2:$AI$1082,3,FALSE),0)),0),"")</f>
        <v/>
      </c>
      <c r="L97" s="2" t="str">
        <f>IF($E97&lt;&gt;"",IF(AND($E97&lt;&gt;"EJFANGST",$G97&lt;&gt;"INGA"),IF(ISNUMBER(VLOOKUP((ROW($H96)-ROW($H$1)+1)*10+COLUMN(L$1)-COLUMN($H$1)+1,Beräkningshjälp!$AB$2:$AI$1082,7,FALSE)),VLOOKUP((ROW($H96)-ROW($H$1)+1)*10+COLUMN(L$1)-COLUMN($H$1)+1,Beräkningshjälp!$AB$2:$AI$1082,7,FALSE),IF(K97&gt;0,-VLOOKUP((ROW($H96)-ROW($H$1)+1)*10+COLUMN(L$1)-COLUMN($H$1)+1,Beräkningshjälp!$AB$2:$AI$1082,3,FALSE),0)),0),"")</f>
        <v/>
      </c>
      <c r="M97" s="2" t="str">
        <f>IF($E97&lt;&gt;"",IF(AND($E97&lt;&gt;"EJFANGST",$G97&lt;&gt;"INGA"),IF(ISNUMBER(VLOOKUP((ROW($H96)-ROW($H$1)+1)*10+COLUMN(M$1)-COLUMN($H$1)+1,Beräkningshjälp!$AB$2:$AI$1082,7,FALSE)),VLOOKUP((ROW($H96)-ROW($H$1)+1)*10+COLUMN(M$1)-COLUMN($H$1)+1,Beräkningshjälp!$AB$2:$AI$1082,7,FALSE),IF(L97&gt;0,-VLOOKUP((ROW($H96)-ROW($H$1)+1)*10+COLUMN(M$1)-COLUMN($H$1)+1,Beräkningshjälp!$AB$2:$AI$1082,3,FALSE),0)),0),"")</f>
        <v/>
      </c>
      <c r="N97" s="2" t="str">
        <f>IF($E97&lt;&gt;"",IF(AND($E97&lt;&gt;"EJFANGST",$G97&lt;&gt;"INGA"),IF(ISNUMBER(VLOOKUP((ROW($H96)-ROW($H$1)+1)*10+COLUMN(N$1)-COLUMN($H$1)+1,Beräkningshjälp!$AB$2:$AI$1082,7,FALSE)),VLOOKUP((ROW($H96)-ROW($H$1)+1)*10+COLUMN(N$1)-COLUMN($H$1)+1,Beräkningshjälp!$AB$2:$AI$1082,7,FALSE),IF(M97&gt;0,-VLOOKUP((ROW($H96)-ROW($H$1)+1)*10+COLUMN(N$1)-COLUMN($H$1)+1,Beräkningshjälp!$AB$2:$AI$1082,3,FALSE),0)),0),"")</f>
        <v/>
      </c>
      <c r="O97" s="2" t="str">
        <f>IF($E97&lt;&gt;"",IF(AND($E97&lt;&gt;"EJFANGST",$G97&lt;&gt;"INGA"),IF(ISNUMBER(VLOOKUP((ROW($H96)-ROW($H$1)+1)*10+COLUMN(O$1)-COLUMN($H$1)+1,Beräkningshjälp!$AB$2:$AI$1082,7,FALSE)),VLOOKUP((ROW($H96)-ROW($H$1)+1)*10+COLUMN(O$1)-COLUMN($H$1)+1,Beräkningshjälp!$AB$2:$AI$1082,7,FALSE),IF(N97&gt;0,-VLOOKUP((ROW($H96)-ROW($H$1)+1)*10+COLUMN(O$1)-COLUMN($H$1)+1,Beräkningshjälp!$AB$2:$AI$1082,3,FALSE),0)),0),"")</f>
        <v/>
      </c>
      <c r="P97" s="2" t="str">
        <f>IF($E97&lt;&gt;"",IF(AND($E97&lt;&gt;"EJFANGST",$G97&lt;&gt;"INGA"),IF(ISNUMBER(VLOOKUP((ROW($H96)-ROW($H$1)+1)*10+COLUMN(P$1)-COLUMN($H$1)+1,Beräkningshjälp!$AB$2:$AI$1082,7,FALSE)),VLOOKUP((ROW($H96)-ROW($H$1)+1)*10+COLUMN(P$1)-COLUMN($H$1)+1,Beräkningshjälp!$AB$2:$AI$1082,7,FALSE),IF(O97&gt;0,-VLOOKUP((ROW($H96)-ROW($H$1)+1)*10+COLUMN(P$1)-COLUMN($H$1)+1,Beräkningshjälp!$AB$2:$AI$1082,3,FALSE),0)),0),"")</f>
        <v/>
      </c>
      <c r="Q97" s="2" t="str">
        <f>IF($E97&lt;&gt;"",IF(AND($E97&lt;&gt;"EJFANGST",$G97&lt;&gt;"INGA"),IF(ISNUMBER(VLOOKUP((ROW($H96)-ROW($H$1)+1)*10+COLUMN(Q$1)-COLUMN($H$1)+1,Beräkningshjälp!$AB$2:$AI$1082,7,FALSE)),VLOOKUP((ROW($H96)-ROW($H$1)+1)*10+COLUMN(Q$1)-COLUMN($H$1)+1,Beräkningshjälp!$AB$2:$AI$1082,7,FALSE),IF(P97&gt;0,-VLOOKUP((ROW($H96)-ROW($H$1)+1)*10+COLUMN(Q$1)-COLUMN($H$1)+1,Beräkningshjälp!$AB$2:$AI$1082,3,FALSE),0)),0),"")</f>
        <v/>
      </c>
      <c r="R97" s="116" t="str">
        <f>IF(COUNTIF(H97:Q97,"&gt;0")&gt;0,IF($E97&lt;&gt;"",IF(AND($E97&lt;&gt;"EJFANGST",$G97&lt;&gt;"INGA"),IF(ISNUMBER(VLOOKUP((ROW($H96)-ROW($H$1)+1)*10+COLUMN(H$1)-COLUMN($H$1)+1,Beräkningshjälp!$AB$2:$AI$1082,7,FALSE)),VLOOKUP((ROW($H96)-ROW($H$1)+1)*10+COLUMN(H$1)-COLUMN($H$1)+1,Beräkningshjälp!$AB$2:$AI$1082,3,FALSE),""),""),""),"")</f>
        <v/>
      </c>
    </row>
    <row r="98" spans="1:18" x14ac:dyDescent="0.25">
      <c r="A98" s="2" t="str">
        <f t="shared" si="1"/>
        <v/>
      </c>
      <c r="B98" s="2" t="str">
        <f>IF(D98&lt;&gt;"",'DATA TILL SLU'!$J$3,"")</f>
        <v/>
      </c>
      <c r="C98" s="2" t="str">
        <f>IF(D98&lt;&gt;"",'DATA TILL SLU'!$K$3,"")</f>
        <v/>
      </c>
      <c r="D98" s="2" t="str">
        <f>IF(OR(ROW(D97)-ROW(D$1)+1&lt;=MAX(Beräkningshjälp!$F$37:$F$54),ROW(D97)-ROW(D$1)+1&lt;=ROUND((MAX(Beräkningshjälp!AB$3:AB$1082)+4)/10,0)-1),D$2,"")</f>
        <v/>
      </c>
      <c r="E98" s="136" t="str">
        <f>IF(D98&lt;&gt;"",IF(COUNTIF(Beräkningshjälp!F$38:F$49,"&gt;0")&gt;=ROW(E97)-ROW(E$1)+1,VLOOKUP((VLOOKUP(ROW(E97)-ROW(E$1)+1,Beräkningshjälp!$F$37:$H$54,IF(ISNUMBER(VLOOKUP(ROW(E97)-ROW(E$1)+1,Beräkningshjälp!$F$37:$H$54,2,FALSE)),2,3),FALSE)),Beräkningshjälp!$M$2:$O$60,3,FALSE),VLOOKUP((ROW(E97)-ROW(E$1)+1)*10+1,Beräkningshjälp!$AB$2:$AF$1082,5,FALSE)),"")</f>
        <v/>
      </c>
      <c r="F98" s="2" t="str">
        <f>IF(D98&lt;&gt;"",Beräkningshjälp!$AH$1,"")</f>
        <v/>
      </c>
      <c r="G98" s="136" t="str">
        <f>IF(D98&lt;&gt;"",IF(COUNTIF(Beräkningshjälp!F$38:F$49,"&gt;0")&gt;=ROW(E97)-ROW(E$1)+1,"INGA",IF(COUNTIF(Beräkningshjälp!$G$38:$H$49,VLOOKUP(E98,Beräkningshjälp!$AF$2:$AG$1082,2,FALSE))&gt;0,"ENSTAK",IF(VLOOKUP(VLOOKUP(E98,Beräkningshjälp!O$2:U$60,7,FALSE),Artuppgifter!$I$11:$P$22,7,FALSE)=TRUE,"MINMAX","ALLA"))),"")</f>
        <v/>
      </c>
      <c r="H98" s="2" t="str">
        <f>IF($E98&lt;&gt;"",IF(AND($E98&lt;&gt;"EJFANGST",$G98&lt;&gt;"INGA"),IF(ISNUMBER(VLOOKUP((ROW($H97)-ROW($H$1)+1)*10+COLUMN(H$1)-COLUMN($H$1)+1,Beräkningshjälp!$AB$2:$AI$1082,7,FALSE)),VLOOKUP((ROW($H97)-ROW($H$1)+1)*10+COLUMN(H$1)-COLUMN($H$1)+1,Beräkningshjälp!$AB$2:$AI$1082,7,FALSE),IF(E98&gt;0,-VLOOKUP((ROW($H97)-ROW($H$1)+1)*10+COLUMN(H$1)-COLUMN($H$1)+1,Beräkningshjälp!$AB$2:$AI$1082,3,FALSE),0)),0),"")</f>
        <v/>
      </c>
      <c r="I98" s="2" t="str">
        <f>IF($E98&lt;&gt;"",IF(AND($E98&lt;&gt;"EJFANGST",$G98&lt;&gt;"INGA"),IF(ISNUMBER(VLOOKUP((ROW($H97)-ROW($H$1)+1)*10+COLUMN(I$1)-COLUMN($H$1)+1,Beräkningshjälp!$AB$2:$AI$1082,7,FALSE)),VLOOKUP((ROW($H97)-ROW($H$1)+1)*10+COLUMN(I$1)-COLUMN($H$1)+1,Beräkningshjälp!$AB$2:$AI$1082,7,FALSE),IF(H98&gt;0,-VLOOKUP((ROW($H97)-ROW($H$1)+1)*10+COLUMN(I$1)-COLUMN($H$1)+1,Beräkningshjälp!$AB$2:$AI$1082,3,FALSE),0)),0),"")</f>
        <v/>
      </c>
      <c r="J98" s="2" t="str">
        <f>IF($E98&lt;&gt;"",IF(AND($E98&lt;&gt;"EJFANGST",$G98&lt;&gt;"INGA"),IF(ISNUMBER(VLOOKUP((ROW($H97)-ROW($H$1)+1)*10+COLUMN(J$1)-COLUMN($H$1)+1,Beräkningshjälp!$AB$2:$AI$1082,7,FALSE)),VLOOKUP((ROW($H97)-ROW($H$1)+1)*10+COLUMN(J$1)-COLUMN($H$1)+1,Beräkningshjälp!$AB$2:$AI$1082,7,FALSE),IF(I98&gt;0,-VLOOKUP((ROW($H97)-ROW($H$1)+1)*10+COLUMN(J$1)-COLUMN($H$1)+1,Beräkningshjälp!$AB$2:$AI$1082,3,FALSE),0)),0),"")</f>
        <v/>
      </c>
      <c r="K98" s="2" t="str">
        <f>IF($E98&lt;&gt;"",IF(AND($E98&lt;&gt;"EJFANGST",$G98&lt;&gt;"INGA"),IF(ISNUMBER(VLOOKUP((ROW($H97)-ROW($H$1)+1)*10+COLUMN(K$1)-COLUMN($H$1)+1,Beräkningshjälp!$AB$2:$AI$1082,7,FALSE)),VLOOKUP((ROW($H97)-ROW($H$1)+1)*10+COLUMN(K$1)-COLUMN($H$1)+1,Beräkningshjälp!$AB$2:$AI$1082,7,FALSE),IF(J98&gt;0,-VLOOKUP((ROW($H97)-ROW($H$1)+1)*10+COLUMN(K$1)-COLUMN($H$1)+1,Beräkningshjälp!$AB$2:$AI$1082,3,FALSE),0)),0),"")</f>
        <v/>
      </c>
      <c r="L98" s="2" t="str">
        <f>IF($E98&lt;&gt;"",IF(AND($E98&lt;&gt;"EJFANGST",$G98&lt;&gt;"INGA"),IF(ISNUMBER(VLOOKUP((ROW($H97)-ROW($H$1)+1)*10+COLUMN(L$1)-COLUMN($H$1)+1,Beräkningshjälp!$AB$2:$AI$1082,7,FALSE)),VLOOKUP((ROW($H97)-ROW($H$1)+1)*10+COLUMN(L$1)-COLUMN($H$1)+1,Beräkningshjälp!$AB$2:$AI$1082,7,FALSE),IF(K98&gt;0,-VLOOKUP((ROW($H97)-ROW($H$1)+1)*10+COLUMN(L$1)-COLUMN($H$1)+1,Beräkningshjälp!$AB$2:$AI$1082,3,FALSE),0)),0),"")</f>
        <v/>
      </c>
      <c r="M98" s="2" t="str">
        <f>IF($E98&lt;&gt;"",IF(AND($E98&lt;&gt;"EJFANGST",$G98&lt;&gt;"INGA"),IF(ISNUMBER(VLOOKUP((ROW($H97)-ROW($H$1)+1)*10+COLUMN(M$1)-COLUMN($H$1)+1,Beräkningshjälp!$AB$2:$AI$1082,7,FALSE)),VLOOKUP((ROW($H97)-ROW($H$1)+1)*10+COLUMN(M$1)-COLUMN($H$1)+1,Beräkningshjälp!$AB$2:$AI$1082,7,FALSE),IF(L98&gt;0,-VLOOKUP((ROW($H97)-ROW($H$1)+1)*10+COLUMN(M$1)-COLUMN($H$1)+1,Beräkningshjälp!$AB$2:$AI$1082,3,FALSE),0)),0),"")</f>
        <v/>
      </c>
      <c r="N98" s="2" t="str">
        <f>IF($E98&lt;&gt;"",IF(AND($E98&lt;&gt;"EJFANGST",$G98&lt;&gt;"INGA"),IF(ISNUMBER(VLOOKUP((ROW($H97)-ROW($H$1)+1)*10+COLUMN(N$1)-COLUMN($H$1)+1,Beräkningshjälp!$AB$2:$AI$1082,7,FALSE)),VLOOKUP((ROW($H97)-ROW($H$1)+1)*10+COLUMN(N$1)-COLUMN($H$1)+1,Beräkningshjälp!$AB$2:$AI$1082,7,FALSE),IF(M98&gt;0,-VLOOKUP((ROW($H97)-ROW($H$1)+1)*10+COLUMN(N$1)-COLUMN($H$1)+1,Beräkningshjälp!$AB$2:$AI$1082,3,FALSE),0)),0),"")</f>
        <v/>
      </c>
      <c r="O98" s="2" t="str">
        <f>IF($E98&lt;&gt;"",IF(AND($E98&lt;&gt;"EJFANGST",$G98&lt;&gt;"INGA"),IF(ISNUMBER(VLOOKUP((ROW($H97)-ROW($H$1)+1)*10+COLUMN(O$1)-COLUMN($H$1)+1,Beräkningshjälp!$AB$2:$AI$1082,7,FALSE)),VLOOKUP((ROW($H97)-ROW($H$1)+1)*10+COLUMN(O$1)-COLUMN($H$1)+1,Beräkningshjälp!$AB$2:$AI$1082,7,FALSE),IF(N98&gt;0,-VLOOKUP((ROW($H97)-ROW($H$1)+1)*10+COLUMN(O$1)-COLUMN($H$1)+1,Beräkningshjälp!$AB$2:$AI$1082,3,FALSE),0)),0),"")</f>
        <v/>
      </c>
      <c r="P98" s="2" t="str">
        <f>IF($E98&lt;&gt;"",IF(AND($E98&lt;&gt;"EJFANGST",$G98&lt;&gt;"INGA"),IF(ISNUMBER(VLOOKUP((ROW($H97)-ROW($H$1)+1)*10+COLUMN(P$1)-COLUMN($H$1)+1,Beräkningshjälp!$AB$2:$AI$1082,7,FALSE)),VLOOKUP((ROW($H97)-ROW($H$1)+1)*10+COLUMN(P$1)-COLUMN($H$1)+1,Beräkningshjälp!$AB$2:$AI$1082,7,FALSE),IF(O98&gt;0,-VLOOKUP((ROW($H97)-ROW($H$1)+1)*10+COLUMN(P$1)-COLUMN($H$1)+1,Beräkningshjälp!$AB$2:$AI$1082,3,FALSE),0)),0),"")</f>
        <v/>
      </c>
      <c r="Q98" s="2" t="str">
        <f>IF($E98&lt;&gt;"",IF(AND($E98&lt;&gt;"EJFANGST",$G98&lt;&gt;"INGA"),IF(ISNUMBER(VLOOKUP((ROW($H97)-ROW($H$1)+1)*10+COLUMN(Q$1)-COLUMN($H$1)+1,Beräkningshjälp!$AB$2:$AI$1082,7,FALSE)),VLOOKUP((ROW($H97)-ROW($H$1)+1)*10+COLUMN(Q$1)-COLUMN($H$1)+1,Beräkningshjälp!$AB$2:$AI$1082,7,FALSE),IF(P98&gt;0,-VLOOKUP((ROW($H97)-ROW($H$1)+1)*10+COLUMN(Q$1)-COLUMN($H$1)+1,Beräkningshjälp!$AB$2:$AI$1082,3,FALSE),0)),0),"")</f>
        <v/>
      </c>
      <c r="R98" s="116" t="str">
        <f>IF(COUNTIF(H98:Q98,"&gt;0")&gt;0,IF($E98&lt;&gt;"",IF(AND($E98&lt;&gt;"EJFANGST",$G98&lt;&gt;"INGA"),IF(ISNUMBER(VLOOKUP((ROW($H97)-ROW($H$1)+1)*10+COLUMN(H$1)-COLUMN($H$1)+1,Beräkningshjälp!$AB$2:$AI$1082,7,FALSE)),VLOOKUP((ROW($H97)-ROW($H$1)+1)*10+COLUMN(H$1)-COLUMN($H$1)+1,Beräkningshjälp!$AB$2:$AI$1082,3,FALSE),""),""),""),"")</f>
        <v/>
      </c>
    </row>
    <row r="99" spans="1:18" x14ac:dyDescent="0.25">
      <c r="A99" s="2" t="str">
        <f t="shared" si="1"/>
        <v/>
      </c>
      <c r="B99" s="2" t="str">
        <f>IF(D99&lt;&gt;"",'DATA TILL SLU'!$J$3,"")</f>
        <v/>
      </c>
      <c r="C99" s="2" t="str">
        <f>IF(D99&lt;&gt;"",'DATA TILL SLU'!$K$3,"")</f>
        <v/>
      </c>
      <c r="D99" s="2" t="str">
        <f>IF(OR(ROW(D98)-ROW(D$1)+1&lt;=MAX(Beräkningshjälp!$F$37:$F$54),ROW(D98)-ROW(D$1)+1&lt;=ROUND((MAX(Beräkningshjälp!AB$3:AB$1082)+4)/10,0)-1),D$2,"")</f>
        <v/>
      </c>
      <c r="E99" s="136" t="str">
        <f>IF(D99&lt;&gt;"",IF(COUNTIF(Beräkningshjälp!F$38:F$49,"&gt;0")&gt;=ROW(E98)-ROW(E$1)+1,VLOOKUP((VLOOKUP(ROW(E98)-ROW(E$1)+1,Beräkningshjälp!$F$37:$H$54,IF(ISNUMBER(VLOOKUP(ROW(E98)-ROW(E$1)+1,Beräkningshjälp!$F$37:$H$54,2,FALSE)),2,3),FALSE)),Beräkningshjälp!$M$2:$O$60,3,FALSE),VLOOKUP((ROW(E98)-ROW(E$1)+1)*10+1,Beräkningshjälp!$AB$2:$AF$1082,5,FALSE)),"")</f>
        <v/>
      </c>
      <c r="F99" s="2" t="str">
        <f>IF(D99&lt;&gt;"",Beräkningshjälp!$AH$1,"")</f>
        <v/>
      </c>
      <c r="G99" s="136" t="str">
        <f>IF(D99&lt;&gt;"",IF(COUNTIF(Beräkningshjälp!F$38:F$49,"&gt;0")&gt;=ROW(E98)-ROW(E$1)+1,"INGA",IF(COUNTIF(Beräkningshjälp!$G$38:$H$49,VLOOKUP(E99,Beräkningshjälp!$AF$2:$AG$1082,2,FALSE))&gt;0,"ENSTAK",IF(VLOOKUP(VLOOKUP(E99,Beräkningshjälp!O$2:U$60,7,FALSE),Artuppgifter!$I$11:$P$22,7,FALSE)=TRUE,"MINMAX","ALLA"))),"")</f>
        <v/>
      </c>
      <c r="H99" s="2" t="str">
        <f>IF($E99&lt;&gt;"",IF(AND($E99&lt;&gt;"EJFANGST",$G99&lt;&gt;"INGA"),IF(ISNUMBER(VLOOKUP((ROW($H98)-ROW($H$1)+1)*10+COLUMN(H$1)-COLUMN($H$1)+1,Beräkningshjälp!$AB$2:$AI$1082,7,FALSE)),VLOOKUP((ROW($H98)-ROW($H$1)+1)*10+COLUMN(H$1)-COLUMN($H$1)+1,Beräkningshjälp!$AB$2:$AI$1082,7,FALSE),IF(E99&gt;0,-VLOOKUP((ROW($H98)-ROW($H$1)+1)*10+COLUMN(H$1)-COLUMN($H$1)+1,Beräkningshjälp!$AB$2:$AI$1082,3,FALSE),0)),0),"")</f>
        <v/>
      </c>
      <c r="I99" s="2" t="str">
        <f>IF($E99&lt;&gt;"",IF(AND($E99&lt;&gt;"EJFANGST",$G99&lt;&gt;"INGA"),IF(ISNUMBER(VLOOKUP((ROW($H98)-ROW($H$1)+1)*10+COLUMN(I$1)-COLUMN($H$1)+1,Beräkningshjälp!$AB$2:$AI$1082,7,FALSE)),VLOOKUP((ROW($H98)-ROW($H$1)+1)*10+COLUMN(I$1)-COLUMN($H$1)+1,Beräkningshjälp!$AB$2:$AI$1082,7,FALSE),IF(H99&gt;0,-VLOOKUP((ROW($H98)-ROW($H$1)+1)*10+COLUMN(I$1)-COLUMN($H$1)+1,Beräkningshjälp!$AB$2:$AI$1082,3,FALSE),0)),0),"")</f>
        <v/>
      </c>
      <c r="J99" s="2" t="str">
        <f>IF($E99&lt;&gt;"",IF(AND($E99&lt;&gt;"EJFANGST",$G99&lt;&gt;"INGA"),IF(ISNUMBER(VLOOKUP((ROW($H98)-ROW($H$1)+1)*10+COLUMN(J$1)-COLUMN($H$1)+1,Beräkningshjälp!$AB$2:$AI$1082,7,FALSE)),VLOOKUP((ROW($H98)-ROW($H$1)+1)*10+COLUMN(J$1)-COLUMN($H$1)+1,Beräkningshjälp!$AB$2:$AI$1082,7,FALSE),IF(I99&gt;0,-VLOOKUP((ROW($H98)-ROW($H$1)+1)*10+COLUMN(J$1)-COLUMN($H$1)+1,Beräkningshjälp!$AB$2:$AI$1082,3,FALSE),0)),0),"")</f>
        <v/>
      </c>
      <c r="K99" s="2" t="str">
        <f>IF($E99&lt;&gt;"",IF(AND($E99&lt;&gt;"EJFANGST",$G99&lt;&gt;"INGA"),IF(ISNUMBER(VLOOKUP((ROW($H98)-ROW($H$1)+1)*10+COLUMN(K$1)-COLUMN($H$1)+1,Beräkningshjälp!$AB$2:$AI$1082,7,FALSE)),VLOOKUP((ROW($H98)-ROW($H$1)+1)*10+COLUMN(K$1)-COLUMN($H$1)+1,Beräkningshjälp!$AB$2:$AI$1082,7,FALSE),IF(J99&gt;0,-VLOOKUP((ROW($H98)-ROW($H$1)+1)*10+COLUMN(K$1)-COLUMN($H$1)+1,Beräkningshjälp!$AB$2:$AI$1082,3,FALSE),0)),0),"")</f>
        <v/>
      </c>
      <c r="L99" s="2" t="str">
        <f>IF($E99&lt;&gt;"",IF(AND($E99&lt;&gt;"EJFANGST",$G99&lt;&gt;"INGA"),IF(ISNUMBER(VLOOKUP((ROW($H98)-ROW($H$1)+1)*10+COLUMN(L$1)-COLUMN($H$1)+1,Beräkningshjälp!$AB$2:$AI$1082,7,FALSE)),VLOOKUP((ROW($H98)-ROW($H$1)+1)*10+COLUMN(L$1)-COLUMN($H$1)+1,Beräkningshjälp!$AB$2:$AI$1082,7,FALSE),IF(K99&gt;0,-VLOOKUP((ROW($H98)-ROW($H$1)+1)*10+COLUMN(L$1)-COLUMN($H$1)+1,Beräkningshjälp!$AB$2:$AI$1082,3,FALSE),0)),0),"")</f>
        <v/>
      </c>
      <c r="M99" s="2" t="str">
        <f>IF($E99&lt;&gt;"",IF(AND($E99&lt;&gt;"EJFANGST",$G99&lt;&gt;"INGA"),IF(ISNUMBER(VLOOKUP((ROW($H98)-ROW($H$1)+1)*10+COLUMN(M$1)-COLUMN($H$1)+1,Beräkningshjälp!$AB$2:$AI$1082,7,FALSE)),VLOOKUP((ROW($H98)-ROW($H$1)+1)*10+COLUMN(M$1)-COLUMN($H$1)+1,Beräkningshjälp!$AB$2:$AI$1082,7,FALSE),IF(L99&gt;0,-VLOOKUP((ROW($H98)-ROW($H$1)+1)*10+COLUMN(M$1)-COLUMN($H$1)+1,Beräkningshjälp!$AB$2:$AI$1082,3,FALSE),0)),0),"")</f>
        <v/>
      </c>
      <c r="N99" s="2" t="str">
        <f>IF($E99&lt;&gt;"",IF(AND($E99&lt;&gt;"EJFANGST",$G99&lt;&gt;"INGA"),IF(ISNUMBER(VLOOKUP((ROW($H98)-ROW($H$1)+1)*10+COLUMN(N$1)-COLUMN($H$1)+1,Beräkningshjälp!$AB$2:$AI$1082,7,FALSE)),VLOOKUP((ROW($H98)-ROW($H$1)+1)*10+COLUMN(N$1)-COLUMN($H$1)+1,Beräkningshjälp!$AB$2:$AI$1082,7,FALSE),IF(M99&gt;0,-VLOOKUP((ROW($H98)-ROW($H$1)+1)*10+COLUMN(N$1)-COLUMN($H$1)+1,Beräkningshjälp!$AB$2:$AI$1082,3,FALSE),0)),0),"")</f>
        <v/>
      </c>
      <c r="O99" s="2" t="str">
        <f>IF($E99&lt;&gt;"",IF(AND($E99&lt;&gt;"EJFANGST",$G99&lt;&gt;"INGA"),IF(ISNUMBER(VLOOKUP((ROW($H98)-ROW($H$1)+1)*10+COLUMN(O$1)-COLUMN($H$1)+1,Beräkningshjälp!$AB$2:$AI$1082,7,FALSE)),VLOOKUP((ROW($H98)-ROW($H$1)+1)*10+COLUMN(O$1)-COLUMN($H$1)+1,Beräkningshjälp!$AB$2:$AI$1082,7,FALSE),IF(N99&gt;0,-VLOOKUP((ROW($H98)-ROW($H$1)+1)*10+COLUMN(O$1)-COLUMN($H$1)+1,Beräkningshjälp!$AB$2:$AI$1082,3,FALSE),0)),0),"")</f>
        <v/>
      </c>
      <c r="P99" s="2" t="str">
        <f>IF($E99&lt;&gt;"",IF(AND($E99&lt;&gt;"EJFANGST",$G99&lt;&gt;"INGA"),IF(ISNUMBER(VLOOKUP((ROW($H98)-ROW($H$1)+1)*10+COLUMN(P$1)-COLUMN($H$1)+1,Beräkningshjälp!$AB$2:$AI$1082,7,FALSE)),VLOOKUP((ROW($H98)-ROW($H$1)+1)*10+COLUMN(P$1)-COLUMN($H$1)+1,Beräkningshjälp!$AB$2:$AI$1082,7,FALSE),IF(O99&gt;0,-VLOOKUP((ROW($H98)-ROW($H$1)+1)*10+COLUMN(P$1)-COLUMN($H$1)+1,Beräkningshjälp!$AB$2:$AI$1082,3,FALSE),0)),0),"")</f>
        <v/>
      </c>
      <c r="Q99" s="2" t="str">
        <f>IF($E99&lt;&gt;"",IF(AND($E99&lt;&gt;"EJFANGST",$G99&lt;&gt;"INGA"),IF(ISNUMBER(VLOOKUP((ROW($H98)-ROW($H$1)+1)*10+COLUMN(Q$1)-COLUMN($H$1)+1,Beräkningshjälp!$AB$2:$AI$1082,7,FALSE)),VLOOKUP((ROW($H98)-ROW($H$1)+1)*10+COLUMN(Q$1)-COLUMN($H$1)+1,Beräkningshjälp!$AB$2:$AI$1082,7,FALSE),IF(P99&gt;0,-VLOOKUP((ROW($H98)-ROW($H$1)+1)*10+COLUMN(Q$1)-COLUMN($H$1)+1,Beräkningshjälp!$AB$2:$AI$1082,3,FALSE),0)),0),"")</f>
        <v/>
      </c>
      <c r="R99" s="116" t="str">
        <f>IF(COUNTIF(H99:Q99,"&gt;0")&gt;0,IF($E99&lt;&gt;"",IF(AND($E99&lt;&gt;"EJFANGST",$G99&lt;&gt;"INGA"),IF(ISNUMBER(VLOOKUP((ROW($H98)-ROW($H$1)+1)*10+COLUMN(H$1)-COLUMN($H$1)+1,Beräkningshjälp!$AB$2:$AI$1082,7,FALSE)),VLOOKUP((ROW($H98)-ROW($H$1)+1)*10+COLUMN(H$1)-COLUMN($H$1)+1,Beräkningshjälp!$AB$2:$AI$1082,3,FALSE),""),""),""),"")</f>
        <v/>
      </c>
    </row>
    <row r="100" spans="1:18" x14ac:dyDescent="0.25">
      <c r="A100" s="2" t="str">
        <f t="shared" si="1"/>
        <v/>
      </c>
      <c r="B100" s="2" t="str">
        <f>IF(D100&lt;&gt;"",'DATA TILL SLU'!$J$3,"")</f>
        <v/>
      </c>
      <c r="C100" s="2" t="str">
        <f>IF(D100&lt;&gt;"",'DATA TILL SLU'!$K$3,"")</f>
        <v/>
      </c>
      <c r="D100" s="2" t="str">
        <f>IF(OR(ROW(D99)-ROW(D$1)+1&lt;=MAX(Beräkningshjälp!$F$37:$F$54),ROW(D99)-ROW(D$1)+1&lt;=ROUND((MAX(Beräkningshjälp!AB$3:AB$1082)+4)/10,0)-1),D$2,"")</f>
        <v/>
      </c>
      <c r="E100" s="136" t="str">
        <f>IF(D100&lt;&gt;"",IF(COUNTIF(Beräkningshjälp!F$38:F$49,"&gt;0")&gt;=ROW(E99)-ROW(E$1)+1,VLOOKUP((VLOOKUP(ROW(E99)-ROW(E$1)+1,Beräkningshjälp!$F$37:$H$54,IF(ISNUMBER(VLOOKUP(ROW(E99)-ROW(E$1)+1,Beräkningshjälp!$F$37:$H$54,2,FALSE)),2,3),FALSE)),Beräkningshjälp!$M$2:$O$60,3,FALSE),VLOOKUP((ROW(E99)-ROW(E$1)+1)*10+1,Beräkningshjälp!$AB$2:$AF$1082,5,FALSE)),"")</f>
        <v/>
      </c>
      <c r="F100" s="2" t="str">
        <f>IF(D100&lt;&gt;"",Beräkningshjälp!$AH$1,"")</f>
        <v/>
      </c>
      <c r="G100" s="136" t="str">
        <f>IF(D100&lt;&gt;"",IF(COUNTIF(Beräkningshjälp!F$38:F$49,"&gt;0")&gt;=ROW(E99)-ROW(E$1)+1,"INGA",IF(COUNTIF(Beräkningshjälp!$G$38:$H$49,VLOOKUP(E100,Beräkningshjälp!$AF$2:$AG$1082,2,FALSE))&gt;0,"ENSTAK",IF(VLOOKUP(VLOOKUP(E100,Beräkningshjälp!O$2:U$60,7,FALSE),Artuppgifter!$I$11:$P$22,7,FALSE)=TRUE,"MINMAX","ALLA"))),"")</f>
        <v/>
      </c>
      <c r="H100" s="2" t="str">
        <f>IF($E100&lt;&gt;"",IF(AND($E100&lt;&gt;"EJFANGST",$G100&lt;&gt;"INGA"),IF(ISNUMBER(VLOOKUP((ROW($H99)-ROW($H$1)+1)*10+COLUMN(H$1)-COLUMN($H$1)+1,Beräkningshjälp!$AB$2:$AI$1082,7,FALSE)),VLOOKUP((ROW($H99)-ROW($H$1)+1)*10+COLUMN(H$1)-COLUMN($H$1)+1,Beräkningshjälp!$AB$2:$AI$1082,7,FALSE),IF(E100&gt;0,-VLOOKUP((ROW($H99)-ROW($H$1)+1)*10+COLUMN(H$1)-COLUMN($H$1)+1,Beräkningshjälp!$AB$2:$AI$1082,3,FALSE),0)),0),"")</f>
        <v/>
      </c>
      <c r="I100" s="2" t="str">
        <f>IF($E100&lt;&gt;"",IF(AND($E100&lt;&gt;"EJFANGST",$G100&lt;&gt;"INGA"),IF(ISNUMBER(VLOOKUP((ROW($H99)-ROW($H$1)+1)*10+COLUMN(I$1)-COLUMN($H$1)+1,Beräkningshjälp!$AB$2:$AI$1082,7,FALSE)),VLOOKUP((ROW($H99)-ROW($H$1)+1)*10+COLUMN(I$1)-COLUMN($H$1)+1,Beräkningshjälp!$AB$2:$AI$1082,7,FALSE),IF(H100&gt;0,-VLOOKUP((ROW($H99)-ROW($H$1)+1)*10+COLUMN(I$1)-COLUMN($H$1)+1,Beräkningshjälp!$AB$2:$AI$1082,3,FALSE),0)),0),"")</f>
        <v/>
      </c>
      <c r="J100" s="2" t="str">
        <f>IF($E100&lt;&gt;"",IF(AND($E100&lt;&gt;"EJFANGST",$G100&lt;&gt;"INGA"),IF(ISNUMBER(VLOOKUP((ROW($H99)-ROW($H$1)+1)*10+COLUMN(J$1)-COLUMN($H$1)+1,Beräkningshjälp!$AB$2:$AI$1082,7,FALSE)),VLOOKUP((ROW($H99)-ROW($H$1)+1)*10+COLUMN(J$1)-COLUMN($H$1)+1,Beräkningshjälp!$AB$2:$AI$1082,7,FALSE),IF(I100&gt;0,-VLOOKUP((ROW($H99)-ROW($H$1)+1)*10+COLUMN(J$1)-COLUMN($H$1)+1,Beräkningshjälp!$AB$2:$AI$1082,3,FALSE),0)),0),"")</f>
        <v/>
      </c>
      <c r="K100" s="2" t="str">
        <f>IF($E100&lt;&gt;"",IF(AND($E100&lt;&gt;"EJFANGST",$G100&lt;&gt;"INGA"),IF(ISNUMBER(VLOOKUP((ROW($H99)-ROW($H$1)+1)*10+COLUMN(K$1)-COLUMN($H$1)+1,Beräkningshjälp!$AB$2:$AI$1082,7,FALSE)),VLOOKUP((ROW($H99)-ROW($H$1)+1)*10+COLUMN(K$1)-COLUMN($H$1)+1,Beräkningshjälp!$AB$2:$AI$1082,7,FALSE),IF(J100&gt;0,-VLOOKUP((ROW($H99)-ROW($H$1)+1)*10+COLUMN(K$1)-COLUMN($H$1)+1,Beräkningshjälp!$AB$2:$AI$1082,3,FALSE),0)),0),"")</f>
        <v/>
      </c>
      <c r="L100" s="2" t="str">
        <f>IF($E100&lt;&gt;"",IF(AND($E100&lt;&gt;"EJFANGST",$G100&lt;&gt;"INGA"),IF(ISNUMBER(VLOOKUP((ROW($H99)-ROW($H$1)+1)*10+COLUMN(L$1)-COLUMN($H$1)+1,Beräkningshjälp!$AB$2:$AI$1082,7,FALSE)),VLOOKUP((ROW($H99)-ROW($H$1)+1)*10+COLUMN(L$1)-COLUMN($H$1)+1,Beräkningshjälp!$AB$2:$AI$1082,7,FALSE),IF(K100&gt;0,-VLOOKUP((ROW($H99)-ROW($H$1)+1)*10+COLUMN(L$1)-COLUMN($H$1)+1,Beräkningshjälp!$AB$2:$AI$1082,3,FALSE),0)),0),"")</f>
        <v/>
      </c>
      <c r="M100" s="2" t="str">
        <f>IF($E100&lt;&gt;"",IF(AND($E100&lt;&gt;"EJFANGST",$G100&lt;&gt;"INGA"),IF(ISNUMBER(VLOOKUP((ROW($H99)-ROW($H$1)+1)*10+COLUMN(M$1)-COLUMN($H$1)+1,Beräkningshjälp!$AB$2:$AI$1082,7,FALSE)),VLOOKUP((ROW($H99)-ROW($H$1)+1)*10+COLUMN(M$1)-COLUMN($H$1)+1,Beräkningshjälp!$AB$2:$AI$1082,7,FALSE),IF(L100&gt;0,-VLOOKUP((ROW($H99)-ROW($H$1)+1)*10+COLUMN(M$1)-COLUMN($H$1)+1,Beräkningshjälp!$AB$2:$AI$1082,3,FALSE),0)),0),"")</f>
        <v/>
      </c>
      <c r="N100" s="2" t="str">
        <f>IF($E100&lt;&gt;"",IF(AND($E100&lt;&gt;"EJFANGST",$G100&lt;&gt;"INGA"),IF(ISNUMBER(VLOOKUP((ROW($H99)-ROW($H$1)+1)*10+COLUMN(N$1)-COLUMN($H$1)+1,Beräkningshjälp!$AB$2:$AI$1082,7,FALSE)),VLOOKUP((ROW($H99)-ROW($H$1)+1)*10+COLUMN(N$1)-COLUMN($H$1)+1,Beräkningshjälp!$AB$2:$AI$1082,7,FALSE),IF(M100&gt;0,-VLOOKUP((ROW($H99)-ROW($H$1)+1)*10+COLUMN(N$1)-COLUMN($H$1)+1,Beräkningshjälp!$AB$2:$AI$1082,3,FALSE),0)),0),"")</f>
        <v/>
      </c>
      <c r="O100" s="2" t="str">
        <f>IF($E100&lt;&gt;"",IF(AND($E100&lt;&gt;"EJFANGST",$G100&lt;&gt;"INGA"),IF(ISNUMBER(VLOOKUP((ROW($H99)-ROW($H$1)+1)*10+COLUMN(O$1)-COLUMN($H$1)+1,Beräkningshjälp!$AB$2:$AI$1082,7,FALSE)),VLOOKUP((ROW($H99)-ROW($H$1)+1)*10+COLUMN(O$1)-COLUMN($H$1)+1,Beräkningshjälp!$AB$2:$AI$1082,7,FALSE),IF(N100&gt;0,-VLOOKUP((ROW($H99)-ROW($H$1)+1)*10+COLUMN(O$1)-COLUMN($H$1)+1,Beräkningshjälp!$AB$2:$AI$1082,3,FALSE),0)),0),"")</f>
        <v/>
      </c>
      <c r="P100" s="2" t="str">
        <f>IF($E100&lt;&gt;"",IF(AND($E100&lt;&gt;"EJFANGST",$G100&lt;&gt;"INGA"),IF(ISNUMBER(VLOOKUP((ROW($H99)-ROW($H$1)+1)*10+COLUMN(P$1)-COLUMN($H$1)+1,Beräkningshjälp!$AB$2:$AI$1082,7,FALSE)),VLOOKUP((ROW($H99)-ROW($H$1)+1)*10+COLUMN(P$1)-COLUMN($H$1)+1,Beräkningshjälp!$AB$2:$AI$1082,7,FALSE),IF(O100&gt;0,-VLOOKUP((ROW($H99)-ROW($H$1)+1)*10+COLUMN(P$1)-COLUMN($H$1)+1,Beräkningshjälp!$AB$2:$AI$1082,3,FALSE),0)),0),"")</f>
        <v/>
      </c>
      <c r="Q100" s="2" t="str">
        <f>IF($E100&lt;&gt;"",IF(AND($E100&lt;&gt;"EJFANGST",$G100&lt;&gt;"INGA"),IF(ISNUMBER(VLOOKUP((ROW($H99)-ROW($H$1)+1)*10+COLUMN(Q$1)-COLUMN($H$1)+1,Beräkningshjälp!$AB$2:$AI$1082,7,FALSE)),VLOOKUP((ROW($H99)-ROW($H$1)+1)*10+COLUMN(Q$1)-COLUMN($H$1)+1,Beräkningshjälp!$AB$2:$AI$1082,7,FALSE),IF(P100&gt;0,-VLOOKUP((ROW($H99)-ROW($H$1)+1)*10+COLUMN(Q$1)-COLUMN($H$1)+1,Beräkningshjälp!$AB$2:$AI$1082,3,FALSE),0)),0),"")</f>
        <v/>
      </c>
      <c r="R100" s="116" t="str">
        <f>IF(COUNTIF(H100:Q100,"&gt;0")&gt;0,IF($E100&lt;&gt;"",IF(AND($E100&lt;&gt;"EJFANGST",$G100&lt;&gt;"INGA"),IF(ISNUMBER(VLOOKUP((ROW($H99)-ROW($H$1)+1)*10+COLUMN(H$1)-COLUMN($H$1)+1,Beräkningshjälp!$AB$2:$AI$1082,7,FALSE)),VLOOKUP((ROW($H99)-ROW($H$1)+1)*10+COLUMN(H$1)-COLUMN($H$1)+1,Beräkningshjälp!$AB$2:$AI$1082,3,FALSE),""),""),""),"")</f>
        <v/>
      </c>
    </row>
    <row r="101" spans="1:18" x14ac:dyDescent="0.25">
      <c r="A101" s="2" t="str">
        <f t="shared" si="1"/>
        <v/>
      </c>
      <c r="B101" s="2" t="str">
        <f>IF(D101&lt;&gt;"",'DATA TILL SLU'!$J$3,"")</f>
        <v/>
      </c>
      <c r="C101" s="2" t="str">
        <f>IF(D101&lt;&gt;"",'DATA TILL SLU'!$K$3,"")</f>
        <v/>
      </c>
      <c r="D101" s="2" t="str">
        <f>IF(OR(ROW(D100)-ROW(D$1)+1&lt;=MAX(Beräkningshjälp!$F$37:$F$54),ROW(D100)-ROW(D$1)+1&lt;=ROUND((MAX(Beräkningshjälp!AB$3:AB$1082)+4)/10,0)-1),D$2,"")</f>
        <v/>
      </c>
      <c r="E101" s="136" t="str">
        <f>IF(D101&lt;&gt;"",IF(COUNTIF(Beräkningshjälp!F$38:F$49,"&gt;0")&gt;=ROW(E100)-ROW(E$1)+1,VLOOKUP((VLOOKUP(ROW(E100)-ROW(E$1)+1,Beräkningshjälp!$F$37:$H$54,IF(ISNUMBER(VLOOKUP(ROW(E100)-ROW(E$1)+1,Beräkningshjälp!$F$37:$H$54,2,FALSE)),2,3),FALSE)),Beräkningshjälp!$M$2:$O$60,3,FALSE),VLOOKUP((ROW(E100)-ROW(E$1)+1)*10+1,Beräkningshjälp!$AB$2:$AF$1082,5,FALSE)),"")</f>
        <v/>
      </c>
      <c r="F101" s="2" t="str">
        <f>IF(D101&lt;&gt;"",Beräkningshjälp!$AH$1,"")</f>
        <v/>
      </c>
      <c r="G101" s="136" t="str">
        <f>IF(D101&lt;&gt;"",IF(COUNTIF(Beräkningshjälp!F$38:F$49,"&gt;0")&gt;=ROW(E100)-ROW(E$1)+1,"INGA",IF(COUNTIF(Beräkningshjälp!$G$38:$H$49,VLOOKUP(E101,Beräkningshjälp!$AF$2:$AG$1082,2,FALSE))&gt;0,"ENSTAK",IF(VLOOKUP(VLOOKUP(E101,Beräkningshjälp!O$2:U$60,7,FALSE),Artuppgifter!$I$11:$P$22,7,FALSE)=TRUE,"MINMAX","ALLA"))),"")</f>
        <v/>
      </c>
      <c r="H101" s="2" t="str">
        <f>IF($E101&lt;&gt;"",IF(AND($E101&lt;&gt;"EJFANGST",$G101&lt;&gt;"INGA"),IF(ISNUMBER(VLOOKUP((ROW($H100)-ROW($H$1)+1)*10+COLUMN(H$1)-COLUMN($H$1)+1,Beräkningshjälp!$AB$2:$AI$1082,7,FALSE)),VLOOKUP((ROW($H100)-ROW($H$1)+1)*10+COLUMN(H$1)-COLUMN($H$1)+1,Beräkningshjälp!$AB$2:$AI$1082,7,FALSE),IF(E101&gt;0,-VLOOKUP((ROW($H100)-ROW($H$1)+1)*10+COLUMN(H$1)-COLUMN($H$1)+1,Beräkningshjälp!$AB$2:$AI$1082,3,FALSE),0)),0),"")</f>
        <v/>
      </c>
      <c r="I101" s="2" t="str">
        <f>IF($E101&lt;&gt;"",IF(AND($E101&lt;&gt;"EJFANGST",$G101&lt;&gt;"INGA"),IF(ISNUMBER(VLOOKUP((ROW($H100)-ROW($H$1)+1)*10+COLUMN(I$1)-COLUMN($H$1)+1,Beräkningshjälp!$AB$2:$AI$1082,7,FALSE)),VLOOKUP((ROW($H100)-ROW($H$1)+1)*10+COLUMN(I$1)-COLUMN($H$1)+1,Beräkningshjälp!$AB$2:$AI$1082,7,FALSE),IF(H101&gt;0,-VLOOKUP((ROW($H100)-ROW($H$1)+1)*10+COLUMN(I$1)-COLUMN($H$1)+1,Beräkningshjälp!$AB$2:$AI$1082,3,FALSE),0)),0),"")</f>
        <v/>
      </c>
      <c r="J101" s="2" t="str">
        <f>IF($E101&lt;&gt;"",IF(AND($E101&lt;&gt;"EJFANGST",$G101&lt;&gt;"INGA"),IF(ISNUMBER(VLOOKUP((ROW($H100)-ROW($H$1)+1)*10+COLUMN(J$1)-COLUMN($H$1)+1,Beräkningshjälp!$AB$2:$AI$1082,7,FALSE)),VLOOKUP((ROW($H100)-ROW($H$1)+1)*10+COLUMN(J$1)-COLUMN($H$1)+1,Beräkningshjälp!$AB$2:$AI$1082,7,FALSE),IF(I101&gt;0,-VLOOKUP((ROW($H100)-ROW($H$1)+1)*10+COLUMN(J$1)-COLUMN($H$1)+1,Beräkningshjälp!$AB$2:$AI$1082,3,FALSE),0)),0),"")</f>
        <v/>
      </c>
      <c r="K101" s="2" t="str">
        <f>IF($E101&lt;&gt;"",IF(AND($E101&lt;&gt;"EJFANGST",$G101&lt;&gt;"INGA"),IF(ISNUMBER(VLOOKUP((ROW($H100)-ROW($H$1)+1)*10+COLUMN(K$1)-COLUMN($H$1)+1,Beräkningshjälp!$AB$2:$AI$1082,7,FALSE)),VLOOKUP((ROW($H100)-ROW($H$1)+1)*10+COLUMN(K$1)-COLUMN($H$1)+1,Beräkningshjälp!$AB$2:$AI$1082,7,FALSE),IF(J101&gt;0,-VLOOKUP((ROW($H100)-ROW($H$1)+1)*10+COLUMN(K$1)-COLUMN($H$1)+1,Beräkningshjälp!$AB$2:$AI$1082,3,FALSE),0)),0),"")</f>
        <v/>
      </c>
      <c r="L101" s="2" t="str">
        <f>IF($E101&lt;&gt;"",IF(AND($E101&lt;&gt;"EJFANGST",$G101&lt;&gt;"INGA"),IF(ISNUMBER(VLOOKUP((ROW($H100)-ROW($H$1)+1)*10+COLUMN(L$1)-COLUMN($H$1)+1,Beräkningshjälp!$AB$2:$AI$1082,7,FALSE)),VLOOKUP((ROW($H100)-ROW($H$1)+1)*10+COLUMN(L$1)-COLUMN($H$1)+1,Beräkningshjälp!$AB$2:$AI$1082,7,FALSE),IF(K101&gt;0,-VLOOKUP((ROW($H100)-ROW($H$1)+1)*10+COLUMN(L$1)-COLUMN($H$1)+1,Beräkningshjälp!$AB$2:$AI$1082,3,FALSE),0)),0),"")</f>
        <v/>
      </c>
      <c r="M101" s="2" t="str">
        <f>IF($E101&lt;&gt;"",IF(AND($E101&lt;&gt;"EJFANGST",$G101&lt;&gt;"INGA"),IF(ISNUMBER(VLOOKUP((ROW($H100)-ROW($H$1)+1)*10+COLUMN(M$1)-COLUMN($H$1)+1,Beräkningshjälp!$AB$2:$AI$1082,7,FALSE)),VLOOKUP((ROW($H100)-ROW($H$1)+1)*10+COLUMN(M$1)-COLUMN($H$1)+1,Beräkningshjälp!$AB$2:$AI$1082,7,FALSE),IF(L101&gt;0,-VLOOKUP((ROW($H100)-ROW($H$1)+1)*10+COLUMN(M$1)-COLUMN($H$1)+1,Beräkningshjälp!$AB$2:$AI$1082,3,FALSE),0)),0),"")</f>
        <v/>
      </c>
      <c r="N101" s="2" t="str">
        <f>IF($E101&lt;&gt;"",IF(AND($E101&lt;&gt;"EJFANGST",$G101&lt;&gt;"INGA"),IF(ISNUMBER(VLOOKUP((ROW($H100)-ROW($H$1)+1)*10+COLUMN(N$1)-COLUMN($H$1)+1,Beräkningshjälp!$AB$2:$AI$1082,7,FALSE)),VLOOKUP((ROW($H100)-ROW($H$1)+1)*10+COLUMN(N$1)-COLUMN($H$1)+1,Beräkningshjälp!$AB$2:$AI$1082,7,FALSE),IF(M101&gt;0,-VLOOKUP((ROW($H100)-ROW($H$1)+1)*10+COLUMN(N$1)-COLUMN($H$1)+1,Beräkningshjälp!$AB$2:$AI$1082,3,FALSE),0)),0),"")</f>
        <v/>
      </c>
      <c r="O101" s="2" t="str">
        <f>IF($E101&lt;&gt;"",IF(AND($E101&lt;&gt;"EJFANGST",$G101&lt;&gt;"INGA"),IF(ISNUMBER(VLOOKUP((ROW($H100)-ROW($H$1)+1)*10+COLUMN(O$1)-COLUMN($H$1)+1,Beräkningshjälp!$AB$2:$AI$1082,7,FALSE)),VLOOKUP((ROW($H100)-ROW($H$1)+1)*10+COLUMN(O$1)-COLUMN($H$1)+1,Beräkningshjälp!$AB$2:$AI$1082,7,FALSE),IF(N101&gt;0,-VLOOKUP((ROW($H100)-ROW($H$1)+1)*10+COLUMN(O$1)-COLUMN($H$1)+1,Beräkningshjälp!$AB$2:$AI$1082,3,FALSE),0)),0),"")</f>
        <v/>
      </c>
      <c r="P101" s="2" t="str">
        <f>IF($E101&lt;&gt;"",IF(AND($E101&lt;&gt;"EJFANGST",$G101&lt;&gt;"INGA"),IF(ISNUMBER(VLOOKUP((ROW($H100)-ROW($H$1)+1)*10+COLUMN(P$1)-COLUMN($H$1)+1,Beräkningshjälp!$AB$2:$AI$1082,7,FALSE)),VLOOKUP((ROW($H100)-ROW($H$1)+1)*10+COLUMN(P$1)-COLUMN($H$1)+1,Beräkningshjälp!$AB$2:$AI$1082,7,FALSE),IF(O101&gt;0,-VLOOKUP((ROW($H100)-ROW($H$1)+1)*10+COLUMN(P$1)-COLUMN($H$1)+1,Beräkningshjälp!$AB$2:$AI$1082,3,FALSE),0)),0),"")</f>
        <v/>
      </c>
      <c r="Q101" s="2" t="str">
        <f>IF($E101&lt;&gt;"",IF(AND($E101&lt;&gt;"EJFANGST",$G101&lt;&gt;"INGA"),IF(ISNUMBER(VLOOKUP((ROW($H100)-ROW($H$1)+1)*10+COLUMN(Q$1)-COLUMN($H$1)+1,Beräkningshjälp!$AB$2:$AI$1082,7,FALSE)),VLOOKUP((ROW($H100)-ROW($H$1)+1)*10+COLUMN(Q$1)-COLUMN($H$1)+1,Beräkningshjälp!$AB$2:$AI$1082,7,FALSE),IF(P101&gt;0,-VLOOKUP((ROW($H100)-ROW($H$1)+1)*10+COLUMN(Q$1)-COLUMN($H$1)+1,Beräkningshjälp!$AB$2:$AI$1082,3,FALSE),0)),0),"")</f>
        <v/>
      </c>
      <c r="R101" s="116" t="str">
        <f>IF(COUNTIF(H101:Q101,"&gt;0")&gt;0,IF($E101&lt;&gt;"",IF(AND($E101&lt;&gt;"EJFANGST",$G101&lt;&gt;"INGA"),IF(ISNUMBER(VLOOKUP((ROW($H100)-ROW($H$1)+1)*10+COLUMN(H$1)-COLUMN($H$1)+1,Beräkningshjälp!$AB$2:$AI$1082,7,FALSE)),VLOOKUP((ROW($H100)-ROW($H$1)+1)*10+COLUMN(H$1)-COLUMN($H$1)+1,Beräkningshjälp!$AB$2:$AI$1082,3,FALSE),""),""),""),"")</f>
        <v/>
      </c>
    </row>
    <row r="102" spans="1:18" x14ac:dyDescent="0.25">
      <c r="A102" s="2" t="str">
        <f t="shared" si="1"/>
        <v/>
      </c>
      <c r="B102" s="2" t="str">
        <f>IF(D102&lt;&gt;"",'DATA TILL SLU'!$J$3,"")</f>
        <v/>
      </c>
      <c r="C102" s="2" t="str">
        <f>IF(D102&lt;&gt;"",'DATA TILL SLU'!$K$3,"")</f>
        <v/>
      </c>
      <c r="D102" s="2" t="str">
        <f>IF(OR(ROW(D101)-ROW(D$1)+1&lt;=MAX(Beräkningshjälp!$F$37:$F$54),ROW(D101)-ROW(D$1)+1&lt;=ROUND((MAX(Beräkningshjälp!AB$3:AB$1082)+4)/10,0)-1),D$2,"")</f>
        <v/>
      </c>
      <c r="E102" s="136" t="str">
        <f>IF(D102&lt;&gt;"",IF(COUNTIF(Beräkningshjälp!F$38:F$49,"&gt;0")&gt;=ROW(E101)-ROW(E$1)+1,VLOOKUP((VLOOKUP(ROW(E101)-ROW(E$1)+1,Beräkningshjälp!$F$37:$H$54,IF(ISNUMBER(VLOOKUP(ROW(E101)-ROW(E$1)+1,Beräkningshjälp!$F$37:$H$54,2,FALSE)),2,3),FALSE)),Beräkningshjälp!$M$2:$O$60,3,FALSE),VLOOKUP((ROW(E101)-ROW(E$1)+1)*10+1,Beräkningshjälp!$AB$2:$AF$1082,5,FALSE)),"")</f>
        <v/>
      </c>
      <c r="F102" s="2" t="str">
        <f>IF(D102&lt;&gt;"",Beräkningshjälp!$AH$1,"")</f>
        <v/>
      </c>
      <c r="G102" s="136" t="str">
        <f>IF(D102&lt;&gt;"",IF(COUNTIF(Beräkningshjälp!F$38:F$49,"&gt;0")&gt;=ROW(E101)-ROW(E$1)+1,"INGA",IF(COUNTIF(Beräkningshjälp!$G$38:$H$49,VLOOKUP(E102,Beräkningshjälp!$AF$2:$AG$1082,2,FALSE))&gt;0,"ENSTAK",IF(VLOOKUP(VLOOKUP(E102,Beräkningshjälp!O$2:U$60,7,FALSE),Artuppgifter!$I$11:$P$22,7,FALSE)=TRUE,"MINMAX","ALLA"))),"")</f>
        <v/>
      </c>
      <c r="H102" s="2" t="str">
        <f>IF($E102&lt;&gt;"",IF(AND($E102&lt;&gt;"EJFANGST",$G102&lt;&gt;"INGA"),IF(ISNUMBER(VLOOKUP((ROW($H101)-ROW($H$1)+1)*10+COLUMN(H$1)-COLUMN($H$1)+1,Beräkningshjälp!$AB$2:$AI$1082,7,FALSE)),VLOOKUP((ROW($H101)-ROW($H$1)+1)*10+COLUMN(H$1)-COLUMN($H$1)+1,Beräkningshjälp!$AB$2:$AI$1082,7,FALSE),IF(E102&gt;0,-VLOOKUP((ROW($H101)-ROW($H$1)+1)*10+COLUMN(H$1)-COLUMN($H$1)+1,Beräkningshjälp!$AB$2:$AI$1082,3,FALSE),0)),0),"")</f>
        <v/>
      </c>
      <c r="I102" s="2" t="str">
        <f>IF($E102&lt;&gt;"",IF(AND($E102&lt;&gt;"EJFANGST",$G102&lt;&gt;"INGA"),IF(ISNUMBER(VLOOKUP((ROW($H101)-ROW($H$1)+1)*10+COLUMN(I$1)-COLUMN($H$1)+1,Beräkningshjälp!$AB$2:$AI$1082,7,FALSE)),VLOOKUP((ROW($H101)-ROW($H$1)+1)*10+COLUMN(I$1)-COLUMN($H$1)+1,Beräkningshjälp!$AB$2:$AI$1082,7,FALSE),IF(H102&gt;0,-VLOOKUP((ROW($H101)-ROW($H$1)+1)*10+COLUMN(I$1)-COLUMN($H$1)+1,Beräkningshjälp!$AB$2:$AI$1082,3,FALSE),0)),0),"")</f>
        <v/>
      </c>
      <c r="J102" s="2" t="str">
        <f>IF($E102&lt;&gt;"",IF(AND($E102&lt;&gt;"EJFANGST",$G102&lt;&gt;"INGA"),IF(ISNUMBER(VLOOKUP((ROW($H101)-ROW($H$1)+1)*10+COLUMN(J$1)-COLUMN($H$1)+1,Beräkningshjälp!$AB$2:$AI$1082,7,FALSE)),VLOOKUP((ROW($H101)-ROW($H$1)+1)*10+COLUMN(J$1)-COLUMN($H$1)+1,Beräkningshjälp!$AB$2:$AI$1082,7,FALSE),IF(I102&gt;0,-VLOOKUP((ROW($H101)-ROW($H$1)+1)*10+COLUMN(J$1)-COLUMN($H$1)+1,Beräkningshjälp!$AB$2:$AI$1082,3,FALSE),0)),0),"")</f>
        <v/>
      </c>
      <c r="K102" s="2" t="str">
        <f>IF($E102&lt;&gt;"",IF(AND($E102&lt;&gt;"EJFANGST",$G102&lt;&gt;"INGA"),IF(ISNUMBER(VLOOKUP((ROW($H101)-ROW($H$1)+1)*10+COLUMN(K$1)-COLUMN($H$1)+1,Beräkningshjälp!$AB$2:$AI$1082,7,FALSE)),VLOOKUP((ROW($H101)-ROW($H$1)+1)*10+COLUMN(K$1)-COLUMN($H$1)+1,Beräkningshjälp!$AB$2:$AI$1082,7,FALSE),IF(J102&gt;0,-VLOOKUP((ROW($H101)-ROW($H$1)+1)*10+COLUMN(K$1)-COLUMN($H$1)+1,Beräkningshjälp!$AB$2:$AI$1082,3,FALSE),0)),0),"")</f>
        <v/>
      </c>
      <c r="L102" s="2" t="str">
        <f>IF($E102&lt;&gt;"",IF(AND($E102&lt;&gt;"EJFANGST",$G102&lt;&gt;"INGA"),IF(ISNUMBER(VLOOKUP((ROW($H101)-ROW($H$1)+1)*10+COLUMN(L$1)-COLUMN($H$1)+1,Beräkningshjälp!$AB$2:$AI$1082,7,FALSE)),VLOOKUP((ROW($H101)-ROW($H$1)+1)*10+COLUMN(L$1)-COLUMN($H$1)+1,Beräkningshjälp!$AB$2:$AI$1082,7,FALSE),IF(K102&gt;0,-VLOOKUP((ROW($H101)-ROW($H$1)+1)*10+COLUMN(L$1)-COLUMN($H$1)+1,Beräkningshjälp!$AB$2:$AI$1082,3,FALSE),0)),0),"")</f>
        <v/>
      </c>
      <c r="M102" s="2" t="str">
        <f>IF($E102&lt;&gt;"",IF(AND($E102&lt;&gt;"EJFANGST",$G102&lt;&gt;"INGA"),IF(ISNUMBER(VLOOKUP((ROW($H101)-ROW($H$1)+1)*10+COLUMN(M$1)-COLUMN($H$1)+1,Beräkningshjälp!$AB$2:$AI$1082,7,FALSE)),VLOOKUP((ROW($H101)-ROW($H$1)+1)*10+COLUMN(M$1)-COLUMN($H$1)+1,Beräkningshjälp!$AB$2:$AI$1082,7,FALSE),IF(L102&gt;0,-VLOOKUP((ROW($H101)-ROW($H$1)+1)*10+COLUMN(M$1)-COLUMN($H$1)+1,Beräkningshjälp!$AB$2:$AI$1082,3,FALSE),0)),0),"")</f>
        <v/>
      </c>
      <c r="N102" s="2" t="str">
        <f>IF($E102&lt;&gt;"",IF(AND($E102&lt;&gt;"EJFANGST",$G102&lt;&gt;"INGA"),IF(ISNUMBER(VLOOKUP((ROW($H101)-ROW($H$1)+1)*10+COLUMN(N$1)-COLUMN($H$1)+1,Beräkningshjälp!$AB$2:$AI$1082,7,FALSE)),VLOOKUP((ROW($H101)-ROW($H$1)+1)*10+COLUMN(N$1)-COLUMN($H$1)+1,Beräkningshjälp!$AB$2:$AI$1082,7,FALSE),IF(M102&gt;0,-VLOOKUP((ROW($H101)-ROW($H$1)+1)*10+COLUMN(N$1)-COLUMN($H$1)+1,Beräkningshjälp!$AB$2:$AI$1082,3,FALSE),0)),0),"")</f>
        <v/>
      </c>
      <c r="O102" s="2" t="str">
        <f>IF($E102&lt;&gt;"",IF(AND($E102&lt;&gt;"EJFANGST",$G102&lt;&gt;"INGA"),IF(ISNUMBER(VLOOKUP((ROW($H101)-ROW($H$1)+1)*10+COLUMN(O$1)-COLUMN($H$1)+1,Beräkningshjälp!$AB$2:$AI$1082,7,FALSE)),VLOOKUP((ROW($H101)-ROW($H$1)+1)*10+COLUMN(O$1)-COLUMN($H$1)+1,Beräkningshjälp!$AB$2:$AI$1082,7,FALSE),IF(N102&gt;0,-VLOOKUP((ROW($H101)-ROW($H$1)+1)*10+COLUMN(O$1)-COLUMN($H$1)+1,Beräkningshjälp!$AB$2:$AI$1082,3,FALSE),0)),0),"")</f>
        <v/>
      </c>
      <c r="P102" s="2" t="str">
        <f>IF($E102&lt;&gt;"",IF(AND($E102&lt;&gt;"EJFANGST",$G102&lt;&gt;"INGA"),IF(ISNUMBER(VLOOKUP((ROW($H101)-ROW($H$1)+1)*10+COLUMN(P$1)-COLUMN($H$1)+1,Beräkningshjälp!$AB$2:$AI$1082,7,FALSE)),VLOOKUP((ROW($H101)-ROW($H$1)+1)*10+COLUMN(P$1)-COLUMN($H$1)+1,Beräkningshjälp!$AB$2:$AI$1082,7,FALSE),IF(O102&gt;0,-VLOOKUP((ROW($H101)-ROW($H$1)+1)*10+COLUMN(P$1)-COLUMN($H$1)+1,Beräkningshjälp!$AB$2:$AI$1082,3,FALSE),0)),0),"")</f>
        <v/>
      </c>
      <c r="Q102" s="2" t="str">
        <f>IF($E102&lt;&gt;"",IF(AND($E102&lt;&gt;"EJFANGST",$G102&lt;&gt;"INGA"),IF(ISNUMBER(VLOOKUP((ROW($H101)-ROW($H$1)+1)*10+COLUMN(Q$1)-COLUMN($H$1)+1,Beräkningshjälp!$AB$2:$AI$1082,7,FALSE)),VLOOKUP((ROW($H101)-ROW($H$1)+1)*10+COLUMN(Q$1)-COLUMN($H$1)+1,Beräkningshjälp!$AB$2:$AI$1082,7,FALSE),IF(P102&gt;0,-VLOOKUP((ROW($H101)-ROW($H$1)+1)*10+COLUMN(Q$1)-COLUMN($H$1)+1,Beräkningshjälp!$AB$2:$AI$1082,3,FALSE),0)),0),"")</f>
        <v/>
      </c>
      <c r="R102" s="116" t="str">
        <f>IF(COUNTIF(H102:Q102,"&gt;0")&gt;0,IF($E102&lt;&gt;"",IF(AND($E102&lt;&gt;"EJFANGST",$G102&lt;&gt;"INGA"),IF(ISNUMBER(VLOOKUP((ROW($H101)-ROW($H$1)+1)*10+COLUMN(H$1)-COLUMN($H$1)+1,Beräkningshjälp!$AB$2:$AI$1082,7,FALSE)),VLOOKUP((ROW($H101)-ROW($H$1)+1)*10+COLUMN(H$1)-COLUMN($H$1)+1,Beräkningshjälp!$AB$2:$AI$1082,3,FALSE),""),""),""),"")</f>
        <v/>
      </c>
    </row>
    <row r="103" spans="1:18" x14ac:dyDescent="0.25">
      <c r="A103" s="2" t="str">
        <f t="shared" si="1"/>
        <v/>
      </c>
      <c r="B103" s="2" t="str">
        <f>IF(D103&lt;&gt;"",'DATA TILL SLU'!$J$3,"")</f>
        <v/>
      </c>
      <c r="C103" s="2" t="str">
        <f>IF(D103&lt;&gt;"",'DATA TILL SLU'!$K$3,"")</f>
        <v/>
      </c>
      <c r="D103" s="2" t="str">
        <f>IF(OR(ROW(D102)-ROW(D$1)+1&lt;=MAX(Beräkningshjälp!$F$37:$F$54),ROW(D102)-ROW(D$1)+1&lt;=ROUND((MAX(Beräkningshjälp!AB$3:AB$1082)+4)/10,0)-1),D$2,"")</f>
        <v/>
      </c>
      <c r="E103" s="136" t="str">
        <f>IF(D103&lt;&gt;"",IF(COUNTIF(Beräkningshjälp!F$38:F$49,"&gt;0")&gt;=ROW(E102)-ROW(E$1)+1,VLOOKUP((VLOOKUP(ROW(E102)-ROW(E$1)+1,Beräkningshjälp!$F$37:$H$54,IF(ISNUMBER(VLOOKUP(ROW(E102)-ROW(E$1)+1,Beräkningshjälp!$F$37:$H$54,2,FALSE)),2,3),FALSE)),Beräkningshjälp!$M$2:$O$60,3,FALSE),VLOOKUP((ROW(E102)-ROW(E$1)+1)*10+1,Beräkningshjälp!$AB$2:$AF$1082,5,FALSE)),"")</f>
        <v/>
      </c>
      <c r="F103" s="2" t="str">
        <f>IF(D103&lt;&gt;"",Beräkningshjälp!$AH$1,"")</f>
        <v/>
      </c>
      <c r="G103" s="136" t="str">
        <f>IF(D103&lt;&gt;"",IF(COUNTIF(Beräkningshjälp!F$38:F$49,"&gt;0")&gt;=ROW(E102)-ROW(E$1)+1,"INGA",IF(COUNTIF(Beräkningshjälp!$G$38:$H$49,VLOOKUP(E103,Beräkningshjälp!$AF$2:$AG$1082,2,FALSE))&gt;0,"ENSTAK",IF(VLOOKUP(VLOOKUP(E103,Beräkningshjälp!O$2:U$60,7,FALSE),Artuppgifter!$I$11:$P$22,7,FALSE)=TRUE,"MINMAX","ALLA"))),"")</f>
        <v/>
      </c>
      <c r="H103" s="2" t="str">
        <f>IF($E103&lt;&gt;"",IF(AND($E103&lt;&gt;"EJFANGST",$G103&lt;&gt;"INGA"),IF(ISNUMBER(VLOOKUP((ROW($H102)-ROW($H$1)+1)*10+COLUMN(H$1)-COLUMN($H$1)+1,Beräkningshjälp!$AB$2:$AI$1082,7,FALSE)),VLOOKUP((ROW($H102)-ROW($H$1)+1)*10+COLUMN(H$1)-COLUMN($H$1)+1,Beräkningshjälp!$AB$2:$AI$1082,7,FALSE),IF(E103&gt;0,-VLOOKUP((ROW($H102)-ROW($H$1)+1)*10+COLUMN(H$1)-COLUMN($H$1)+1,Beräkningshjälp!$AB$2:$AI$1082,3,FALSE),0)),0),"")</f>
        <v/>
      </c>
      <c r="I103" s="2" t="str">
        <f>IF($E103&lt;&gt;"",IF(AND($E103&lt;&gt;"EJFANGST",$G103&lt;&gt;"INGA"),IF(ISNUMBER(VLOOKUP((ROW($H102)-ROW($H$1)+1)*10+COLUMN(I$1)-COLUMN($H$1)+1,Beräkningshjälp!$AB$2:$AI$1082,7,FALSE)),VLOOKUP((ROW($H102)-ROW($H$1)+1)*10+COLUMN(I$1)-COLUMN($H$1)+1,Beräkningshjälp!$AB$2:$AI$1082,7,FALSE),IF(H103&gt;0,-VLOOKUP((ROW($H102)-ROW($H$1)+1)*10+COLUMN(I$1)-COLUMN($H$1)+1,Beräkningshjälp!$AB$2:$AI$1082,3,FALSE),0)),0),"")</f>
        <v/>
      </c>
      <c r="J103" s="2" t="str">
        <f>IF($E103&lt;&gt;"",IF(AND($E103&lt;&gt;"EJFANGST",$G103&lt;&gt;"INGA"),IF(ISNUMBER(VLOOKUP((ROW($H102)-ROW($H$1)+1)*10+COLUMN(J$1)-COLUMN($H$1)+1,Beräkningshjälp!$AB$2:$AI$1082,7,FALSE)),VLOOKUP((ROW($H102)-ROW($H$1)+1)*10+COLUMN(J$1)-COLUMN($H$1)+1,Beräkningshjälp!$AB$2:$AI$1082,7,FALSE),IF(I103&gt;0,-VLOOKUP((ROW($H102)-ROW($H$1)+1)*10+COLUMN(J$1)-COLUMN($H$1)+1,Beräkningshjälp!$AB$2:$AI$1082,3,FALSE),0)),0),"")</f>
        <v/>
      </c>
      <c r="K103" s="2" t="str">
        <f>IF($E103&lt;&gt;"",IF(AND($E103&lt;&gt;"EJFANGST",$G103&lt;&gt;"INGA"),IF(ISNUMBER(VLOOKUP((ROW($H102)-ROW($H$1)+1)*10+COLUMN(K$1)-COLUMN($H$1)+1,Beräkningshjälp!$AB$2:$AI$1082,7,FALSE)),VLOOKUP((ROW($H102)-ROW($H$1)+1)*10+COLUMN(K$1)-COLUMN($H$1)+1,Beräkningshjälp!$AB$2:$AI$1082,7,FALSE),IF(J103&gt;0,-VLOOKUP((ROW($H102)-ROW($H$1)+1)*10+COLUMN(K$1)-COLUMN($H$1)+1,Beräkningshjälp!$AB$2:$AI$1082,3,FALSE),0)),0),"")</f>
        <v/>
      </c>
      <c r="L103" s="2" t="str">
        <f>IF($E103&lt;&gt;"",IF(AND($E103&lt;&gt;"EJFANGST",$G103&lt;&gt;"INGA"),IF(ISNUMBER(VLOOKUP((ROW($H102)-ROW($H$1)+1)*10+COLUMN(L$1)-COLUMN($H$1)+1,Beräkningshjälp!$AB$2:$AI$1082,7,FALSE)),VLOOKUP((ROW($H102)-ROW($H$1)+1)*10+COLUMN(L$1)-COLUMN($H$1)+1,Beräkningshjälp!$AB$2:$AI$1082,7,FALSE),IF(K103&gt;0,-VLOOKUP((ROW($H102)-ROW($H$1)+1)*10+COLUMN(L$1)-COLUMN($H$1)+1,Beräkningshjälp!$AB$2:$AI$1082,3,FALSE),0)),0),"")</f>
        <v/>
      </c>
      <c r="M103" s="2" t="str">
        <f>IF($E103&lt;&gt;"",IF(AND($E103&lt;&gt;"EJFANGST",$G103&lt;&gt;"INGA"),IF(ISNUMBER(VLOOKUP((ROW($H102)-ROW($H$1)+1)*10+COLUMN(M$1)-COLUMN($H$1)+1,Beräkningshjälp!$AB$2:$AI$1082,7,FALSE)),VLOOKUP((ROW($H102)-ROW($H$1)+1)*10+COLUMN(M$1)-COLUMN($H$1)+1,Beräkningshjälp!$AB$2:$AI$1082,7,FALSE),IF(L103&gt;0,-VLOOKUP((ROW($H102)-ROW($H$1)+1)*10+COLUMN(M$1)-COLUMN($H$1)+1,Beräkningshjälp!$AB$2:$AI$1082,3,FALSE),0)),0),"")</f>
        <v/>
      </c>
      <c r="N103" s="2" t="str">
        <f>IF($E103&lt;&gt;"",IF(AND($E103&lt;&gt;"EJFANGST",$G103&lt;&gt;"INGA"),IF(ISNUMBER(VLOOKUP((ROW($H102)-ROW($H$1)+1)*10+COLUMN(N$1)-COLUMN($H$1)+1,Beräkningshjälp!$AB$2:$AI$1082,7,FALSE)),VLOOKUP((ROW($H102)-ROW($H$1)+1)*10+COLUMN(N$1)-COLUMN($H$1)+1,Beräkningshjälp!$AB$2:$AI$1082,7,FALSE),IF(M103&gt;0,-VLOOKUP((ROW($H102)-ROW($H$1)+1)*10+COLUMN(N$1)-COLUMN($H$1)+1,Beräkningshjälp!$AB$2:$AI$1082,3,FALSE),0)),0),"")</f>
        <v/>
      </c>
      <c r="O103" s="2" t="str">
        <f>IF($E103&lt;&gt;"",IF(AND($E103&lt;&gt;"EJFANGST",$G103&lt;&gt;"INGA"),IF(ISNUMBER(VLOOKUP((ROW($H102)-ROW($H$1)+1)*10+COLUMN(O$1)-COLUMN($H$1)+1,Beräkningshjälp!$AB$2:$AI$1082,7,FALSE)),VLOOKUP((ROW($H102)-ROW($H$1)+1)*10+COLUMN(O$1)-COLUMN($H$1)+1,Beräkningshjälp!$AB$2:$AI$1082,7,FALSE),IF(N103&gt;0,-VLOOKUP((ROW($H102)-ROW($H$1)+1)*10+COLUMN(O$1)-COLUMN($H$1)+1,Beräkningshjälp!$AB$2:$AI$1082,3,FALSE),0)),0),"")</f>
        <v/>
      </c>
      <c r="P103" s="2" t="str">
        <f>IF($E103&lt;&gt;"",IF(AND($E103&lt;&gt;"EJFANGST",$G103&lt;&gt;"INGA"),IF(ISNUMBER(VLOOKUP((ROW($H102)-ROW($H$1)+1)*10+COLUMN(P$1)-COLUMN($H$1)+1,Beräkningshjälp!$AB$2:$AI$1082,7,FALSE)),VLOOKUP((ROW($H102)-ROW($H$1)+1)*10+COLUMN(P$1)-COLUMN($H$1)+1,Beräkningshjälp!$AB$2:$AI$1082,7,FALSE),IF(O103&gt;0,-VLOOKUP((ROW($H102)-ROW($H$1)+1)*10+COLUMN(P$1)-COLUMN($H$1)+1,Beräkningshjälp!$AB$2:$AI$1082,3,FALSE),0)),0),"")</f>
        <v/>
      </c>
      <c r="Q103" s="2" t="str">
        <f>IF($E103&lt;&gt;"",IF(AND($E103&lt;&gt;"EJFANGST",$G103&lt;&gt;"INGA"),IF(ISNUMBER(VLOOKUP((ROW($H102)-ROW($H$1)+1)*10+COLUMN(Q$1)-COLUMN($H$1)+1,Beräkningshjälp!$AB$2:$AI$1082,7,FALSE)),VLOOKUP((ROW($H102)-ROW($H$1)+1)*10+COLUMN(Q$1)-COLUMN($H$1)+1,Beräkningshjälp!$AB$2:$AI$1082,7,FALSE),IF(P103&gt;0,-VLOOKUP((ROW($H102)-ROW($H$1)+1)*10+COLUMN(Q$1)-COLUMN($H$1)+1,Beräkningshjälp!$AB$2:$AI$1082,3,FALSE),0)),0),"")</f>
        <v/>
      </c>
      <c r="R103" s="116" t="str">
        <f>IF(COUNTIF(H103:Q103,"&gt;0")&gt;0,IF($E103&lt;&gt;"",IF(AND($E103&lt;&gt;"EJFANGST",$G103&lt;&gt;"INGA"),IF(ISNUMBER(VLOOKUP((ROW($H102)-ROW($H$1)+1)*10+COLUMN(H$1)-COLUMN($H$1)+1,Beräkningshjälp!$AB$2:$AI$1082,7,FALSE)),VLOOKUP((ROW($H102)-ROW($H$1)+1)*10+COLUMN(H$1)-COLUMN($H$1)+1,Beräkningshjälp!$AB$2:$AI$1082,3,FALSE),""),""),""),"")</f>
        <v/>
      </c>
    </row>
    <row r="104" spans="1:18" x14ac:dyDescent="0.25">
      <c r="A104" s="2" t="str">
        <f t="shared" si="1"/>
        <v/>
      </c>
      <c r="B104" s="2" t="str">
        <f>IF(D104&lt;&gt;"",'DATA TILL SLU'!$J$3,"")</f>
        <v/>
      </c>
      <c r="C104" s="2" t="str">
        <f>IF(D104&lt;&gt;"",'DATA TILL SLU'!$K$3,"")</f>
        <v/>
      </c>
      <c r="D104" s="2" t="str">
        <f>IF(OR(ROW(D103)-ROW(D$1)+1&lt;=MAX(Beräkningshjälp!$F$37:$F$54),ROW(D103)-ROW(D$1)+1&lt;=ROUND((MAX(Beräkningshjälp!AB$3:AB$1082)+4)/10,0)-1),D$2,"")</f>
        <v/>
      </c>
      <c r="E104" s="136" t="str">
        <f>IF(D104&lt;&gt;"",IF(COUNTIF(Beräkningshjälp!F$38:F$49,"&gt;0")&gt;=ROW(E103)-ROW(E$1)+1,VLOOKUP((VLOOKUP(ROW(E103)-ROW(E$1)+1,Beräkningshjälp!$F$37:$H$54,IF(ISNUMBER(VLOOKUP(ROW(E103)-ROW(E$1)+1,Beräkningshjälp!$F$37:$H$54,2,FALSE)),2,3),FALSE)),Beräkningshjälp!$M$2:$O$60,3,FALSE),VLOOKUP((ROW(E103)-ROW(E$1)+1)*10+1,Beräkningshjälp!$AB$2:$AF$1082,5,FALSE)),"")</f>
        <v/>
      </c>
      <c r="F104" s="2" t="str">
        <f>IF(D104&lt;&gt;"",Beräkningshjälp!$AH$1,"")</f>
        <v/>
      </c>
      <c r="G104" s="136" t="str">
        <f>IF(D104&lt;&gt;"",IF(COUNTIF(Beräkningshjälp!F$38:F$49,"&gt;0")&gt;=ROW(E103)-ROW(E$1)+1,"INGA",IF(COUNTIF(Beräkningshjälp!$G$38:$H$49,VLOOKUP(E104,Beräkningshjälp!$AF$2:$AG$1082,2,FALSE))&gt;0,"ENSTAK",IF(VLOOKUP(VLOOKUP(E104,Beräkningshjälp!O$2:U$60,7,FALSE),Artuppgifter!$I$11:$P$22,7,FALSE)=TRUE,"MINMAX","ALLA"))),"")</f>
        <v/>
      </c>
      <c r="H104" s="2" t="str">
        <f>IF($E104&lt;&gt;"",IF(AND($E104&lt;&gt;"EJFANGST",$G104&lt;&gt;"INGA"),IF(ISNUMBER(VLOOKUP((ROW($H103)-ROW($H$1)+1)*10+COLUMN(H$1)-COLUMN($H$1)+1,Beräkningshjälp!$AB$2:$AI$1082,7,FALSE)),VLOOKUP((ROW($H103)-ROW($H$1)+1)*10+COLUMN(H$1)-COLUMN($H$1)+1,Beräkningshjälp!$AB$2:$AI$1082,7,FALSE),IF(E104&gt;0,-VLOOKUP((ROW($H103)-ROW($H$1)+1)*10+COLUMN(H$1)-COLUMN($H$1)+1,Beräkningshjälp!$AB$2:$AI$1082,3,FALSE),0)),0),"")</f>
        <v/>
      </c>
      <c r="I104" s="2" t="str">
        <f>IF($E104&lt;&gt;"",IF(AND($E104&lt;&gt;"EJFANGST",$G104&lt;&gt;"INGA"),IF(ISNUMBER(VLOOKUP((ROW($H103)-ROW($H$1)+1)*10+COLUMN(I$1)-COLUMN($H$1)+1,Beräkningshjälp!$AB$2:$AI$1082,7,FALSE)),VLOOKUP((ROW($H103)-ROW($H$1)+1)*10+COLUMN(I$1)-COLUMN($H$1)+1,Beräkningshjälp!$AB$2:$AI$1082,7,FALSE),IF(H104&gt;0,-VLOOKUP((ROW($H103)-ROW($H$1)+1)*10+COLUMN(I$1)-COLUMN($H$1)+1,Beräkningshjälp!$AB$2:$AI$1082,3,FALSE),0)),0),"")</f>
        <v/>
      </c>
      <c r="J104" s="2" t="str">
        <f>IF($E104&lt;&gt;"",IF(AND($E104&lt;&gt;"EJFANGST",$G104&lt;&gt;"INGA"),IF(ISNUMBER(VLOOKUP((ROW($H103)-ROW($H$1)+1)*10+COLUMN(J$1)-COLUMN($H$1)+1,Beräkningshjälp!$AB$2:$AI$1082,7,FALSE)),VLOOKUP((ROW($H103)-ROW($H$1)+1)*10+COLUMN(J$1)-COLUMN($H$1)+1,Beräkningshjälp!$AB$2:$AI$1082,7,FALSE),IF(I104&gt;0,-VLOOKUP((ROW($H103)-ROW($H$1)+1)*10+COLUMN(J$1)-COLUMN($H$1)+1,Beräkningshjälp!$AB$2:$AI$1082,3,FALSE),0)),0),"")</f>
        <v/>
      </c>
      <c r="K104" s="2" t="str">
        <f>IF($E104&lt;&gt;"",IF(AND($E104&lt;&gt;"EJFANGST",$G104&lt;&gt;"INGA"),IF(ISNUMBER(VLOOKUP((ROW($H103)-ROW($H$1)+1)*10+COLUMN(K$1)-COLUMN($H$1)+1,Beräkningshjälp!$AB$2:$AI$1082,7,FALSE)),VLOOKUP((ROW($H103)-ROW($H$1)+1)*10+COLUMN(K$1)-COLUMN($H$1)+1,Beräkningshjälp!$AB$2:$AI$1082,7,FALSE),IF(J104&gt;0,-VLOOKUP((ROW($H103)-ROW($H$1)+1)*10+COLUMN(K$1)-COLUMN($H$1)+1,Beräkningshjälp!$AB$2:$AI$1082,3,FALSE),0)),0),"")</f>
        <v/>
      </c>
      <c r="L104" s="2" t="str">
        <f>IF($E104&lt;&gt;"",IF(AND($E104&lt;&gt;"EJFANGST",$G104&lt;&gt;"INGA"),IF(ISNUMBER(VLOOKUP((ROW($H103)-ROW($H$1)+1)*10+COLUMN(L$1)-COLUMN($H$1)+1,Beräkningshjälp!$AB$2:$AI$1082,7,FALSE)),VLOOKUP((ROW($H103)-ROW($H$1)+1)*10+COLUMN(L$1)-COLUMN($H$1)+1,Beräkningshjälp!$AB$2:$AI$1082,7,FALSE),IF(K104&gt;0,-VLOOKUP((ROW($H103)-ROW($H$1)+1)*10+COLUMN(L$1)-COLUMN($H$1)+1,Beräkningshjälp!$AB$2:$AI$1082,3,FALSE),0)),0),"")</f>
        <v/>
      </c>
      <c r="M104" s="2" t="str">
        <f>IF($E104&lt;&gt;"",IF(AND($E104&lt;&gt;"EJFANGST",$G104&lt;&gt;"INGA"),IF(ISNUMBER(VLOOKUP((ROW($H103)-ROW($H$1)+1)*10+COLUMN(M$1)-COLUMN($H$1)+1,Beräkningshjälp!$AB$2:$AI$1082,7,FALSE)),VLOOKUP((ROW($H103)-ROW($H$1)+1)*10+COLUMN(M$1)-COLUMN($H$1)+1,Beräkningshjälp!$AB$2:$AI$1082,7,FALSE),IF(L104&gt;0,-VLOOKUP((ROW($H103)-ROW($H$1)+1)*10+COLUMN(M$1)-COLUMN($H$1)+1,Beräkningshjälp!$AB$2:$AI$1082,3,FALSE),0)),0),"")</f>
        <v/>
      </c>
      <c r="N104" s="2" t="str">
        <f>IF($E104&lt;&gt;"",IF(AND($E104&lt;&gt;"EJFANGST",$G104&lt;&gt;"INGA"),IF(ISNUMBER(VLOOKUP((ROW($H103)-ROW($H$1)+1)*10+COLUMN(N$1)-COLUMN($H$1)+1,Beräkningshjälp!$AB$2:$AI$1082,7,FALSE)),VLOOKUP((ROW($H103)-ROW($H$1)+1)*10+COLUMN(N$1)-COLUMN($H$1)+1,Beräkningshjälp!$AB$2:$AI$1082,7,FALSE),IF(M104&gt;0,-VLOOKUP((ROW($H103)-ROW($H$1)+1)*10+COLUMN(N$1)-COLUMN($H$1)+1,Beräkningshjälp!$AB$2:$AI$1082,3,FALSE),0)),0),"")</f>
        <v/>
      </c>
      <c r="O104" s="2" t="str">
        <f>IF($E104&lt;&gt;"",IF(AND($E104&lt;&gt;"EJFANGST",$G104&lt;&gt;"INGA"),IF(ISNUMBER(VLOOKUP((ROW($H103)-ROW($H$1)+1)*10+COLUMN(O$1)-COLUMN($H$1)+1,Beräkningshjälp!$AB$2:$AI$1082,7,FALSE)),VLOOKUP((ROW($H103)-ROW($H$1)+1)*10+COLUMN(O$1)-COLUMN($H$1)+1,Beräkningshjälp!$AB$2:$AI$1082,7,FALSE),IF(N104&gt;0,-VLOOKUP((ROW($H103)-ROW($H$1)+1)*10+COLUMN(O$1)-COLUMN($H$1)+1,Beräkningshjälp!$AB$2:$AI$1082,3,FALSE),0)),0),"")</f>
        <v/>
      </c>
      <c r="P104" s="2" t="str">
        <f>IF($E104&lt;&gt;"",IF(AND($E104&lt;&gt;"EJFANGST",$G104&lt;&gt;"INGA"),IF(ISNUMBER(VLOOKUP((ROW($H103)-ROW($H$1)+1)*10+COLUMN(P$1)-COLUMN($H$1)+1,Beräkningshjälp!$AB$2:$AI$1082,7,FALSE)),VLOOKUP((ROW($H103)-ROW($H$1)+1)*10+COLUMN(P$1)-COLUMN($H$1)+1,Beräkningshjälp!$AB$2:$AI$1082,7,FALSE),IF(O104&gt;0,-VLOOKUP((ROW($H103)-ROW($H$1)+1)*10+COLUMN(P$1)-COLUMN($H$1)+1,Beräkningshjälp!$AB$2:$AI$1082,3,FALSE),0)),0),"")</f>
        <v/>
      </c>
      <c r="Q104" s="2" t="str">
        <f>IF($E104&lt;&gt;"",IF(AND($E104&lt;&gt;"EJFANGST",$G104&lt;&gt;"INGA"),IF(ISNUMBER(VLOOKUP((ROW($H103)-ROW($H$1)+1)*10+COLUMN(Q$1)-COLUMN($H$1)+1,Beräkningshjälp!$AB$2:$AI$1082,7,FALSE)),VLOOKUP((ROW($H103)-ROW($H$1)+1)*10+COLUMN(Q$1)-COLUMN($H$1)+1,Beräkningshjälp!$AB$2:$AI$1082,7,FALSE),IF(P104&gt;0,-VLOOKUP((ROW($H103)-ROW($H$1)+1)*10+COLUMN(Q$1)-COLUMN($H$1)+1,Beräkningshjälp!$AB$2:$AI$1082,3,FALSE),0)),0),"")</f>
        <v/>
      </c>
      <c r="R104" s="116" t="str">
        <f>IF(COUNTIF(H104:Q104,"&gt;0")&gt;0,IF($E104&lt;&gt;"",IF(AND($E104&lt;&gt;"EJFANGST",$G104&lt;&gt;"INGA"),IF(ISNUMBER(VLOOKUP((ROW($H103)-ROW($H$1)+1)*10+COLUMN(H$1)-COLUMN($H$1)+1,Beräkningshjälp!$AB$2:$AI$1082,7,FALSE)),VLOOKUP((ROW($H103)-ROW($H$1)+1)*10+COLUMN(H$1)-COLUMN($H$1)+1,Beräkningshjälp!$AB$2:$AI$1082,3,FALSE),""),""),""),"")</f>
        <v/>
      </c>
    </row>
    <row r="105" spans="1:18" x14ac:dyDescent="0.25">
      <c r="A105" s="2" t="str">
        <f t="shared" si="1"/>
        <v/>
      </c>
      <c r="B105" s="2" t="str">
        <f>IF(D105&lt;&gt;"",'DATA TILL SLU'!$J$3,"")</f>
        <v/>
      </c>
      <c r="C105" s="2" t="str">
        <f>IF(D105&lt;&gt;"",'DATA TILL SLU'!$K$3,"")</f>
        <v/>
      </c>
      <c r="D105" s="2" t="str">
        <f>IF(OR(ROW(D104)-ROW(D$1)+1&lt;=MAX(Beräkningshjälp!$F$37:$F$54),ROW(D104)-ROW(D$1)+1&lt;=ROUND((MAX(Beräkningshjälp!AB$3:AB$1082)+4)/10,0)-1),D$2,"")</f>
        <v/>
      </c>
      <c r="E105" s="136" t="str">
        <f>IF(D105&lt;&gt;"",IF(COUNTIF(Beräkningshjälp!F$38:F$49,"&gt;0")&gt;=ROW(E104)-ROW(E$1)+1,VLOOKUP((VLOOKUP(ROW(E104)-ROW(E$1)+1,Beräkningshjälp!$F$37:$H$54,IF(ISNUMBER(VLOOKUP(ROW(E104)-ROW(E$1)+1,Beräkningshjälp!$F$37:$H$54,2,FALSE)),2,3),FALSE)),Beräkningshjälp!$M$2:$O$60,3,FALSE),VLOOKUP((ROW(E104)-ROW(E$1)+1)*10+1,Beräkningshjälp!$AB$2:$AF$1082,5,FALSE)),"")</f>
        <v/>
      </c>
      <c r="F105" s="2" t="str">
        <f>IF(D105&lt;&gt;"",Beräkningshjälp!$AH$1,"")</f>
        <v/>
      </c>
      <c r="G105" s="136" t="str">
        <f>IF(D105&lt;&gt;"",IF(COUNTIF(Beräkningshjälp!F$38:F$49,"&gt;0")&gt;=ROW(E104)-ROW(E$1)+1,"INGA",IF(COUNTIF(Beräkningshjälp!$G$38:$H$49,VLOOKUP(E105,Beräkningshjälp!$AF$2:$AG$1082,2,FALSE))&gt;0,"ENSTAK",IF(VLOOKUP(VLOOKUP(E105,Beräkningshjälp!O$2:U$60,7,FALSE),Artuppgifter!$I$11:$P$22,7,FALSE)=TRUE,"MINMAX","ALLA"))),"")</f>
        <v/>
      </c>
      <c r="H105" s="2" t="str">
        <f>IF($E105&lt;&gt;"",IF(AND($E105&lt;&gt;"EJFANGST",$G105&lt;&gt;"INGA"),IF(ISNUMBER(VLOOKUP((ROW($H104)-ROW($H$1)+1)*10+COLUMN(H$1)-COLUMN($H$1)+1,Beräkningshjälp!$AB$2:$AI$1082,7,FALSE)),VLOOKUP((ROW($H104)-ROW($H$1)+1)*10+COLUMN(H$1)-COLUMN($H$1)+1,Beräkningshjälp!$AB$2:$AI$1082,7,FALSE),IF(E105&gt;0,-VLOOKUP((ROW($H104)-ROW($H$1)+1)*10+COLUMN(H$1)-COLUMN($H$1)+1,Beräkningshjälp!$AB$2:$AI$1082,3,FALSE),0)),0),"")</f>
        <v/>
      </c>
      <c r="I105" s="2" t="str">
        <f>IF($E105&lt;&gt;"",IF(AND($E105&lt;&gt;"EJFANGST",$G105&lt;&gt;"INGA"),IF(ISNUMBER(VLOOKUP((ROW($H104)-ROW($H$1)+1)*10+COLUMN(I$1)-COLUMN($H$1)+1,Beräkningshjälp!$AB$2:$AI$1082,7,FALSE)),VLOOKUP((ROW($H104)-ROW($H$1)+1)*10+COLUMN(I$1)-COLUMN($H$1)+1,Beräkningshjälp!$AB$2:$AI$1082,7,FALSE),IF(H105&gt;0,-VLOOKUP((ROW($H104)-ROW($H$1)+1)*10+COLUMN(I$1)-COLUMN($H$1)+1,Beräkningshjälp!$AB$2:$AI$1082,3,FALSE),0)),0),"")</f>
        <v/>
      </c>
      <c r="J105" s="2" t="str">
        <f>IF($E105&lt;&gt;"",IF(AND($E105&lt;&gt;"EJFANGST",$G105&lt;&gt;"INGA"),IF(ISNUMBER(VLOOKUP((ROW($H104)-ROW($H$1)+1)*10+COLUMN(J$1)-COLUMN($H$1)+1,Beräkningshjälp!$AB$2:$AI$1082,7,FALSE)),VLOOKUP((ROW($H104)-ROW($H$1)+1)*10+COLUMN(J$1)-COLUMN($H$1)+1,Beräkningshjälp!$AB$2:$AI$1082,7,FALSE),IF(I105&gt;0,-VLOOKUP((ROW($H104)-ROW($H$1)+1)*10+COLUMN(J$1)-COLUMN($H$1)+1,Beräkningshjälp!$AB$2:$AI$1082,3,FALSE),0)),0),"")</f>
        <v/>
      </c>
      <c r="K105" s="2" t="str">
        <f>IF($E105&lt;&gt;"",IF(AND($E105&lt;&gt;"EJFANGST",$G105&lt;&gt;"INGA"),IF(ISNUMBER(VLOOKUP((ROW($H104)-ROW($H$1)+1)*10+COLUMN(K$1)-COLUMN($H$1)+1,Beräkningshjälp!$AB$2:$AI$1082,7,FALSE)),VLOOKUP((ROW($H104)-ROW($H$1)+1)*10+COLUMN(K$1)-COLUMN($H$1)+1,Beräkningshjälp!$AB$2:$AI$1082,7,FALSE),IF(J105&gt;0,-VLOOKUP((ROW($H104)-ROW($H$1)+1)*10+COLUMN(K$1)-COLUMN($H$1)+1,Beräkningshjälp!$AB$2:$AI$1082,3,FALSE),0)),0),"")</f>
        <v/>
      </c>
      <c r="L105" s="2" t="str">
        <f>IF($E105&lt;&gt;"",IF(AND($E105&lt;&gt;"EJFANGST",$G105&lt;&gt;"INGA"),IF(ISNUMBER(VLOOKUP((ROW($H104)-ROW($H$1)+1)*10+COLUMN(L$1)-COLUMN($H$1)+1,Beräkningshjälp!$AB$2:$AI$1082,7,FALSE)),VLOOKUP((ROW($H104)-ROW($H$1)+1)*10+COLUMN(L$1)-COLUMN($H$1)+1,Beräkningshjälp!$AB$2:$AI$1082,7,FALSE),IF(K105&gt;0,-VLOOKUP((ROW($H104)-ROW($H$1)+1)*10+COLUMN(L$1)-COLUMN($H$1)+1,Beräkningshjälp!$AB$2:$AI$1082,3,FALSE),0)),0),"")</f>
        <v/>
      </c>
      <c r="M105" s="2" t="str">
        <f>IF($E105&lt;&gt;"",IF(AND($E105&lt;&gt;"EJFANGST",$G105&lt;&gt;"INGA"),IF(ISNUMBER(VLOOKUP((ROW($H104)-ROW($H$1)+1)*10+COLUMN(M$1)-COLUMN($H$1)+1,Beräkningshjälp!$AB$2:$AI$1082,7,FALSE)),VLOOKUP((ROW($H104)-ROW($H$1)+1)*10+COLUMN(M$1)-COLUMN($H$1)+1,Beräkningshjälp!$AB$2:$AI$1082,7,FALSE),IF(L105&gt;0,-VLOOKUP((ROW($H104)-ROW($H$1)+1)*10+COLUMN(M$1)-COLUMN($H$1)+1,Beräkningshjälp!$AB$2:$AI$1082,3,FALSE),0)),0),"")</f>
        <v/>
      </c>
      <c r="N105" s="2" t="str">
        <f>IF($E105&lt;&gt;"",IF(AND($E105&lt;&gt;"EJFANGST",$G105&lt;&gt;"INGA"),IF(ISNUMBER(VLOOKUP((ROW($H104)-ROW($H$1)+1)*10+COLUMN(N$1)-COLUMN($H$1)+1,Beräkningshjälp!$AB$2:$AI$1082,7,FALSE)),VLOOKUP((ROW($H104)-ROW($H$1)+1)*10+COLUMN(N$1)-COLUMN($H$1)+1,Beräkningshjälp!$AB$2:$AI$1082,7,FALSE),IF(M105&gt;0,-VLOOKUP((ROW($H104)-ROW($H$1)+1)*10+COLUMN(N$1)-COLUMN($H$1)+1,Beräkningshjälp!$AB$2:$AI$1082,3,FALSE),0)),0),"")</f>
        <v/>
      </c>
      <c r="O105" s="2" t="str">
        <f>IF($E105&lt;&gt;"",IF(AND($E105&lt;&gt;"EJFANGST",$G105&lt;&gt;"INGA"),IF(ISNUMBER(VLOOKUP((ROW($H104)-ROW($H$1)+1)*10+COLUMN(O$1)-COLUMN($H$1)+1,Beräkningshjälp!$AB$2:$AI$1082,7,FALSE)),VLOOKUP((ROW($H104)-ROW($H$1)+1)*10+COLUMN(O$1)-COLUMN($H$1)+1,Beräkningshjälp!$AB$2:$AI$1082,7,FALSE),IF(N105&gt;0,-VLOOKUP((ROW($H104)-ROW($H$1)+1)*10+COLUMN(O$1)-COLUMN($H$1)+1,Beräkningshjälp!$AB$2:$AI$1082,3,FALSE),0)),0),"")</f>
        <v/>
      </c>
      <c r="P105" s="2" t="str">
        <f>IF($E105&lt;&gt;"",IF(AND($E105&lt;&gt;"EJFANGST",$G105&lt;&gt;"INGA"),IF(ISNUMBER(VLOOKUP((ROW($H104)-ROW($H$1)+1)*10+COLUMN(P$1)-COLUMN($H$1)+1,Beräkningshjälp!$AB$2:$AI$1082,7,FALSE)),VLOOKUP((ROW($H104)-ROW($H$1)+1)*10+COLUMN(P$1)-COLUMN($H$1)+1,Beräkningshjälp!$AB$2:$AI$1082,7,FALSE),IF(O105&gt;0,-VLOOKUP((ROW($H104)-ROW($H$1)+1)*10+COLUMN(P$1)-COLUMN($H$1)+1,Beräkningshjälp!$AB$2:$AI$1082,3,FALSE),0)),0),"")</f>
        <v/>
      </c>
      <c r="Q105" s="2" t="str">
        <f>IF($E105&lt;&gt;"",IF(AND($E105&lt;&gt;"EJFANGST",$G105&lt;&gt;"INGA"),IF(ISNUMBER(VLOOKUP((ROW($H104)-ROW($H$1)+1)*10+COLUMN(Q$1)-COLUMN($H$1)+1,Beräkningshjälp!$AB$2:$AI$1082,7,FALSE)),VLOOKUP((ROW($H104)-ROW($H$1)+1)*10+COLUMN(Q$1)-COLUMN($H$1)+1,Beräkningshjälp!$AB$2:$AI$1082,7,FALSE),IF(P105&gt;0,-VLOOKUP((ROW($H104)-ROW($H$1)+1)*10+COLUMN(Q$1)-COLUMN($H$1)+1,Beräkningshjälp!$AB$2:$AI$1082,3,FALSE),0)),0),"")</f>
        <v/>
      </c>
      <c r="R105" s="116" t="str">
        <f>IF(COUNTIF(H105:Q105,"&gt;0")&gt;0,IF($E105&lt;&gt;"",IF(AND($E105&lt;&gt;"EJFANGST",$G105&lt;&gt;"INGA"),IF(ISNUMBER(VLOOKUP((ROW($H104)-ROW($H$1)+1)*10+COLUMN(H$1)-COLUMN($H$1)+1,Beräkningshjälp!$AB$2:$AI$1082,7,FALSE)),VLOOKUP((ROW($H104)-ROW($H$1)+1)*10+COLUMN(H$1)-COLUMN($H$1)+1,Beräkningshjälp!$AB$2:$AI$1082,3,FALSE),""),""),""),"")</f>
        <v/>
      </c>
    </row>
    <row r="106" spans="1:18" x14ac:dyDescent="0.25">
      <c r="A106" s="2" t="str">
        <f t="shared" si="1"/>
        <v/>
      </c>
      <c r="B106" s="2" t="str">
        <f>IF(D106&lt;&gt;"",'DATA TILL SLU'!$J$3,"")</f>
        <v/>
      </c>
      <c r="C106" s="2" t="str">
        <f>IF(D106&lt;&gt;"",'DATA TILL SLU'!$K$3,"")</f>
        <v/>
      </c>
      <c r="D106" s="2" t="str">
        <f>IF(OR(ROW(D105)-ROW(D$1)+1&lt;=MAX(Beräkningshjälp!$F$37:$F$54),ROW(D105)-ROW(D$1)+1&lt;=ROUND((MAX(Beräkningshjälp!AB$3:AB$1082)+4)/10,0)-1),D$2,"")</f>
        <v/>
      </c>
      <c r="E106" s="136" t="str">
        <f>IF(D106&lt;&gt;"",IF(COUNTIF(Beräkningshjälp!F$38:F$49,"&gt;0")&gt;=ROW(E105)-ROW(E$1)+1,VLOOKUP((VLOOKUP(ROW(E105)-ROW(E$1)+1,Beräkningshjälp!$F$37:$H$54,IF(ISNUMBER(VLOOKUP(ROW(E105)-ROW(E$1)+1,Beräkningshjälp!$F$37:$H$54,2,FALSE)),2,3),FALSE)),Beräkningshjälp!$M$2:$O$60,3,FALSE),VLOOKUP((ROW(E105)-ROW(E$1)+1)*10+1,Beräkningshjälp!$AB$2:$AF$1082,5,FALSE)),"")</f>
        <v/>
      </c>
      <c r="F106" s="2" t="str">
        <f>IF(D106&lt;&gt;"",Beräkningshjälp!$AH$1,"")</f>
        <v/>
      </c>
      <c r="G106" s="136" t="str">
        <f>IF(D106&lt;&gt;"",IF(COUNTIF(Beräkningshjälp!F$38:F$49,"&gt;0")&gt;=ROW(E105)-ROW(E$1)+1,"INGA",IF(COUNTIF(Beräkningshjälp!$G$38:$H$49,VLOOKUP(E106,Beräkningshjälp!$AF$2:$AG$1082,2,FALSE))&gt;0,"ENSTAK",IF(VLOOKUP(VLOOKUP(E106,Beräkningshjälp!O$2:U$60,7,FALSE),Artuppgifter!$I$11:$P$22,7,FALSE)=TRUE,"MINMAX","ALLA"))),"")</f>
        <v/>
      </c>
      <c r="H106" s="2" t="str">
        <f>IF($E106&lt;&gt;"",IF(AND($E106&lt;&gt;"EJFANGST",$G106&lt;&gt;"INGA"),IF(ISNUMBER(VLOOKUP((ROW($H105)-ROW($H$1)+1)*10+COLUMN(H$1)-COLUMN($H$1)+1,Beräkningshjälp!$AB$2:$AI$1082,7,FALSE)),VLOOKUP((ROW($H105)-ROW($H$1)+1)*10+COLUMN(H$1)-COLUMN($H$1)+1,Beräkningshjälp!$AB$2:$AI$1082,7,FALSE),IF(E106&gt;0,-VLOOKUP((ROW($H105)-ROW($H$1)+1)*10+COLUMN(H$1)-COLUMN($H$1)+1,Beräkningshjälp!$AB$2:$AI$1082,3,FALSE),0)),0),"")</f>
        <v/>
      </c>
      <c r="I106" s="2" t="str">
        <f>IF($E106&lt;&gt;"",IF(AND($E106&lt;&gt;"EJFANGST",$G106&lt;&gt;"INGA"),IF(ISNUMBER(VLOOKUP((ROW($H105)-ROW($H$1)+1)*10+COLUMN(I$1)-COLUMN($H$1)+1,Beräkningshjälp!$AB$2:$AI$1082,7,FALSE)),VLOOKUP((ROW($H105)-ROW($H$1)+1)*10+COLUMN(I$1)-COLUMN($H$1)+1,Beräkningshjälp!$AB$2:$AI$1082,7,FALSE),IF(H106&gt;0,-VLOOKUP((ROW($H105)-ROW($H$1)+1)*10+COLUMN(I$1)-COLUMN($H$1)+1,Beräkningshjälp!$AB$2:$AI$1082,3,FALSE),0)),0),"")</f>
        <v/>
      </c>
      <c r="J106" s="2" t="str">
        <f>IF($E106&lt;&gt;"",IF(AND($E106&lt;&gt;"EJFANGST",$G106&lt;&gt;"INGA"),IF(ISNUMBER(VLOOKUP((ROW($H105)-ROW($H$1)+1)*10+COLUMN(J$1)-COLUMN($H$1)+1,Beräkningshjälp!$AB$2:$AI$1082,7,FALSE)),VLOOKUP((ROW($H105)-ROW($H$1)+1)*10+COLUMN(J$1)-COLUMN($H$1)+1,Beräkningshjälp!$AB$2:$AI$1082,7,FALSE),IF(I106&gt;0,-VLOOKUP((ROW($H105)-ROW($H$1)+1)*10+COLUMN(J$1)-COLUMN($H$1)+1,Beräkningshjälp!$AB$2:$AI$1082,3,FALSE),0)),0),"")</f>
        <v/>
      </c>
      <c r="K106" s="2" t="str">
        <f>IF($E106&lt;&gt;"",IF(AND($E106&lt;&gt;"EJFANGST",$G106&lt;&gt;"INGA"),IF(ISNUMBER(VLOOKUP((ROW($H105)-ROW($H$1)+1)*10+COLUMN(K$1)-COLUMN($H$1)+1,Beräkningshjälp!$AB$2:$AI$1082,7,FALSE)),VLOOKUP((ROW($H105)-ROW($H$1)+1)*10+COLUMN(K$1)-COLUMN($H$1)+1,Beräkningshjälp!$AB$2:$AI$1082,7,FALSE),IF(J106&gt;0,-VLOOKUP((ROW($H105)-ROW($H$1)+1)*10+COLUMN(K$1)-COLUMN($H$1)+1,Beräkningshjälp!$AB$2:$AI$1082,3,FALSE),0)),0),"")</f>
        <v/>
      </c>
      <c r="L106" s="2" t="str">
        <f>IF($E106&lt;&gt;"",IF(AND($E106&lt;&gt;"EJFANGST",$G106&lt;&gt;"INGA"),IF(ISNUMBER(VLOOKUP((ROW($H105)-ROW($H$1)+1)*10+COLUMN(L$1)-COLUMN($H$1)+1,Beräkningshjälp!$AB$2:$AI$1082,7,FALSE)),VLOOKUP((ROW($H105)-ROW($H$1)+1)*10+COLUMN(L$1)-COLUMN($H$1)+1,Beräkningshjälp!$AB$2:$AI$1082,7,FALSE),IF(K106&gt;0,-VLOOKUP((ROW($H105)-ROW($H$1)+1)*10+COLUMN(L$1)-COLUMN($H$1)+1,Beräkningshjälp!$AB$2:$AI$1082,3,FALSE),0)),0),"")</f>
        <v/>
      </c>
      <c r="M106" s="2" t="str">
        <f>IF($E106&lt;&gt;"",IF(AND($E106&lt;&gt;"EJFANGST",$G106&lt;&gt;"INGA"),IF(ISNUMBER(VLOOKUP((ROW($H105)-ROW($H$1)+1)*10+COLUMN(M$1)-COLUMN($H$1)+1,Beräkningshjälp!$AB$2:$AI$1082,7,FALSE)),VLOOKUP((ROW($H105)-ROW($H$1)+1)*10+COLUMN(M$1)-COLUMN($H$1)+1,Beräkningshjälp!$AB$2:$AI$1082,7,FALSE),IF(L106&gt;0,-VLOOKUP((ROW($H105)-ROW($H$1)+1)*10+COLUMN(M$1)-COLUMN($H$1)+1,Beräkningshjälp!$AB$2:$AI$1082,3,FALSE),0)),0),"")</f>
        <v/>
      </c>
      <c r="N106" s="2" t="str">
        <f>IF($E106&lt;&gt;"",IF(AND($E106&lt;&gt;"EJFANGST",$G106&lt;&gt;"INGA"),IF(ISNUMBER(VLOOKUP((ROW($H105)-ROW($H$1)+1)*10+COLUMN(N$1)-COLUMN($H$1)+1,Beräkningshjälp!$AB$2:$AI$1082,7,FALSE)),VLOOKUP((ROW($H105)-ROW($H$1)+1)*10+COLUMN(N$1)-COLUMN($H$1)+1,Beräkningshjälp!$AB$2:$AI$1082,7,FALSE),IF(M106&gt;0,-VLOOKUP((ROW($H105)-ROW($H$1)+1)*10+COLUMN(N$1)-COLUMN($H$1)+1,Beräkningshjälp!$AB$2:$AI$1082,3,FALSE),0)),0),"")</f>
        <v/>
      </c>
      <c r="O106" s="2" t="str">
        <f>IF($E106&lt;&gt;"",IF(AND($E106&lt;&gt;"EJFANGST",$G106&lt;&gt;"INGA"),IF(ISNUMBER(VLOOKUP((ROW($H105)-ROW($H$1)+1)*10+COLUMN(O$1)-COLUMN($H$1)+1,Beräkningshjälp!$AB$2:$AI$1082,7,FALSE)),VLOOKUP((ROW($H105)-ROW($H$1)+1)*10+COLUMN(O$1)-COLUMN($H$1)+1,Beräkningshjälp!$AB$2:$AI$1082,7,FALSE),IF(N106&gt;0,-VLOOKUP((ROW($H105)-ROW($H$1)+1)*10+COLUMN(O$1)-COLUMN($H$1)+1,Beräkningshjälp!$AB$2:$AI$1082,3,FALSE),0)),0),"")</f>
        <v/>
      </c>
      <c r="P106" s="2" t="str">
        <f>IF($E106&lt;&gt;"",IF(AND($E106&lt;&gt;"EJFANGST",$G106&lt;&gt;"INGA"),IF(ISNUMBER(VLOOKUP((ROW($H105)-ROW($H$1)+1)*10+COLUMN(P$1)-COLUMN($H$1)+1,Beräkningshjälp!$AB$2:$AI$1082,7,FALSE)),VLOOKUP((ROW($H105)-ROW($H$1)+1)*10+COLUMN(P$1)-COLUMN($H$1)+1,Beräkningshjälp!$AB$2:$AI$1082,7,FALSE),IF(O106&gt;0,-VLOOKUP((ROW($H105)-ROW($H$1)+1)*10+COLUMN(P$1)-COLUMN($H$1)+1,Beräkningshjälp!$AB$2:$AI$1082,3,FALSE),0)),0),"")</f>
        <v/>
      </c>
      <c r="Q106" s="2" t="str">
        <f>IF($E106&lt;&gt;"",IF(AND($E106&lt;&gt;"EJFANGST",$G106&lt;&gt;"INGA"),IF(ISNUMBER(VLOOKUP((ROW($H105)-ROW($H$1)+1)*10+COLUMN(Q$1)-COLUMN($H$1)+1,Beräkningshjälp!$AB$2:$AI$1082,7,FALSE)),VLOOKUP((ROW($H105)-ROW($H$1)+1)*10+COLUMN(Q$1)-COLUMN($H$1)+1,Beräkningshjälp!$AB$2:$AI$1082,7,FALSE),IF(P106&gt;0,-VLOOKUP((ROW($H105)-ROW($H$1)+1)*10+COLUMN(Q$1)-COLUMN($H$1)+1,Beräkningshjälp!$AB$2:$AI$1082,3,FALSE),0)),0),"")</f>
        <v/>
      </c>
      <c r="R106" s="116" t="str">
        <f>IF(COUNTIF(H106:Q106,"&gt;0")&gt;0,IF($E106&lt;&gt;"",IF(AND($E106&lt;&gt;"EJFANGST",$G106&lt;&gt;"INGA"),IF(ISNUMBER(VLOOKUP((ROW($H105)-ROW($H$1)+1)*10+COLUMN(H$1)-COLUMN($H$1)+1,Beräkningshjälp!$AB$2:$AI$1082,7,FALSE)),VLOOKUP((ROW($H105)-ROW($H$1)+1)*10+COLUMN(H$1)-COLUMN($H$1)+1,Beräkningshjälp!$AB$2:$AI$1082,3,FALSE),""),""),""),"")</f>
        <v/>
      </c>
    </row>
    <row r="107" spans="1:18" x14ac:dyDescent="0.25">
      <c r="A107" s="2" t="str">
        <f t="shared" si="1"/>
        <v/>
      </c>
      <c r="B107" s="2" t="str">
        <f>IF(D107&lt;&gt;"",'DATA TILL SLU'!$J$3,"")</f>
        <v/>
      </c>
      <c r="C107" s="2" t="str">
        <f>IF(D107&lt;&gt;"",'DATA TILL SLU'!$K$3,"")</f>
        <v/>
      </c>
      <c r="D107" s="2" t="str">
        <f>IF(OR(ROW(D106)-ROW(D$1)+1&lt;=MAX(Beräkningshjälp!$F$37:$F$54),ROW(D106)-ROW(D$1)+1&lt;=ROUND((MAX(Beräkningshjälp!AB$3:AB$1082)+4)/10,0)-1),D$2,"")</f>
        <v/>
      </c>
      <c r="E107" s="136" t="str">
        <f>IF(D107&lt;&gt;"",IF(COUNTIF(Beräkningshjälp!F$38:F$49,"&gt;0")&gt;=ROW(E106)-ROW(E$1)+1,VLOOKUP((VLOOKUP(ROW(E106)-ROW(E$1)+1,Beräkningshjälp!$F$37:$H$54,IF(ISNUMBER(VLOOKUP(ROW(E106)-ROW(E$1)+1,Beräkningshjälp!$F$37:$H$54,2,FALSE)),2,3),FALSE)),Beräkningshjälp!$M$2:$O$60,3,FALSE),VLOOKUP((ROW(E106)-ROW(E$1)+1)*10+1,Beräkningshjälp!$AB$2:$AF$1082,5,FALSE)),"")</f>
        <v/>
      </c>
      <c r="F107" s="2" t="str">
        <f>IF(D107&lt;&gt;"",Beräkningshjälp!$AH$1,"")</f>
        <v/>
      </c>
      <c r="G107" s="136" t="str">
        <f>IF(D107&lt;&gt;"",IF(COUNTIF(Beräkningshjälp!F$38:F$49,"&gt;0")&gt;=ROW(E106)-ROW(E$1)+1,"INGA",IF(COUNTIF(Beräkningshjälp!$G$38:$H$49,VLOOKUP(E107,Beräkningshjälp!$AF$2:$AG$1082,2,FALSE))&gt;0,"ENSTAK",IF(VLOOKUP(VLOOKUP(E107,Beräkningshjälp!O$2:U$60,7,FALSE),Artuppgifter!$I$11:$P$22,7,FALSE)=TRUE,"MINMAX","ALLA"))),"")</f>
        <v/>
      </c>
      <c r="H107" s="2" t="str">
        <f>IF($E107&lt;&gt;"",IF(AND($E107&lt;&gt;"EJFANGST",$G107&lt;&gt;"INGA"),IF(ISNUMBER(VLOOKUP((ROW($H106)-ROW($H$1)+1)*10+COLUMN(H$1)-COLUMN($H$1)+1,Beräkningshjälp!$AB$2:$AI$1082,7,FALSE)),VLOOKUP((ROW($H106)-ROW($H$1)+1)*10+COLUMN(H$1)-COLUMN($H$1)+1,Beräkningshjälp!$AB$2:$AI$1082,7,FALSE),IF(E107&gt;0,-VLOOKUP((ROW($H106)-ROW($H$1)+1)*10+COLUMN(H$1)-COLUMN($H$1)+1,Beräkningshjälp!$AB$2:$AI$1082,3,FALSE),0)),0),"")</f>
        <v/>
      </c>
      <c r="I107" s="2" t="str">
        <f>IF($E107&lt;&gt;"",IF(AND($E107&lt;&gt;"EJFANGST",$G107&lt;&gt;"INGA"),IF(ISNUMBER(VLOOKUP((ROW($H106)-ROW($H$1)+1)*10+COLUMN(I$1)-COLUMN($H$1)+1,Beräkningshjälp!$AB$2:$AI$1082,7,FALSE)),VLOOKUP((ROW($H106)-ROW($H$1)+1)*10+COLUMN(I$1)-COLUMN($H$1)+1,Beräkningshjälp!$AB$2:$AI$1082,7,FALSE),IF(H107&gt;0,-VLOOKUP((ROW($H106)-ROW($H$1)+1)*10+COLUMN(I$1)-COLUMN($H$1)+1,Beräkningshjälp!$AB$2:$AI$1082,3,FALSE),0)),0),"")</f>
        <v/>
      </c>
      <c r="J107" s="2" t="str">
        <f>IF($E107&lt;&gt;"",IF(AND($E107&lt;&gt;"EJFANGST",$G107&lt;&gt;"INGA"),IF(ISNUMBER(VLOOKUP((ROW($H106)-ROW($H$1)+1)*10+COLUMN(J$1)-COLUMN($H$1)+1,Beräkningshjälp!$AB$2:$AI$1082,7,FALSE)),VLOOKUP((ROW($H106)-ROW($H$1)+1)*10+COLUMN(J$1)-COLUMN($H$1)+1,Beräkningshjälp!$AB$2:$AI$1082,7,FALSE),IF(I107&gt;0,-VLOOKUP((ROW($H106)-ROW($H$1)+1)*10+COLUMN(J$1)-COLUMN($H$1)+1,Beräkningshjälp!$AB$2:$AI$1082,3,FALSE),0)),0),"")</f>
        <v/>
      </c>
      <c r="K107" s="2" t="str">
        <f>IF($E107&lt;&gt;"",IF(AND($E107&lt;&gt;"EJFANGST",$G107&lt;&gt;"INGA"),IF(ISNUMBER(VLOOKUP((ROW($H106)-ROW($H$1)+1)*10+COLUMN(K$1)-COLUMN($H$1)+1,Beräkningshjälp!$AB$2:$AI$1082,7,FALSE)),VLOOKUP((ROW($H106)-ROW($H$1)+1)*10+COLUMN(K$1)-COLUMN($H$1)+1,Beräkningshjälp!$AB$2:$AI$1082,7,FALSE),IF(J107&gt;0,-VLOOKUP((ROW($H106)-ROW($H$1)+1)*10+COLUMN(K$1)-COLUMN($H$1)+1,Beräkningshjälp!$AB$2:$AI$1082,3,FALSE),0)),0),"")</f>
        <v/>
      </c>
      <c r="L107" s="2" t="str">
        <f>IF($E107&lt;&gt;"",IF(AND($E107&lt;&gt;"EJFANGST",$G107&lt;&gt;"INGA"),IF(ISNUMBER(VLOOKUP((ROW($H106)-ROW($H$1)+1)*10+COLUMN(L$1)-COLUMN($H$1)+1,Beräkningshjälp!$AB$2:$AI$1082,7,FALSE)),VLOOKUP((ROW($H106)-ROW($H$1)+1)*10+COLUMN(L$1)-COLUMN($H$1)+1,Beräkningshjälp!$AB$2:$AI$1082,7,FALSE),IF(K107&gt;0,-VLOOKUP((ROW($H106)-ROW($H$1)+1)*10+COLUMN(L$1)-COLUMN($H$1)+1,Beräkningshjälp!$AB$2:$AI$1082,3,FALSE),0)),0),"")</f>
        <v/>
      </c>
      <c r="M107" s="2" t="str">
        <f>IF($E107&lt;&gt;"",IF(AND($E107&lt;&gt;"EJFANGST",$G107&lt;&gt;"INGA"),IF(ISNUMBER(VLOOKUP((ROW($H106)-ROW($H$1)+1)*10+COLUMN(M$1)-COLUMN($H$1)+1,Beräkningshjälp!$AB$2:$AI$1082,7,FALSE)),VLOOKUP((ROW($H106)-ROW($H$1)+1)*10+COLUMN(M$1)-COLUMN($H$1)+1,Beräkningshjälp!$AB$2:$AI$1082,7,FALSE),IF(L107&gt;0,-VLOOKUP((ROW($H106)-ROW($H$1)+1)*10+COLUMN(M$1)-COLUMN($H$1)+1,Beräkningshjälp!$AB$2:$AI$1082,3,FALSE),0)),0),"")</f>
        <v/>
      </c>
      <c r="N107" s="2" t="str">
        <f>IF($E107&lt;&gt;"",IF(AND($E107&lt;&gt;"EJFANGST",$G107&lt;&gt;"INGA"),IF(ISNUMBER(VLOOKUP((ROW($H106)-ROW($H$1)+1)*10+COLUMN(N$1)-COLUMN($H$1)+1,Beräkningshjälp!$AB$2:$AI$1082,7,FALSE)),VLOOKUP((ROW($H106)-ROW($H$1)+1)*10+COLUMN(N$1)-COLUMN($H$1)+1,Beräkningshjälp!$AB$2:$AI$1082,7,FALSE),IF(M107&gt;0,-VLOOKUP((ROW($H106)-ROW($H$1)+1)*10+COLUMN(N$1)-COLUMN($H$1)+1,Beräkningshjälp!$AB$2:$AI$1082,3,FALSE),0)),0),"")</f>
        <v/>
      </c>
      <c r="O107" s="2" t="str">
        <f>IF($E107&lt;&gt;"",IF(AND($E107&lt;&gt;"EJFANGST",$G107&lt;&gt;"INGA"),IF(ISNUMBER(VLOOKUP((ROW($H106)-ROW($H$1)+1)*10+COLUMN(O$1)-COLUMN($H$1)+1,Beräkningshjälp!$AB$2:$AI$1082,7,FALSE)),VLOOKUP((ROW($H106)-ROW($H$1)+1)*10+COLUMN(O$1)-COLUMN($H$1)+1,Beräkningshjälp!$AB$2:$AI$1082,7,FALSE),IF(N107&gt;0,-VLOOKUP((ROW($H106)-ROW($H$1)+1)*10+COLUMN(O$1)-COLUMN($H$1)+1,Beräkningshjälp!$AB$2:$AI$1082,3,FALSE),0)),0),"")</f>
        <v/>
      </c>
      <c r="P107" s="2" t="str">
        <f>IF($E107&lt;&gt;"",IF(AND($E107&lt;&gt;"EJFANGST",$G107&lt;&gt;"INGA"),IF(ISNUMBER(VLOOKUP((ROW($H106)-ROW($H$1)+1)*10+COLUMN(P$1)-COLUMN($H$1)+1,Beräkningshjälp!$AB$2:$AI$1082,7,FALSE)),VLOOKUP((ROW($H106)-ROW($H$1)+1)*10+COLUMN(P$1)-COLUMN($H$1)+1,Beräkningshjälp!$AB$2:$AI$1082,7,FALSE),IF(O107&gt;0,-VLOOKUP((ROW($H106)-ROW($H$1)+1)*10+COLUMN(P$1)-COLUMN($H$1)+1,Beräkningshjälp!$AB$2:$AI$1082,3,FALSE),0)),0),"")</f>
        <v/>
      </c>
      <c r="Q107" s="2" t="str">
        <f>IF($E107&lt;&gt;"",IF(AND($E107&lt;&gt;"EJFANGST",$G107&lt;&gt;"INGA"),IF(ISNUMBER(VLOOKUP((ROW($H106)-ROW($H$1)+1)*10+COLUMN(Q$1)-COLUMN($H$1)+1,Beräkningshjälp!$AB$2:$AI$1082,7,FALSE)),VLOOKUP((ROW($H106)-ROW($H$1)+1)*10+COLUMN(Q$1)-COLUMN($H$1)+1,Beräkningshjälp!$AB$2:$AI$1082,7,FALSE),IF(P107&gt;0,-VLOOKUP((ROW($H106)-ROW($H$1)+1)*10+COLUMN(Q$1)-COLUMN($H$1)+1,Beräkningshjälp!$AB$2:$AI$1082,3,FALSE),0)),0),"")</f>
        <v/>
      </c>
      <c r="R107" s="116" t="str">
        <f>IF(COUNTIF(H107:Q107,"&gt;0")&gt;0,IF($E107&lt;&gt;"",IF(AND($E107&lt;&gt;"EJFANGST",$G107&lt;&gt;"INGA"),IF(ISNUMBER(VLOOKUP((ROW($H106)-ROW($H$1)+1)*10+COLUMN(H$1)-COLUMN($H$1)+1,Beräkningshjälp!$AB$2:$AI$1082,7,FALSE)),VLOOKUP((ROW($H106)-ROW($H$1)+1)*10+COLUMN(H$1)-COLUMN($H$1)+1,Beräkningshjälp!$AB$2:$AI$1082,3,FALSE),""),""),""),"")</f>
        <v/>
      </c>
    </row>
    <row r="108" spans="1:18" x14ac:dyDescent="0.25">
      <c r="A108" s="2" t="str">
        <f t="shared" si="1"/>
        <v/>
      </c>
      <c r="B108" s="2" t="str">
        <f>IF(D108&lt;&gt;"",'DATA TILL SLU'!$J$3,"")</f>
        <v/>
      </c>
      <c r="C108" s="2" t="str">
        <f>IF(D108&lt;&gt;"",'DATA TILL SLU'!$K$3,"")</f>
        <v/>
      </c>
      <c r="D108" s="2" t="str">
        <f>IF(OR(ROW(D107)-ROW(D$1)+1&lt;=MAX(Beräkningshjälp!$F$37:$F$54),ROW(D107)-ROW(D$1)+1&lt;=ROUND((MAX(Beräkningshjälp!AB$3:AB$1082)+4)/10,0)-1),D$2,"")</f>
        <v/>
      </c>
      <c r="E108" s="136" t="str">
        <f>IF(D108&lt;&gt;"",IF(COUNTIF(Beräkningshjälp!F$38:F$49,"&gt;0")&gt;=ROW(E107)-ROW(E$1)+1,VLOOKUP((VLOOKUP(ROW(E107)-ROW(E$1)+1,Beräkningshjälp!$F$37:$H$54,IF(ISNUMBER(VLOOKUP(ROW(E107)-ROW(E$1)+1,Beräkningshjälp!$F$37:$H$54,2,FALSE)),2,3),FALSE)),Beräkningshjälp!$M$2:$O$60,3,FALSE),VLOOKUP((ROW(E107)-ROW(E$1)+1)*10+1,Beräkningshjälp!$AB$2:$AF$1082,5,FALSE)),"")</f>
        <v/>
      </c>
      <c r="F108" s="2" t="str">
        <f>IF(D108&lt;&gt;"",Beräkningshjälp!$AH$1,"")</f>
        <v/>
      </c>
      <c r="G108" s="136" t="str">
        <f>IF(D108&lt;&gt;"",IF(COUNTIF(Beräkningshjälp!F$38:F$49,"&gt;0")&gt;=ROW(E107)-ROW(E$1)+1,"INGA",IF(COUNTIF(Beräkningshjälp!$G$38:$H$49,VLOOKUP(E108,Beräkningshjälp!$AF$2:$AG$1082,2,FALSE))&gt;0,"ENSTAK",IF(VLOOKUP(VLOOKUP(E108,Beräkningshjälp!O$2:U$60,7,FALSE),Artuppgifter!$I$11:$P$22,7,FALSE)=TRUE,"MINMAX","ALLA"))),"")</f>
        <v/>
      </c>
      <c r="H108" s="2" t="str">
        <f>IF($E108&lt;&gt;"",IF(AND($E108&lt;&gt;"EJFANGST",$G108&lt;&gt;"INGA"),IF(ISNUMBER(VLOOKUP((ROW($H107)-ROW($H$1)+1)*10+COLUMN(H$1)-COLUMN($H$1)+1,Beräkningshjälp!$AB$2:$AI$1082,7,FALSE)),VLOOKUP((ROW($H107)-ROW($H$1)+1)*10+COLUMN(H$1)-COLUMN($H$1)+1,Beräkningshjälp!$AB$2:$AI$1082,7,FALSE),IF(E108&gt;0,-VLOOKUP((ROW($H107)-ROW($H$1)+1)*10+COLUMN(H$1)-COLUMN($H$1)+1,Beräkningshjälp!$AB$2:$AI$1082,3,FALSE),0)),0),"")</f>
        <v/>
      </c>
      <c r="I108" s="2" t="str">
        <f>IF($E108&lt;&gt;"",IF(AND($E108&lt;&gt;"EJFANGST",$G108&lt;&gt;"INGA"),IF(ISNUMBER(VLOOKUP((ROW($H107)-ROW($H$1)+1)*10+COLUMN(I$1)-COLUMN($H$1)+1,Beräkningshjälp!$AB$2:$AI$1082,7,FALSE)),VLOOKUP((ROW($H107)-ROW($H$1)+1)*10+COLUMN(I$1)-COLUMN($H$1)+1,Beräkningshjälp!$AB$2:$AI$1082,7,FALSE),IF(H108&gt;0,-VLOOKUP((ROW($H107)-ROW($H$1)+1)*10+COLUMN(I$1)-COLUMN($H$1)+1,Beräkningshjälp!$AB$2:$AI$1082,3,FALSE),0)),0),"")</f>
        <v/>
      </c>
      <c r="J108" s="2" t="str">
        <f>IF($E108&lt;&gt;"",IF(AND($E108&lt;&gt;"EJFANGST",$G108&lt;&gt;"INGA"),IF(ISNUMBER(VLOOKUP((ROW($H107)-ROW($H$1)+1)*10+COLUMN(J$1)-COLUMN($H$1)+1,Beräkningshjälp!$AB$2:$AI$1082,7,FALSE)),VLOOKUP((ROW($H107)-ROW($H$1)+1)*10+COLUMN(J$1)-COLUMN($H$1)+1,Beräkningshjälp!$AB$2:$AI$1082,7,FALSE),IF(I108&gt;0,-VLOOKUP((ROW($H107)-ROW($H$1)+1)*10+COLUMN(J$1)-COLUMN($H$1)+1,Beräkningshjälp!$AB$2:$AI$1082,3,FALSE),0)),0),"")</f>
        <v/>
      </c>
      <c r="K108" s="2" t="str">
        <f>IF($E108&lt;&gt;"",IF(AND($E108&lt;&gt;"EJFANGST",$G108&lt;&gt;"INGA"),IF(ISNUMBER(VLOOKUP((ROW($H107)-ROW($H$1)+1)*10+COLUMN(K$1)-COLUMN($H$1)+1,Beräkningshjälp!$AB$2:$AI$1082,7,FALSE)),VLOOKUP((ROW($H107)-ROW($H$1)+1)*10+COLUMN(K$1)-COLUMN($H$1)+1,Beräkningshjälp!$AB$2:$AI$1082,7,FALSE),IF(J108&gt;0,-VLOOKUP((ROW($H107)-ROW($H$1)+1)*10+COLUMN(K$1)-COLUMN($H$1)+1,Beräkningshjälp!$AB$2:$AI$1082,3,FALSE),0)),0),"")</f>
        <v/>
      </c>
      <c r="L108" s="2" t="str">
        <f>IF($E108&lt;&gt;"",IF(AND($E108&lt;&gt;"EJFANGST",$G108&lt;&gt;"INGA"),IF(ISNUMBER(VLOOKUP((ROW($H107)-ROW($H$1)+1)*10+COLUMN(L$1)-COLUMN($H$1)+1,Beräkningshjälp!$AB$2:$AI$1082,7,FALSE)),VLOOKUP((ROW($H107)-ROW($H$1)+1)*10+COLUMN(L$1)-COLUMN($H$1)+1,Beräkningshjälp!$AB$2:$AI$1082,7,FALSE),IF(K108&gt;0,-VLOOKUP((ROW($H107)-ROW($H$1)+1)*10+COLUMN(L$1)-COLUMN($H$1)+1,Beräkningshjälp!$AB$2:$AI$1082,3,FALSE),0)),0),"")</f>
        <v/>
      </c>
      <c r="M108" s="2" t="str">
        <f>IF($E108&lt;&gt;"",IF(AND($E108&lt;&gt;"EJFANGST",$G108&lt;&gt;"INGA"),IF(ISNUMBER(VLOOKUP((ROW($H107)-ROW($H$1)+1)*10+COLUMN(M$1)-COLUMN($H$1)+1,Beräkningshjälp!$AB$2:$AI$1082,7,FALSE)),VLOOKUP((ROW($H107)-ROW($H$1)+1)*10+COLUMN(M$1)-COLUMN($H$1)+1,Beräkningshjälp!$AB$2:$AI$1082,7,FALSE),IF(L108&gt;0,-VLOOKUP((ROW($H107)-ROW($H$1)+1)*10+COLUMN(M$1)-COLUMN($H$1)+1,Beräkningshjälp!$AB$2:$AI$1082,3,FALSE),0)),0),"")</f>
        <v/>
      </c>
      <c r="N108" s="2" t="str">
        <f>IF($E108&lt;&gt;"",IF(AND($E108&lt;&gt;"EJFANGST",$G108&lt;&gt;"INGA"),IF(ISNUMBER(VLOOKUP((ROW($H107)-ROW($H$1)+1)*10+COLUMN(N$1)-COLUMN($H$1)+1,Beräkningshjälp!$AB$2:$AI$1082,7,FALSE)),VLOOKUP((ROW($H107)-ROW($H$1)+1)*10+COLUMN(N$1)-COLUMN($H$1)+1,Beräkningshjälp!$AB$2:$AI$1082,7,FALSE),IF(M108&gt;0,-VLOOKUP((ROW($H107)-ROW($H$1)+1)*10+COLUMN(N$1)-COLUMN($H$1)+1,Beräkningshjälp!$AB$2:$AI$1082,3,FALSE),0)),0),"")</f>
        <v/>
      </c>
      <c r="O108" s="2" t="str">
        <f>IF($E108&lt;&gt;"",IF(AND($E108&lt;&gt;"EJFANGST",$G108&lt;&gt;"INGA"),IF(ISNUMBER(VLOOKUP((ROW($H107)-ROW($H$1)+1)*10+COLUMN(O$1)-COLUMN($H$1)+1,Beräkningshjälp!$AB$2:$AI$1082,7,FALSE)),VLOOKUP((ROW($H107)-ROW($H$1)+1)*10+COLUMN(O$1)-COLUMN($H$1)+1,Beräkningshjälp!$AB$2:$AI$1082,7,FALSE),IF(N108&gt;0,-VLOOKUP((ROW($H107)-ROW($H$1)+1)*10+COLUMN(O$1)-COLUMN($H$1)+1,Beräkningshjälp!$AB$2:$AI$1082,3,FALSE),0)),0),"")</f>
        <v/>
      </c>
      <c r="P108" s="2" t="str">
        <f>IF($E108&lt;&gt;"",IF(AND($E108&lt;&gt;"EJFANGST",$G108&lt;&gt;"INGA"),IF(ISNUMBER(VLOOKUP((ROW($H107)-ROW($H$1)+1)*10+COLUMN(P$1)-COLUMN($H$1)+1,Beräkningshjälp!$AB$2:$AI$1082,7,FALSE)),VLOOKUP((ROW($H107)-ROW($H$1)+1)*10+COLUMN(P$1)-COLUMN($H$1)+1,Beräkningshjälp!$AB$2:$AI$1082,7,FALSE),IF(O108&gt;0,-VLOOKUP((ROW($H107)-ROW($H$1)+1)*10+COLUMN(P$1)-COLUMN($H$1)+1,Beräkningshjälp!$AB$2:$AI$1082,3,FALSE),0)),0),"")</f>
        <v/>
      </c>
      <c r="Q108" s="2" t="str">
        <f>IF($E108&lt;&gt;"",IF(AND($E108&lt;&gt;"EJFANGST",$G108&lt;&gt;"INGA"),IF(ISNUMBER(VLOOKUP((ROW($H107)-ROW($H$1)+1)*10+COLUMN(Q$1)-COLUMN($H$1)+1,Beräkningshjälp!$AB$2:$AI$1082,7,FALSE)),VLOOKUP((ROW($H107)-ROW($H$1)+1)*10+COLUMN(Q$1)-COLUMN($H$1)+1,Beräkningshjälp!$AB$2:$AI$1082,7,FALSE),IF(P108&gt;0,-VLOOKUP((ROW($H107)-ROW($H$1)+1)*10+COLUMN(Q$1)-COLUMN($H$1)+1,Beräkningshjälp!$AB$2:$AI$1082,3,FALSE),0)),0),"")</f>
        <v/>
      </c>
      <c r="R108" s="116" t="str">
        <f>IF(COUNTIF(H108:Q108,"&gt;0")&gt;0,IF($E108&lt;&gt;"",IF(AND($E108&lt;&gt;"EJFANGST",$G108&lt;&gt;"INGA"),IF(ISNUMBER(VLOOKUP((ROW($H107)-ROW($H$1)+1)*10+COLUMN(H$1)-COLUMN($H$1)+1,Beräkningshjälp!$AB$2:$AI$1082,7,FALSE)),VLOOKUP((ROW($H107)-ROW($H$1)+1)*10+COLUMN(H$1)-COLUMN($H$1)+1,Beräkningshjälp!$AB$2:$AI$1082,3,FALSE),""),""),""),"")</f>
        <v/>
      </c>
    </row>
    <row r="109" spans="1:18" x14ac:dyDescent="0.25">
      <c r="A109" s="2" t="str">
        <f t="shared" si="1"/>
        <v/>
      </c>
      <c r="B109" s="2" t="str">
        <f>IF(D109&lt;&gt;"",'DATA TILL SLU'!$J$3,"")</f>
        <v/>
      </c>
      <c r="C109" s="2" t="str">
        <f>IF(D109&lt;&gt;"",'DATA TILL SLU'!$K$3,"")</f>
        <v/>
      </c>
      <c r="D109" s="2" t="str">
        <f>IF(OR(ROW(D108)-ROW(D$1)+1&lt;=MAX(Beräkningshjälp!$F$37:$F$54),ROW(D108)-ROW(D$1)+1&lt;=ROUND((MAX(Beräkningshjälp!AB$3:AB$1082)+4)/10,0)-1),D$2,"")</f>
        <v/>
      </c>
      <c r="E109" s="136" t="str">
        <f>IF(D109&lt;&gt;"",IF(COUNTIF(Beräkningshjälp!F$38:F$49,"&gt;0")&gt;=ROW(E108)-ROW(E$1)+1,VLOOKUP((VLOOKUP(ROW(E108)-ROW(E$1)+1,Beräkningshjälp!$F$37:$H$54,IF(ISNUMBER(VLOOKUP(ROW(E108)-ROW(E$1)+1,Beräkningshjälp!$F$37:$H$54,2,FALSE)),2,3),FALSE)),Beräkningshjälp!$M$2:$O$60,3,FALSE),VLOOKUP((ROW(E108)-ROW(E$1)+1)*10+1,Beräkningshjälp!$AB$2:$AF$1082,5,FALSE)),"")</f>
        <v/>
      </c>
      <c r="F109" s="2" t="str">
        <f>IF(D109&lt;&gt;"",Beräkningshjälp!$AH$1,"")</f>
        <v/>
      </c>
      <c r="G109" s="136" t="str">
        <f>IF(D109&lt;&gt;"",IF(COUNTIF(Beräkningshjälp!F$38:F$49,"&gt;0")&gt;=ROW(E108)-ROW(E$1)+1,"INGA",IF(COUNTIF(Beräkningshjälp!$G$38:$H$49,VLOOKUP(E109,Beräkningshjälp!$AF$2:$AG$1082,2,FALSE))&gt;0,"ENSTAK",IF(VLOOKUP(VLOOKUP(E109,Beräkningshjälp!O$2:U$60,7,FALSE),Artuppgifter!$I$11:$P$22,7,FALSE)=TRUE,"MINMAX","ALLA"))),"")</f>
        <v/>
      </c>
      <c r="H109" s="2" t="str">
        <f>IF($E109&lt;&gt;"",IF(AND($E109&lt;&gt;"EJFANGST",$G109&lt;&gt;"INGA"),IF(ISNUMBER(VLOOKUP((ROW($H108)-ROW($H$1)+1)*10+COLUMN(H$1)-COLUMN($H$1)+1,Beräkningshjälp!$AB$2:$AI$1082,7,FALSE)),VLOOKUP((ROW($H108)-ROW($H$1)+1)*10+COLUMN(H$1)-COLUMN($H$1)+1,Beräkningshjälp!$AB$2:$AI$1082,7,FALSE),IF(E109&gt;0,-VLOOKUP((ROW($H108)-ROW($H$1)+1)*10+COLUMN(H$1)-COLUMN($H$1)+1,Beräkningshjälp!$AB$2:$AI$1082,3,FALSE),0)),0),"")</f>
        <v/>
      </c>
      <c r="I109" s="2" t="str">
        <f>IF($E109&lt;&gt;"",IF(AND($E109&lt;&gt;"EJFANGST",$G109&lt;&gt;"INGA"),IF(ISNUMBER(VLOOKUP((ROW($H108)-ROW($H$1)+1)*10+COLUMN(I$1)-COLUMN($H$1)+1,Beräkningshjälp!$AB$2:$AI$1082,7,FALSE)),VLOOKUP((ROW($H108)-ROW($H$1)+1)*10+COLUMN(I$1)-COLUMN($H$1)+1,Beräkningshjälp!$AB$2:$AI$1082,7,FALSE),IF(H109&gt;0,-VLOOKUP((ROW($H108)-ROW($H$1)+1)*10+COLUMN(I$1)-COLUMN($H$1)+1,Beräkningshjälp!$AB$2:$AI$1082,3,FALSE),0)),0),"")</f>
        <v/>
      </c>
      <c r="J109" s="2" t="str">
        <f>IF($E109&lt;&gt;"",IF(AND($E109&lt;&gt;"EJFANGST",$G109&lt;&gt;"INGA"),IF(ISNUMBER(VLOOKUP((ROW($H108)-ROW($H$1)+1)*10+COLUMN(J$1)-COLUMN($H$1)+1,Beräkningshjälp!$AB$2:$AI$1082,7,FALSE)),VLOOKUP((ROW($H108)-ROW($H$1)+1)*10+COLUMN(J$1)-COLUMN($H$1)+1,Beräkningshjälp!$AB$2:$AI$1082,7,FALSE),IF(I109&gt;0,-VLOOKUP((ROW($H108)-ROW($H$1)+1)*10+COLUMN(J$1)-COLUMN($H$1)+1,Beräkningshjälp!$AB$2:$AI$1082,3,FALSE),0)),0),"")</f>
        <v/>
      </c>
      <c r="K109" s="2" t="str">
        <f>IF($E109&lt;&gt;"",IF(AND($E109&lt;&gt;"EJFANGST",$G109&lt;&gt;"INGA"),IF(ISNUMBER(VLOOKUP((ROW($H108)-ROW($H$1)+1)*10+COLUMN(K$1)-COLUMN($H$1)+1,Beräkningshjälp!$AB$2:$AI$1082,7,FALSE)),VLOOKUP((ROW($H108)-ROW($H$1)+1)*10+COLUMN(K$1)-COLUMN($H$1)+1,Beräkningshjälp!$AB$2:$AI$1082,7,FALSE),IF(J109&gt;0,-VLOOKUP((ROW($H108)-ROW($H$1)+1)*10+COLUMN(K$1)-COLUMN($H$1)+1,Beräkningshjälp!$AB$2:$AI$1082,3,FALSE),0)),0),"")</f>
        <v/>
      </c>
      <c r="L109" s="2" t="str">
        <f>IF($E109&lt;&gt;"",IF(AND($E109&lt;&gt;"EJFANGST",$G109&lt;&gt;"INGA"),IF(ISNUMBER(VLOOKUP((ROW($H108)-ROW($H$1)+1)*10+COLUMN(L$1)-COLUMN($H$1)+1,Beräkningshjälp!$AB$2:$AI$1082,7,FALSE)),VLOOKUP((ROW($H108)-ROW($H$1)+1)*10+COLUMN(L$1)-COLUMN($H$1)+1,Beräkningshjälp!$AB$2:$AI$1082,7,FALSE),IF(K109&gt;0,-VLOOKUP((ROW($H108)-ROW($H$1)+1)*10+COLUMN(L$1)-COLUMN($H$1)+1,Beräkningshjälp!$AB$2:$AI$1082,3,FALSE),0)),0),"")</f>
        <v/>
      </c>
      <c r="M109" s="2" t="str">
        <f>IF($E109&lt;&gt;"",IF(AND($E109&lt;&gt;"EJFANGST",$G109&lt;&gt;"INGA"),IF(ISNUMBER(VLOOKUP((ROW($H108)-ROW($H$1)+1)*10+COLUMN(M$1)-COLUMN($H$1)+1,Beräkningshjälp!$AB$2:$AI$1082,7,FALSE)),VLOOKUP((ROW($H108)-ROW($H$1)+1)*10+COLUMN(M$1)-COLUMN($H$1)+1,Beräkningshjälp!$AB$2:$AI$1082,7,FALSE),IF(L109&gt;0,-VLOOKUP((ROW($H108)-ROW($H$1)+1)*10+COLUMN(M$1)-COLUMN($H$1)+1,Beräkningshjälp!$AB$2:$AI$1082,3,FALSE),0)),0),"")</f>
        <v/>
      </c>
      <c r="N109" s="2" t="str">
        <f>IF($E109&lt;&gt;"",IF(AND($E109&lt;&gt;"EJFANGST",$G109&lt;&gt;"INGA"),IF(ISNUMBER(VLOOKUP((ROW($H108)-ROW($H$1)+1)*10+COLUMN(N$1)-COLUMN($H$1)+1,Beräkningshjälp!$AB$2:$AI$1082,7,FALSE)),VLOOKUP((ROW($H108)-ROW($H$1)+1)*10+COLUMN(N$1)-COLUMN($H$1)+1,Beräkningshjälp!$AB$2:$AI$1082,7,FALSE),IF(M109&gt;0,-VLOOKUP((ROW($H108)-ROW($H$1)+1)*10+COLUMN(N$1)-COLUMN($H$1)+1,Beräkningshjälp!$AB$2:$AI$1082,3,FALSE),0)),0),"")</f>
        <v/>
      </c>
      <c r="O109" s="2" t="str">
        <f>IF($E109&lt;&gt;"",IF(AND($E109&lt;&gt;"EJFANGST",$G109&lt;&gt;"INGA"),IF(ISNUMBER(VLOOKUP((ROW($H108)-ROW($H$1)+1)*10+COLUMN(O$1)-COLUMN($H$1)+1,Beräkningshjälp!$AB$2:$AI$1082,7,FALSE)),VLOOKUP((ROW($H108)-ROW($H$1)+1)*10+COLUMN(O$1)-COLUMN($H$1)+1,Beräkningshjälp!$AB$2:$AI$1082,7,FALSE),IF(N109&gt;0,-VLOOKUP((ROW($H108)-ROW($H$1)+1)*10+COLUMN(O$1)-COLUMN($H$1)+1,Beräkningshjälp!$AB$2:$AI$1082,3,FALSE),0)),0),"")</f>
        <v/>
      </c>
      <c r="P109" s="2" t="str">
        <f>IF($E109&lt;&gt;"",IF(AND($E109&lt;&gt;"EJFANGST",$G109&lt;&gt;"INGA"),IF(ISNUMBER(VLOOKUP((ROW($H108)-ROW($H$1)+1)*10+COLUMN(P$1)-COLUMN($H$1)+1,Beräkningshjälp!$AB$2:$AI$1082,7,FALSE)),VLOOKUP((ROW($H108)-ROW($H$1)+1)*10+COLUMN(P$1)-COLUMN($H$1)+1,Beräkningshjälp!$AB$2:$AI$1082,7,FALSE),IF(O109&gt;0,-VLOOKUP((ROW($H108)-ROW($H$1)+1)*10+COLUMN(P$1)-COLUMN($H$1)+1,Beräkningshjälp!$AB$2:$AI$1082,3,FALSE),0)),0),"")</f>
        <v/>
      </c>
      <c r="Q109" s="2" t="str">
        <f>IF($E109&lt;&gt;"",IF(AND($E109&lt;&gt;"EJFANGST",$G109&lt;&gt;"INGA"),IF(ISNUMBER(VLOOKUP((ROW($H108)-ROW($H$1)+1)*10+COLUMN(Q$1)-COLUMN($H$1)+1,Beräkningshjälp!$AB$2:$AI$1082,7,FALSE)),VLOOKUP((ROW($H108)-ROW($H$1)+1)*10+COLUMN(Q$1)-COLUMN($H$1)+1,Beräkningshjälp!$AB$2:$AI$1082,7,FALSE),IF(P109&gt;0,-VLOOKUP((ROW($H108)-ROW($H$1)+1)*10+COLUMN(Q$1)-COLUMN($H$1)+1,Beräkningshjälp!$AB$2:$AI$1082,3,FALSE),0)),0),"")</f>
        <v/>
      </c>
      <c r="R109" s="116" t="str">
        <f>IF(COUNTIF(H109:Q109,"&gt;0")&gt;0,IF($E109&lt;&gt;"",IF(AND($E109&lt;&gt;"EJFANGST",$G109&lt;&gt;"INGA"),IF(ISNUMBER(VLOOKUP((ROW($H108)-ROW($H$1)+1)*10+COLUMN(H$1)-COLUMN($H$1)+1,Beräkningshjälp!$AB$2:$AI$1082,7,FALSE)),VLOOKUP((ROW($H108)-ROW($H$1)+1)*10+COLUMN(H$1)-COLUMN($H$1)+1,Beräkningshjälp!$AB$2:$AI$1082,3,FALSE),""),""),""),"")</f>
        <v/>
      </c>
    </row>
    <row r="110" spans="1:18" x14ac:dyDescent="0.25">
      <c r="A110" s="2" t="str">
        <f t="shared" si="1"/>
        <v/>
      </c>
      <c r="B110" s="2" t="str">
        <f>IF(D110&lt;&gt;"",'DATA TILL SLU'!$J$3,"")</f>
        <v/>
      </c>
      <c r="C110" s="2" t="str">
        <f>IF(D110&lt;&gt;"",'DATA TILL SLU'!$K$3,"")</f>
        <v/>
      </c>
      <c r="D110" s="2" t="str">
        <f>IF(OR(ROW(D109)-ROW(D$1)+1&lt;=MAX(Beräkningshjälp!$F$37:$F$54),ROW(D109)-ROW(D$1)+1&lt;=ROUND((MAX(Beräkningshjälp!AB$3:AB$1082)+4)/10,0)-1),D$2,"")</f>
        <v/>
      </c>
      <c r="E110" s="136" t="str">
        <f>IF(D110&lt;&gt;"",IF(COUNTIF(Beräkningshjälp!F$38:F$49,"&gt;0")&gt;=ROW(E109)-ROW(E$1)+1,VLOOKUP((VLOOKUP(ROW(E109)-ROW(E$1)+1,Beräkningshjälp!$F$37:$H$54,IF(ISNUMBER(VLOOKUP(ROW(E109)-ROW(E$1)+1,Beräkningshjälp!$F$37:$H$54,2,FALSE)),2,3),FALSE)),Beräkningshjälp!$M$2:$O$60,3,FALSE),VLOOKUP((ROW(E109)-ROW(E$1)+1)*10+1,Beräkningshjälp!$AB$2:$AF$1082,5,FALSE)),"")</f>
        <v/>
      </c>
      <c r="F110" s="2" t="str">
        <f>IF(D110&lt;&gt;"",Beräkningshjälp!$AH$1,"")</f>
        <v/>
      </c>
      <c r="G110" s="136" t="str">
        <f>IF(D110&lt;&gt;"",IF(COUNTIF(Beräkningshjälp!F$38:F$49,"&gt;0")&gt;=ROW(E109)-ROW(E$1)+1,"INGA",IF(COUNTIF(Beräkningshjälp!$G$38:$H$49,VLOOKUP(E110,Beräkningshjälp!$AF$2:$AG$1082,2,FALSE))&gt;0,"ENSTAK",IF(VLOOKUP(VLOOKUP(E110,Beräkningshjälp!O$2:U$60,7,FALSE),Artuppgifter!$I$11:$P$22,7,FALSE)=TRUE,"MINMAX","ALLA"))),"")</f>
        <v/>
      </c>
      <c r="H110" s="2" t="str">
        <f>IF($E110&lt;&gt;"",IF(AND($E110&lt;&gt;"EJFANGST",$G110&lt;&gt;"INGA"),IF(ISNUMBER(VLOOKUP((ROW($H109)-ROW($H$1)+1)*10+COLUMN(H$1)-COLUMN($H$1)+1,Beräkningshjälp!$AB$2:$AI$1082,7,FALSE)),VLOOKUP((ROW($H109)-ROW($H$1)+1)*10+COLUMN(H$1)-COLUMN($H$1)+1,Beräkningshjälp!$AB$2:$AI$1082,7,FALSE),IF(E110&gt;0,-VLOOKUP((ROW($H109)-ROW($H$1)+1)*10+COLUMN(H$1)-COLUMN($H$1)+1,Beräkningshjälp!$AB$2:$AI$1082,3,FALSE),0)),0),"")</f>
        <v/>
      </c>
      <c r="I110" s="2" t="str">
        <f>IF($E110&lt;&gt;"",IF(AND($E110&lt;&gt;"EJFANGST",$G110&lt;&gt;"INGA"),IF(ISNUMBER(VLOOKUP((ROW($H109)-ROW($H$1)+1)*10+COLUMN(I$1)-COLUMN($H$1)+1,Beräkningshjälp!$AB$2:$AI$1082,7,FALSE)),VLOOKUP((ROW($H109)-ROW($H$1)+1)*10+COLUMN(I$1)-COLUMN($H$1)+1,Beräkningshjälp!$AB$2:$AI$1082,7,FALSE),IF(H110&gt;0,-VLOOKUP((ROW($H109)-ROW($H$1)+1)*10+COLUMN(I$1)-COLUMN($H$1)+1,Beräkningshjälp!$AB$2:$AI$1082,3,FALSE),0)),0),"")</f>
        <v/>
      </c>
      <c r="J110" s="2" t="str">
        <f>IF($E110&lt;&gt;"",IF(AND($E110&lt;&gt;"EJFANGST",$G110&lt;&gt;"INGA"),IF(ISNUMBER(VLOOKUP((ROW($H109)-ROW($H$1)+1)*10+COLUMN(J$1)-COLUMN($H$1)+1,Beräkningshjälp!$AB$2:$AI$1082,7,FALSE)),VLOOKUP((ROW($H109)-ROW($H$1)+1)*10+COLUMN(J$1)-COLUMN($H$1)+1,Beräkningshjälp!$AB$2:$AI$1082,7,FALSE),IF(I110&gt;0,-VLOOKUP((ROW($H109)-ROW($H$1)+1)*10+COLUMN(J$1)-COLUMN($H$1)+1,Beräkningshjälp!$AB$2:$AI$1082,3,FALSE),0)),0),"")</f>
        <v/>
      </c>
      <c r="K110" s="2" t="str">
        <f>IF($E110&lt;&gt;"",IF(AND($E110&lt;&gt;"EJFANGST",$G110&lt;&gt;"INGA"),IF(ISNUMBER(VLOOKUP((ROW($H109)-ROW($H$1)+1)*10+COLUMN(K$1)-COLUMN($H$1)+1,Beräkningshjälp!$AB$2:$AI$1082,7,FALSE)),VLOOKUP((ROW($H109)-ROW($H$1)+1)*10+COLUMN(K$1)-COLUMN($H$1)+1,Beräkningshjälp!$AB$2:$AI$1082,7,FALSE),IF(J110&gt;0,-VLOOKUP((ROW($H109)-ROW($H$1)+1)*10+COLUMN(K$1)-COLUMN($H$1)+1,Beräkningshjälp!$AB$2:$AI$1082,3,FALSE),0)),0),"")</f>
        <v/>
      </c>
      <c r="L110" s="2" t="str">
        <f>IF($E110&lt;&gt;"",IF(AND($E110&lt;&gt;"EJFANGST",$G110&lt;&gt;"INGA"),IF(ISNUMBER(VLOOKUP((ROW($H109)-ROW($H$1)+1)*10+COLUMN(L$1)-COLUMN($H$1)+1,Beräkningshjälp!$AB$2:$AI$1082,7,FALSE)),VLOOKUP((ROW($H109)-ROW($H$1)+1)*10+COLUMN(L$1)-COLUMN($H$1)+1,Beräkningshjälp!$AB$2:$AI$1082,7,FALSE),IF(K110&gt;0,-VLOOKUP((ROW($H109)-ROW($H$1)+1)*10+COLUMN(L$1)-COLUMN($H$1)+1,Beräkningshjälp!$AB$2:$AI$1082,3,FALSE),0)),0),"")</f>
        <v/>
      </c>
      <c r="M110" s="2" t="str">
        <f>IF($E110&lt;&gt;"",IF(AND($E110&lt;&gt;"EJFANGST",$G110&lt;&gt;"INGA"),IF(ISNUMBER(VLOOKUP((ROW($H109)-ROW($H$1)+1)*10+COLUMN(M$1)-COLUMN($H$1)+1,Beräkningshjälp!$AB$2:$AI$1082,7,FALSE)),VLOOKUP((ROW($H109)-ROW($H$1)+1)*10+COLUMN(M$1)-COLUMN($H$1)+1,Beräkningshjälp!$AB$2:$AI$1082,7,FALSE),IF(L110&gt;0,-VLOOKUP((ROW($H109)-ROW($H$1)+1)*10+COLUMN(M$1)-COLUMN($H$1)+1,Beräkningshjälp!$AB$2:$AI$1082,3,FALSE),0)),0),"")</f>
        <v/>
      </c>
      <c r="N110" s="2" t="str">
        <f>IF($E110&lt;&gt;"",IF(AND($E110&lt;&gt;"EJFANGST",$G110&lt;&gt;"INGA"),IF(ISNUMBER(VLOOKUP((ROW($H109)-ROW($H$1)+1)*10+COLUMN(N$1)-COLUMN($H$1)+1,Beräkningshjälp!$AB$2:$AI$1082,7,FALSE)),VLOOKUP((ROW($H109)-ROW($H$1)+1)*10+COLUMN(N$1)-COLUMN($H$1)+1,Beräkningshjälp!$AB$2:$AI$1082,7,FALSE),IF(M110&gt;0,-VLOOKUP((ROW($H109)-ROW($H$1)+1)*10+COLUMN(N$1)-COLUMN($H$1)+1,Beräkningshjälp!$AB$2:$AI$1082,3,FALSE),0)),0),"")</f>
        <v/>
      </c>
      <c r="O110" s="2" t="str">
        <f>IF($E110&lt;&gt;"",IF(AND($E110&lt;&gt;"EJFANGST",$G110&lt;&gt;"INGA"),IF(ISNUMBER(VLOOKUP((ROW($H109)-ROW($H$1)+1)*10+COLUMN(O$1)-COLUMN($H$1)+1,Beräkningshjälp!$AB$2:$AI$1082,7,FALSE)),VLOOKUP((ROW($H109)-ROW($H$1)+1)*10+COLUMN(O$1)-COLUMN($H$1)+1,Beräkningshjälp!$AB$2:$AI$1082,7,FALSE),IF(N110&gt;0,-VLOOKUP((ROW($H109)-ROW($H$1)+1)*10+COLUMN(O$1)-COLUMN($H$1)+1,Beräkningshjälp!$AB$2:$AI$1082,3,FALSE),0)),0),"")</f>
        <v/>
      </c>
      <c r="P110" s="2" t="str">
        <f>IF($E110&lt;&gt;"",IF(AND($E110&lt;&gt;"EJFANGST",$G110&lt;&gt;"INGA"),IF(ISNUMBER(VLOOKUP((ROW($H109)-ROW($H$1)+1)*10+COLUMN(P$1)-COLUMN($H$1)+1,Beräkningshjälp!$AB$2:$AI$1082,7,FALSE)),VLOOKUP((ROW($H109)-ROW($H$1)+1)*10+COLUMN(P$1)-COLUMN($H$1)+1,Beräkningshjälp!$AB$2:$AI$1082,7,FALSE),IF(O110&gt;0,-VLOOKUP((ROW($H109)-ROW($H$1)+1)*10+COLUMN(P$1)-COLUMN($H$1)+1,Beräkningshjälp!$AB$2:$AI$1082,3,FALSE),0)),0),"")</f>
        <v/>
      </c>
      <c r="Q110" s="2" t="str">
        <f>IF($E110&lt;&gt;"",IF(AND($E110&lt;&gt;"EJFANGST",$G110&lt;&gt;"INGA"),IF(ISNUMBER(VLOOKUP((ROW($H109)-ROW($H$1)+1)*10+COLUMN(Q$1)-COLUMN($H$1)+1,Beräkningshjälp!$AB$2:$AI$1082,7,FALSE)),VLOOKUP((ROW($H109)-ROW($H$1)+1)*10+COLUMN(Q$1)-COLUMN($H$1)+1,Beräkningshjälp!$AB$2:$AI$1082,7,FALSE),IF(P110&gt;0,-VLOOKUP((ROW($H109)-ROW($H$1)+1)*10+COLUMN(Q$1)-COLUMN($H$1)+1,Beräkningshjälp!$AB$2:$AI$1082,3,FALSE),0)),0),"")</f>
        <v/>
      </c>
      <c r="R110" s="116" t="str">
        <f>IF(COUNTIF(H110:Q110,"&gt;0")&gt;0,IF($E110&lt;&gt;"",IF(AND($E110&lt;&gt;"EJFANGST",$G110&lt;&gt;"INGA"),IF(ISNUMBER(VLOOKUP((ROW($H109)-ROW($H$1)+1)*10+COLUMN(H$1)-COLUMN($H$1)+1,Beräkningshjälp!$AB$2:$AI$1082,7,FALSE)),VLOOKUP((ROW($H109)-ROW($H$1)+1)*10+COLUMN(H$1)-COLUMN($H$1)+1,Beräkningshjälp!$AB$2:$AI$1082,3,FALSE),""),""),""),"")</f>
        <v/>
      </c>
    </row>
    <row r="111" spans="1:18" x14ac:dyDescent="0.25">
      <c r="A111" s="2" t="str">
        <f t="shared" si="1"/>
        <v/>
      </c>
      <c r="B111" s="2" t="str">
        <f>IF(D111&lt;&gt;"",'DATA TILL SLU'!$J$3,"")</f>
        <v/>
      </c>
      <c r="C111" s="2" t="str">
        <f>IF(D111&lt;&gt;"",'DATA TILL SLU'!$K$3,"")</f>
        <v/>
      </c>
      <c r="D111" s="2" t="str">
        <f>IF(OR(ROW(D110)-ROW(D$1)+1&lt;=MAX(Beräkningshjälp!$F$37:$F$54),ROW(D110)-ROW(D$1)+1&lt;=ROUND((MAX(Beräkningshjälp!AB$3:AB$1082)+4)/10,0)-1),D$2,"")</f>
        <v/>
      </c>
      <c r="E111" s="136" t="str">
        <f>IF(D111&lt;&gt;"",IF(COUNTIF(Beräkningshjälp!F$38:F$49,"&gt;0")&gt;=ROW(E110)-ROW(E$1)+1,VLOOKUP((VLOOKUP(ROW(E110)-ROW(E$1)+1,Beräkningshjälp!$F$37:$H$54,IF(ISNUMBER(VLOOKUP(ROW(E110)-ROW(E$1)+1,Beräkningshjälp!$F$37:$H$54,2,FALSE)),2,3),FALSE)),Beräkningshjälp!$M$2:$O$60,3,FALSE),VLOOKUP((ROW(E110)-ROW(E$1)+1)*10+1,Beräkningshjälp!$AB$2:$AF$1082,5,FALSE)),"")</f>
        <v/>
      </c>
      <c r="F111" s="2" t="str">
        <f>IF(D111&lt;&gt;"",Beräkningshjälp!$AH$1,"")</f>
        <v/>
      </c>
      <c r="G111" s="136" t="str">
        <f>IF(D111&lt;&gt;"",IF(COUNTIF(Beräkningshjälp!F$38:F$49,"&gt;0")&gt;=ROW(E110)-ROW(E$1)+1,"INGA",IF(COUNTIF(Beräkningshjälp!$G$38:$H$49,VLOOKUP(E111,Beräkningshjälp!$AF$2:$AG$1082,2,FALSE))&gt;0,"ENSTAK",IF(VLOOKUP(VLOOKUP(E111,Beräkningshjälp!O$2:U$60,7,FALSE),Artuppgifter!$I$11:$P$22,7,FALSE)=TRUE,"MINMAX","ALLA"))),"")</f>
        <v/>
      </c>
      <c r="H111" s="2" t="str">
        <f>IF($E111&lt;&gt;"",IF(AND($E111&lt;&gt;"EJFANGST",$G111&lt;&gt;"INGA"),IF(ISNUMBER(VLOOKUP((ROW($H110)-ROW($H$1)+1)*10+COLUMN(H$1)-COLUMN($H$1)+1,Beräkningshjälp!$AB$2:$AI$1082,7,FALSE)),VLOOKUP((ROW($H110)-ROW($H$1)+1)*10+COLUMN(H$1)-COLUMN($H$1)+1,Beräkningshjälp!$AB$2:$AI$1082,7,FALSE),IF(E111&gt;0,-VLOOKUP((ROW($H110)-ROW($H$1)+1)*10+COLUMN(H$1)-COLUMN($H$1)+1,Beräkningshjälp!$AB$2:$AI$1082,3,FALSE),0)),0),"")</f>
        <v/>
      </c>
      <c r="I111" s="2" t="str">
        <f>IF($E111&lt;&gt;"",IF(AND($E111&lt;&gt;"EJFANGST",$G111&lt;&gt;"INGA"),IF(ISNUMBER(VLOOKUP((ROW($H110)-ROW($H$1)+1)*10+COLUMN(I$1)-COLUMN($H$1)+1,Beräkningshjälp!$AB$2:$AI$1082,7,FALSE)),VLOOKUP((ROW($H110)-ROW($H$1)+1)*10+COLUMN(I$1)-COLUMN($H$1)+1,Beräkningshjälp!$AB$2:$AI$1082,7,FALSE),IF(H111&gt;0,-VLOOKUP((ROW($H110)-ROW($H$1)+1)*10+COLUMN(I$1)-COLUMN($H$1)+1,Beräkningshjälp!$AB$2:$AI$1082,3,FALSE),0)),0),"")</f>
        <v/>
      </c>
      <c r="J111" s="2" t="str">
        <f>IF($E111&lt;&gt;"",IF(AND($E111&lt;&gt;"EJFANGST",$G111&lt;&gt;"INGA"),IF(ISNUMBER(VLOOKUP((ROW($H110)-ROW($H$1)+1)*10+COLUMN(J$1)-COLUMN($H$1)+1,Beräkningshjälp!$AB$2:$AI$1082,7,FALSE)),VLOOKUP((ROW($H110)-ROW($H$1)+1)*10+COLUMN(J$1)-COLUMN($H$1)+1,Beräkningshjälp!$AB$2:$AI$1082,7,FALSE),IF(I111&gt;0,-VLOOKUP((ROW($H110)-ROW($H$1)+1)*10+COLUMN(J$1)-COLUMN($H$1)+1,Beräkningshjälp!$AB$2:$AI$1082,3,FALSE),0)),0),"")</f>
        <v/>
      </c>
      <c r="K111" s="2" t="str">
        <f>IF($E111&lt;&gt;"",IF(AND($E111&lt;&gt;"EJFANGST",$G111&lt;&gt;"INGA"),IF(ISNUMBER(VLOOKUP((ROW($H110)-ROW($H$1)+1)*10+COLUMN(K$1)-COLUMN($H$1)+1,Beräkningshjälp!$AB$2:$AI$1082,7,FALSE)),VLOOKUP((ROW($H110)-ROW($H$1)+1)*10+COLUMN(K$1)-COLUMN($H$1)+1,Beräkningshjälp!$AB$2:$AI$1082,7,FALSE),IF(J111&gt;0,-VLOOKUP((ROW($H110)-ROW($H$1)+1)*10+COLUMN(K$1)-COLUMN($H$1)+1,Beräkningshjälp!$AB$2:$AI$1082,3,FALSE),0)),0),"")</f>
        <v/>
      </c>
      <c r="L111" s="2" t="str">
        <f>IF($E111&lt;&gt;"",IF(AND($E111&lt;&gt;"EJFANGST",$G111&lt;&gt;"INGA"),IF(ISNUMBER(VLOOKUP((ROW($H110)-ROW($H$1)+1)*10+COLUMN(L$1)-COLUMN($H$1)+1,Beräkningshjälp!$AB$2:$AI$1082,7,FALSE)),VLOOKUP((ROW($H110)-ROW($H$1)+1)*10+COLUMN(L$1)-COLUMN($H$1)+1,Beräkningshjälp!$AB$2:$AI$1082,7,FALSE),IF(K111&gt;0,-VLOOKUP((ROW($H110)-ROW($H$1)+1)*10+COLUMN(L$1)-COLUMN($H$1)+1,Beräkningshjälp!$AB$2:$AI$1082,3,FALSE),0)),0),"")</f>
        <v/>
      </c>
      <c r="M111" s="2" t="str">
        <f>IF($E111&lt;&gt;"",IF(AND($E111&lt;&gt;"EJFANGST",$G111&lt;&gt;"INGA"),IF(ISNUMBER(VLOOKUP((ROW($H110)-ROW($H$1)+1)*10+COLUMN(M$1)-COLUMN($H$1)+1,Beräkningshjälp!$AB$2:$AI$1082,7,FALSE)),VLOOKUP((ROW($H110)-ROW($H$1)+1)*10+COLUMN(M$1)-COLUMN($H$1)+1,Beräkningshjälp!$AB$2:$AI$1082,7,FALSE),IF(L111&gt;0,-VLOOKUP((ROW($H110)-ROW($H$1)+1)*10+COLUMN(M$1)-COLUMN($H$1)+1,Beräkningshjälp!$AB$2:$AI$1082,3,FALSE),0)),0),"")</f>
        <v/>
      </c>
      <c r="N111" s="2" t="str">
        <f>IF($E111&lt;&gt;"",IF(AND($E111&lt;&gt;"EJFANGST",$G111&lt;&gt;"INGA"),IF(ISNUMBER(VLOOKUP((ROW($H110)-ROW($H$1)+1)*10+COLUMN(N$1)-COLUMN($H$1)+1,Beräkningshjälp!$AB$2:$AI$1082,7,FALSE)),VLOOKUP((ROW($H110)-ROW($H$1)+1)*10+COLUMN(N$1)-COLUMN($H$1)+1,Beräkningshjälp!$AB$2:$AI$1082,7,FALSE),IF(M111&gt;0,-VLOOKUP((ROW($H110)-ROW($H$1)+1)*10+COLUMN(N$1)-COLUMN($H$1)+1,Beräkningshjälp!$AB$2:$AI$1082,3,FALSE),0)),0),"")</f>
        <v/>
      </c>
      <c r="O111" s="2" t="str">
        <f>IF($E111&lt;&gt;"",IF(AND($E111&lt;&gt;"EJFANGST",$G111&lt;&gt;"INGA"),IF(ISNUMBER(VLOOKUP((ROW($H110)-ROW($H$1)+1)*10+COLUMN(O$1)-COLUMN($H$1)+1,Beräkningshjälp!$AB$2:$AI$1082,7,FALSE)),VLOOKUP((ROW($H110)-ROW($H$1)+1)*10+COLUMN(O$1)-COLUMN($H$1)+1,Beräkningshjälp!$AB$2:$AI$1082,7,FALSE),IF(N111&gt;0,-VLOOKUP((ROW($H110)-ROW($H$1)+1)*10+COLUMN(O$1)-COLUMN($H$1)+1,Beräkningshjälp!$AB$2:$AI$1082,3,FALSE),0)),0),"")</f>
        <v/>
      </c>
      <c r="P111" s="2" t="str">
        <f>IF($E111&lt;&gt;"",IF(AND($E111&lt;&gt;"EJFANGST",$G111&lt;&gt;"INGA"),IF(ISNUMBER(VLOOKUP((ROW($H110)-ROW($H$1)+1)*10+COLUMN(P$1)-COLUMN($H$1)+1,Beräkningshjälp!$AB$2:$AI$1082,7,FALSE)),VLOOKUP((ROW($H110)-ROW($H$1)+1)*10+COLUMN(P$1)-COLUMN($H$1)+1,Beräkningshjälp!$AB$2:$AI$1082,7,FALSE),IF(O111&gt;0,-VLOOKUP((ROW($H110)-ROW($H$1)+1)*10+COLUMN(P$1)-COLUMN($H$1)+1,Beräkningshjälp!$AB$2:$AI$1082,3,FALSE),0)),0),"")</f>
        <v/>
      </c>
      <c r="Q111" s="2" t="str">
        <f>IF($E111&lt;&gt;"",IF(AND($E111&lt;&gt;"EJFANGST",$G111&lt;&gt;"INGA"),IF(ISNUMBER(VLOOKUP((ROW($H110)-ROW($H$1)+1)*10+COLUMN(Q$1)-COLUMN($H$1)+1,Beräkningshjälp!$AB$2:$AI$1082,7,FALSE)),VLOOKUP((ROW($H110)-ROW($H$1)+1)*10+COLUMN(Q$1)-COLUMN($H$1)+1,Beräkningshjälp!$AB$2:$AI$1082,7,FALSE),IF(P111&gt;0,-VLOOKUP((ROW($H110)-ROW($H$1)+1)*10+COLUMN(Q$1)-COLUMN($H$1)+1,Beräkningshjälp!$AB$2:$AI$1082,3,FALSE),0)),0),"")</f>
        <v/>
      </c>
      <c r="R111" s="116" t="str">
        <f>IF(COUNTIF(H111:Q111,"&gt;0")&gt;0,IF($E111&lt;&gt;"",IF(AND($E111&lt;&gt;"EJFANGST",$G111&lt;&gt;"INGA"),IF(ISNUMBER(VLOOKUP((ROW($H110)-ROW($H$1)+1)*10+COLUMN(H$1)-COLUMN($H$1)+1,Beräkningshjälp!$AB$2:$AI$1082,7,FALSE)),VLOOKUP((ROW($H110)-ROW($H$1)+1)*10+COLUMN(H$1)-COLUMN($H$1)+1,Beräkningshjälp!$AB$2:$AI$1082,3,FALSE),""),""),""),"")</f>
        <v/>
      </c>
    </row>
    <row r="112" spans="1:18" x14ac:dyDescent="0.25">
      <c r="A112" s="2" t="str">
        <f t="shared" si="1"/>
        <v/>
      </c>
      <c r="B112" s="2" t="str">
        <f>IF(D112&lt;&gt;"",'DATA TILL SLU'!$J$3,"")</f>
        <v/>
      </c>
      <c r="C112" s="2" t="str">
        <f>IF(D112&lt;&gt;"",'DATA TILL SLU'!$K$3,"")</f>
        <v/>
      </c>
      <c r="D112" s="2" t="str">
        <f>IF(OR(ROW(D111)-ROW(D$1)+1&lt;=MAX(Beräkningshjälp!$F$37:$F$54),ROW(D111)-ROW(D$1)+1&lt;=ROUND((MAX(Beräkningshjälp!AB$3:AB$1082)+4)/10,0)-1),D$2,"")</f>
        <v/>
      </c>
      <c r="E112" s="136" t="str">
        <f>IF(D112&lt;&gt;"",IF(COUNTIF(Beräkningshjälp!F$38:F$49,"&gt;0")&gt;=ROW(E111)-ROW(E$1)+1,VLOOKUP((VLOOKUP(ROW(E111)-ROW(E$1)+1,Beräkningshjälp!$F$37:$H$54,IF(ISNUMBER(VLOOKUP(ROW(E111)-ROW(E$1)+1,Beräkningshjälp!$F$37:$H$54,2,FALSE)),2,3),FALSE)),Beräkningshjälp!$M$2:$O$60,3,FALSE),VLOOKUP((ROW(E111)-ROW(E$1)+1)*10+1,Beräkningshjälp!$AB$2:$AF$1082,5,FALSE)),"")</f>
        <v/>
      </c>
      <c r="F112" s="2" t="str">
        <f>IF(D112&lt;&gt;"",Beräkningshjälp!$AH$1,"")</f>
        <v/>
      </c>
      <c r="G112" s="136" t="str">
        <f>IF(D112&lt;&gt;"",IF(COUNTIF(Beräkningshjälp!F$38:F$49,"&gt;0")&gt;=ROW(E111)-ROW(E$1)+1,"INGA",IF(COUNTIF(Beräkningshjälp!$G$38:$H$49,VLOOKUP(E112,Beräkningshjälp!$AF$2:$AG$1082,2,FALSE))&gt;0,"ENSTAK",IF(VLOOKUP(VLOOKUP(E112,Beräkningshjälp!O$2:U$60,7,FALSE),Artuppgifter!$I$11:$P$22,7,FALSE)=TRUE,"MINMAX","ALLA"))),"")</f>
        <v/>
      </c>
      <c r="H112" s="2" t="str">
        <f>IF($E112&lt;&gt;"",IF(AND($E112&lt;&gt;"EJFANGST",$G112&lt;&gt;"INGA"),IF(ISNUMBER(VLOOKUP((ROW($H111)-ROW($H$1)+1)*10+COLUMN(H$1)-COLUMN($H$1)+1,Beräkningshjälp!$AB$2:$AI$1082,7,FALSE)),VLOOKUP((ROW($H111)-ROW($H$1)+1)*10+COLUMN(H$1)-COLUMN($H$1)+1,Beräkningshjälp!$AB$2:$AI$1082,7,FALSE),IF(E112&gt;0,-VLOOKUP((ROW($H111)-ROW($H$1)+1)*10+COLUMN(H$1)-COLUMN($H$1)+1,Beräkningshjälp!$AB$2:$AI$1082,3,FALSE),0)),0),"")</f>
        <v/>
      </c>
      <c r="I112" s="2" t="str">
        <f>IF($E112&lt;&gt;"",IF(AND($E112&lt;&gt;"EJFANGST",$G112&lt;&gt;"INGA"),IF(ISNUMBER(VLOOKUP((ROW($H111)-ROW($H$1)+1)*10+COLUMN(I$1)-COLUMN($H$1)+1,Beräkningshjälp!$AB$2:$AI$1082,7,FALSE)),VLOOKUP((ROW($H111)-ROW($H$1)+1)*10+COLUMN(I$1)-COLUMN($H$1)+1,Beräkningshjälp!$AB$2:$AI$1082,7,FALSE),IF(H112&gt;0,-VLOOKUP((ROW($H111)-ROW($H$1)+1)*10+COLUMN(I$1)-COLUMN($H$1)+1,Beräkningshjälp!$AB$2:$AI$1082,3,FALSE),0)),0),"")</f>
        <v/>
      </c>
      <c r="J112" s="2" t="str">
        <f>IF($E112&lt;&gt;"",IF(AND($E112&lt;&gt;"EJFANGST",$G112&lt;&gt;"INGA"),IF(ISNUMBER(VLOOKUP((ROW($H111)-ROW($H$1)+1)*10+COLUMN(J$1)-COLUMN($H$1)+1,Beräkningshjälp!$AB$2:$AI$1082,7,FALSE)),VLOOKUP((ROW($H111)-ROW($H$1)+1)*10+COLUMN(J$1)-COLUMN($H$1)+1,Beräkningshjälp!$AB$2:$AI$1082,7,FALSE),IF(I112&gt;0,-VLOOKUP((ROW($H111)-ROW($H$1)+1)*10+COLUMN(J$1)-COLUMN($H$1)+1,Beräkningshjälp!$AB$2:$AI$1082,3,FALSE),0)),0),"")</f>
        <v/>
      </c>
      <c r="K112" s="2" t="str">
        <f>IF($E112&lt;&gt;"",IF(AND($E112&lt;&gt;"EJFANGST",$G112&lt;&gt;"INGA"),IF(ISNUMBER(VLOOKUP((ROW($H111)-ROW($H$1)+1)*10+COLUMN(K$1)-COLUMN($H$1)+1,Beräkningshjälp!$AB$2:$AI$1082,7,FALSE)),VLOOKUP((ROW($H111)-ROW($H$1)+1)*10+COLUMN(K$1)-COLUMN($H$1)+1,Beräkningshjälp!$AB$2:$AI$1082,7,FALSE),IF(J112&gt;0,-VLOOKUP((ROW($H111)-ROW($H$1)+1)*10+COLUMN(K$1)-COLUMN($H$1)+1,Beräkningshjälp!$AB$2:$AI$1082,3,FALSE),0)),0),"")</f>
        <v/>
      </c>
      <c r="L112" s="2" t="str">
        <f>IF($E112&lt;&gt;"",IF(AND($E112&lt;&gt;"EJFANGST",$G112&lt;&gt;"INGA"),IF(ISNUMBER(VLOOKUP((ROW($H111)-ROW($H$1)+1)*10+COLUMN(L$1)-COLUMN($H$1)+1,Beräkningshjälp!$AB$2:$AI$1082,7,FALSE)),VLOOKUP((ROW($H111)-ROW($H$1)+1)*10+COLUMN(L$1)-COLUMN($H$1)+1,Beräkningshjälp!$AB$2:$AI$1082,7,FALSE),IF(K112&gt;0,-VLOOKUP((ROW($H111)-ROW($H$1)+1)*10+COLUMN(L$1)-COLUMN($H$1)+1,Beräkningshjälp!$AB$2:$AI$1082,3,FALSE),0)),0),"")</f>
        <v/>
      </c>
      <c r="M112" s="2" t="str">
        <f>IF($E112&lt;&gt;"",IF(AND($E112&lt;&gt;"EJFANGST",$G112&lt;&gt;"INGA"),IF(ISNUMBER(VLOOKUP((ROW($H111)-ROW($H$1)+1)*10+COLUMN(M$1)-COLUMN($H$1)+1,Beräkningshjälp!$AB$2:$AI$1082,7,FALSE)),VLOOKUP((ROW($H111)-ROW($H$1)+1)*10+COLUMN(M$1)-COLUMN($H$1)+1,Beräkningshjälp!$AB$2:$AI$1082,7,FALSE),IF(L112&gt;0,-VLOOKUP((ROW($H111)-ROW($H$1)+1)*10+COLUMN(M$1)-COLUMN($H$1)+1,Beräkningshjälp!$AB$2:$AI$1082,3,FALSE),0)),0),"")</f>
        <v/>
      </c>
      <c r="N112" s="2" t="str">
        <f>IF($E112&lt;&gt;"",IF(AND($E112&lt;&gt;"EJFANGST",$G112&lt;&gt;"INGA"),IF(ISNUMBER(VLOOKUP((ROW($H111)-ROW($H$1)+1)*10+COLUMN(N$1)-COLUMN($H$1)+1,Beräkningshjälp!$AB$2:$AI$1082,7,FALSE)),VLOOKUP((ROW($H111)-ROW($H$1)+1)*10+COLUMN(N$1)-COLUMN($H$1)+1,Beräkningshjälp!$AB$2:$AI$1082,7,FALSE),IF(M112&gt;0,-VLOOKUP((ROW($H111)-ROW($H$1)+1)*10+COLUMN(N$1)-COLUMN($H$1)+1,Beräkningshjälp!$AB$2:$AI$1082,3,FALSE),0)),0),"")</f>
        <v/>
      </c>
      <c r="O112" s="2" t="str">
        <f>IF($E112&lt;&gt;"",IF(AND($E112&lt;&gt;"EJFANGST",$G112&lt;&gt;"INGA"),IF(ISNUMBER(VLOOKUP((ROW($H111)-ROW($H$1)+1)*10+COLUMN(O$1)-COLUMN($H$1)+1,Beräkningshjälp!$AB$2:$AI$1082,7,FALSE)),VLOOKUP((ROW($H111)-ROW($H$1)+1)*10+COLUMN(O$1)-COLUMN($H$1)+1,Beräkningshjälp!$AB$2:$AI$1082,7,FALSE),IF(N112&gt;0,-VLOOKUP((ROW($H111)-ROW($H$1)+1)*10+COLUMN(O$1)-COLUMN($H$1)+1,Beräkningshjälp!$AB$2:$AI$1082,3,FALSE),0)),0),"")</f>
        <v/>
      </c>
      <c r="P112" s="2" t="str">
        <f>IF($E112&lt;&gt;"",IF(AND($E112&lt;&gt;"EJFANGST",$G112&lt;&gt;"INGA"),IF(ISNUMBER(VLOOKUP((ROW($H111)-ROW($H$1)+1)*10+COLUMN(P$1)-COLUMN($H$1)+1,Beräkningshjälp!$AB$2:$AI$1082,7,FALSE)),VLOOKUP((ROW($H111)-ROW($H$1)+1)*10+COLUMN(P$1)-COLUMN($H$1)+1,Beräkningshjälp!$AB$2:$AI$1082,7,FALSE),IF(O112&gt;0,-VLOOKUP((ROW($H111)-ROW($H$1)+1)*10+COLUMN(P$1)-COLUMN($H$1)+1,Beräkningshjälp!$AB$2:$AI$1082,3,FALSE),0)),0),"")</f>
        <v/>
      </c>
      <c r="Q112" s="2" t="str">
        <f>IF($E112&lt;&gt;"",IF(AND($E112&lt;&gt;"EJFANGST",$G112&lt;&gt;"INGA"),IF(ISNUMBER(VLOOKUP((ROW($H111)-ROW($H$1)+1)*10+COLUMN(Q$1)-COLUMN($H$1)+1,Beräkningshjälp!$AB$2:$AI$1082,7,FALSE)),VLOOKUP((ROW($H111)-ROW($H$1)+1)*10+COLUMN(Q$1)-COLUMN($H$1)+1,Beräkningshjälp!$AB$2:$AI$1082,7,FALSE),IF(P112&gt;0,-VLOOKUP((ROW($H111)-ROW($H$1)+1)*10+COLUMN(Q$1)-COLUMN($H$1)+1,Beräkningshjälp!$AB$2:$AI$1082,3,FALSE),0)),0),"")</f>
        <v/>
      </c>
      <c r="R112" s="116" t="str">
        <f>IF(COUNTIF(H112:Q112,"&gt;0")&gt;0,IF($E112&lt;&gt;"",IF(AND($E112&lt;&gt;"EJFANGST",$G112&lt;&gt;"INGA"),IF(ISNUMBER(VLOOKUP((ROW($H111)-ROW($H$1)+1)*10+COLUMN(H$1)-COLUMN($H$1)+1,Beräkningshjälp!$AB$2:$AI$1082,7,FALSE)),VLOOKUP((ROW($H111)-ROW($H$1)+1)*10+COLUMN(H$1)-COLUMN($H$1)+1,Beräkningshjälp!$AB$2:$AI$1082,3,FALSE),""),""),""),"")</f>
        <v/>
      </c>
    </row>
    <row r="113" spans="1:18" x14ac:dyDescent="0.25">
      <c r="A113" s="2" t="str">
        <f t="shared" si="1"/>
        <v/>
      </c>
      <c r="B113" s="2" t="str">
        <f>IF(D113&lt;&gt;"",'DATA TILL SLU'!$J$3,"")</f>
        <v/>
      </c>
      <c r="C113" s="2" t="str">
        <f>IF(D113&lt;&gt;"",'DATA TILL SLU'!$K$3,"")</f>
        <v/>
      </c>
      <c r="D113" s="2" t="str">
        <f>IF(OR(ROW(D112)-ROW(D$1)+1&lt;=MAX(Beräkningshjälp!$F$37:$F$54),ROW(D112)-ROW(D$1)+1&lt;=ROUND((MAX(Beräkningshjälp!AB$3:AB$1082)+4)/10,0)-1),D$2,"")</f>
        <v/>
      </c>
      <c r="E113" s="136" t="str">
        <f>IF(D113&lt;&gt;"",IF(COUNTIF(Beräkningshjälp!F$38:F$49,"&gt;0")&gt;=ROW(E112)-ROW(E$1)+1,VLOOKUP((VLOOKUP(ROW(E112)-ROW(E$1)+1,Beräkningshjälp!$F$37:$H$54,IF(ISNUMBER(VLOOKUP(ROW(E112)-ROW(E$1)+1,Beräkningshjälp!$F$37:$H$54,2,FALSE)),2,3),FALSE)),Beräkningshjälp!$M$2:$O$60,3,FALSE),VLOOKUP((ROW(E112)-ROW(E$1)+1)*10+1,Beräkningshjälp!$AB$2:$AF$1082,5,FALSE)),"")</f>
        <v/>
      </c>
      <c r="F113" s="2" t="str">
        <f>IF(D113&lt;&gt;"",Beräkningshjälp!$AH$1,"")</f>
        <v/>
      </c>
      <c r="G113" s="136" t="str">
        <f>IF(D113&lt;&gt;"",IF(COUNTIF(Beräkningshjälp!F$38:F$49,"&gt;0")&gt;=ROW(E112)-ROW(E$1)+1,"INGA",IF(COUNTIF(Beräkningshjälp!$G$38:$H$49,VLOOKUP(E113,Beräkningshjälp!$AF$2:$AG$1082,2,FALSE))&gt;0,"ENSTAK",IF(VLOOKUP(VLOOKUP(E113,Beräkningshjälp!O$2:U$60,7,FALSE),Artuppgifter!$I$11:$P$22,7,FALSE)=TRUE,"MINMAX","ALLA"))),"")</f>
        <v/>
      </c>
      <c r="H113" s="2" t="str">
        <f>IF($E113&lt;&gt;"",IF(AND($E113&lt;&gt;"EJFANGST",$G113&lt;&gt;"INGA"),IF(ISNUMBER(VLOOKUP((ROW($H112)-ROW($H$1)+1)*10+COLUMN(H$1)-COLUMN($H$1)+1,Beräkningshjälp!$AB$2:$AI$1082,7,FALSE)),VLOOKUP((ROW($H112)-ROW($H$1)+1)*10+COLUMN(H$1)-COLUMN($H$1)+1,Beräkningshjälp!$AB$2:$AI$1082,7,FALSE),IF(E113&gt;0,-VLOOKUP((ROW($H112)-ROW($H$1)+1)*10+COLUMN(H$1)-COLUMN($H$1)+1,Beräkningshjälp!$AB$2:$AI$1082,3,FALSE),0)),0),"")</f>
        <v/>
      </c>
      <c r="I113" s="2" t="str">
        <f>IF($E113&lt;&gt;"",IF(AND($E113&lt;&gt;"EJFANGST",$G113&lt;&gt;"INGA"),IF(ISNUMBER(VLOOKUP((ROW($H112)-ROW($H$1)+1)*10+COLUMN(I$1)-COLUMN($H$1)+1,Beräkningshjälp!$AB$2:$AI$1082,7,FALSE)),VLOOKUP((ROW($H112)-ROW($H$1)+1)*10+COLUMN(I$1)-COLUMN($H$1)+1,Beräkningshjälp!$AB$2:$AI$1082,7,FALSE),IF(H113&gt;0,-VLOOKUP((ROW($H112)-ROW($H$1)+1)*10+COLUMN(I$1)-COLUMN($H$1)+1,Beräkningshjälp!$AB$2:$AI$1082,3,FALSE),0)),0),"")</f>
        <v/>
      </c>
      <c r="J113" s="2" t="str">
        <f>IF($E113&lt;&gt;"",IF(AND($E113&lt;&gt;"EJFANGST",$G113&lt;&gt;"INGA"),IF(ISNUMBER(VLOOKUP((ROW($H112)-ROW($H$1)+1)*10+COLUMN(J$1)-COLUMN($H$1)+1,Beräkningshjälp!$AB$2:$AI$1082,7,FALSE)),VLOOKUP((ROW($H112)-ROW($H$1)+1)*10+COLUMN(J$1)-COLUMN($H$1)+1,Beräkningshjälp!$AB$2:$AI$1082,7,FALSE),IF(I113&gt;0,-VLOOKUP((ROW($H112)-ROW($H$1)+1)*10+COLUMN(J$1)-COLUMN($H$1)+1,Beräkningshjälp!$AB$2:$AI$1082,3,FALSE),0)),0),"")</f>
        <v/>
      </c>
      <c r="K113" s="2" t="str">
        <f>IF($E113&lt;&gt;"",IF(AND($E113&lt;&gt;"EJFANGST",$G113&lt;&gt;"INGA"),IF(ISNUMBER(VLOOKUP((ROW($H112)-ROW($H$1)+1)*10+COLUMN(K$1)-COLUMN($H$1)+1,Beräkningshjälp!$AB$2:$AI$1082,7,FALSE)),VLOOKUP((ROW($H112)-ROW($H$1)+1)*10+COLUMN(K$1)-COLUMN($H$1)+1,Beräkningshjälp!$AB$2:$AI$1082,7,FALSE),IF(J113&gt;0,-VLOOKUP((ROW($H112)-ROW($H$1)+1)*10+COLUMN(K$1)-COLUMN($H$1)+1,Beräkningshjälp!$AB$2:$AI$1082,3,FALSE),0)),0),"")</f>
        <v/>
      </c>
      <c r="L113" s="2" t="str">
        <f>IF($E113&lt;&gt;"",IF(AND($E113&lt;&gt;"EJFANGST",$G113&lt;&gt;"INGA"),IF(ISNUMBER(VLOOKUP((ROW($H112)-ROW($H$1)+1)*10+COLUMN(L$1)-COLUMN($H$1)+1,Beräkningshjälp!$AB$2:$AI$1082,7,FALSE)),VLOOKUP((ROW($H112)-ROW($H$1)+1)*10+COLUMN(L$1)-COLUMN($H$1)+1,Beräkningshjälp!$AB$2:$AI$1082,7,FALSE),IF(K113&gt;0,-VLOOKUP((ROW($H112)-ROW($H$1)+1)*10+COLUMN(L$1)-COLUMN($H$1)+1,Beräkningshjälp!$AB$2:$AI$1082,3,FALSE),0)),0),"")</f>
        <v/>
      </c>
      <c r="M113" s="2" t="str">
        <f>IF($E113&lt;&gt;"",IF(AND($E113&lt;&gt;"EJFANGST",$G113&lt;&gt;"INGA"),IF(ISNUMBER(VLOOKUP((ROW($H112)-ROW($H$1)+1)*10+COLUMN(M$1)-COLUMN($H$1)+1,Beräkningshjälp!$AB$2:$AI$1082,7,FALSE)),VLOOKUP((ROW($H112)-ROW($H$1)+1)*10+COLUMN(M$1)-COLUMN($H$1)+1,Beräkningshjälp!$AB$2:$AI$1082,7,FALSE),IF(L113&gt;0,-VLOOKUP((ROW($H112)-ROW($H$1)+1)*10+COLUMN(M$1)-COLUMN($H$1)+1,Beräkningshjälp!$AB$2:$AI$1082,3,FALSE),0)),0),"")</f>
        <v/>
      </c>
      <c r="N113" s="2" t="str">
        <f>IF($E113&lt;&gt;"",IF(AND($E113&lt;&gt;"EJFANGST",$G113&lt;&gt;"INGA"),IF(ISNUMBER(VLOOKUP((ROW($H112)-ROW($H$1)+1)*10+COLUMN(N$1)-COLUMN($H$1)+1,Beräkningshjälp!$AB$2:$AI$1082,7,FALSE)),VLOOKUP((ROW($H112)-ROW($H$1)+1)*10+COLUMN(N$1)-COLUMN($H$1)+1,Beräkningshjälp!$AB$2:$AI$1082,7,FALSE),IF(M113&gt;0,-VLOOKUP((ROW($H112)-ROW($H$1)+1)*10+COLUMN(N$1)-COLUMN($H$1)+1,Beräkningshjälp!$AB$2:$AI$1082,3,FALSE),0)),0),"")</f>
        <v/>
      </c>
      <c r="O113" s="2" t="str">
        <f>IF($E113&lt;&gt;"",IF(AND($E113&lt;&gt;"EJFANGST",$G113&lt;&gt;"INGA"),IF(ISNUMBER(VLOOKUP((ROW($H112)-ROW($H$1)+1)*10+COLUMN(O$1)-COLUMN($H$1)+1,Beräkningshjälp!$AB$2:$AI$1082,7,FALSE)),VLOOKUP((ROW($H112)-ROW($H$1)+1)*10+COLUMN(O$1)-COLUMN($H$1)+1,Beräkningshjälp!$AB$2:$AI$1082,7,FALSE),IF(N113&gt;0,-VLOOKUP((ROW($H112)-ROW($H$1)+1)*10+COLUMN(O$1)-COLUMN($H$1)+1,Beräkningshjälp!$AB$2:$AI$1082,3,FALSE),0)),0),"")</f>
        <v/>
      </c>
      <c r="P113" s="2" t="str">
        <f>IF($E113&lt;&gt;"",IF(AND($E113&lt;&gt;"EJFANGST",$G113&lt;&gt;"INGA"),IF(ISNUMBER(VLOOKUP((ROW($H112)-ROW($H$1)+1)*10+COLUMN(P$1)-COLUMN($H$1)+1,Beräkningshjälp!$AB$2:$AI$1082,7,FALSE)),VLOOKUP((ROW($H112)-ROW($H$1)+1)*10+COLUMN(P$1)-COLUMN($H$1)+1,Beräkningshjälp!$AB$2:$AI$1082,7,FALSE),IF(O113&gt;0,-VLOOKUP((ROW($H112)-ROW($H$1)+1)*10+COLUMN(P$1)-COLUMN($H$1)+1,Beräkningshjälp!$AB$2:$AI$1082,3,FALSE),0)),0),"")</f>
        <v/>
      </c>
      <c r="Q113" s="2" t="str">
        <f>IF($E113&lt;&gt;"",IF(AND($E113&lt;&gt;"EJFANGST",$G113&lt;&gt;"INGA"),IF(ISNUMBER(VLOOKUP((ROW($H112)-ROW($H$1)+1)*10+COLUMN(Q$1)-COLUMN($H$1)+1,Beräkningshjälp!$AB$2:$AI$1082,7,FALSE)),VLOOKUP((ROW($H112)-ROW($H$1)+1)*10+COLUMN(Q$1)-COLUMN($H$1)+1,Beräkningshjälp!$AB$2:$AI$1082,7,FALSE),IF(P113&gt;0,-VLOOKUP((ROW($H112)-ROW($H$1)+1)*10+COLUMN(Q$1)-COLUMN($H$1)+1,Beräkningshjälp!$AB$2:$AI$1082,3,FALSE),0)),0),"")</f>
        <v/>
      </c>
      <c r="R113" s="116" t="str">
        <f>IF(COUNTIF(H113:Q113,"&gt;0")&gt;0,IF($E113&lt;&gt;"",IF(AND($E113&lt;&gt;"EJFANGST",$G113&lt;&gt;"INGA"),IF(ISNUMBER(VLOOKUP((ROW($H112)-ROW($H$1)+1)*10+COLUMN(H$1)-COLUMN($H$1)+1,Beräkningshjälp!$AB$2:$AI$1082,7,FALSE)),VLOOKUP((ROW($H112)-ROW($H$1)+1)*10+COLUMN(H$1)-COLUMN($H$1)+1,Beräkningshjälp!$AB$2:$AI$1082,3,FALSE),""),""),""),"")</f>
        <v/>
      </c>
    </row>
    <row r="114" spans="1:18" x14ac:dyDescent="0.25">
      <c r="A114" s="2" t="str">
        <f t="shared" si="1"/>
        <v/>
      </c>
      <c r="B114" s="2" t="str">
        <f>IF(D114&lt;&gt;"",'DATA TILL SLU'!$J$3,"")</f>
        <v/>
      </c>
      <c r="C114" s="2" t="str">
        <f>IF(D114&lt;&gt;"",'DATA TILL SLU'!$K$3,"")</f>
        <v/>
      </c>
      <c r="D114" s="2" t="str">
        <f>IF(OR(ROW(D113)-ROW(D$1)+1&lt;=MAX(Beräkningshjälp!$F$37:$F$54),ROW(D113)-ROW(D$1)+1&lt;=ROUND((MAX(Beräkningshjälp!AB$3:AB$1082)+4)/10,0)-1),D$2,"")</f>
        <v/>
      </c>
      <c r="E114" s="136" t="str">
        <f>IF(D114&lt;&gt;"",IF(COUNTIF(Beräkningshjälp!F$38:F$49,"&gt;0")&gt;=ROW(E113)-ROW(E$1)+1,VLOOKUP((VLOOKUP(ROW(E113)-ROW(E$1)+1,Beräkningshjälp!$F$37:$H$54,IF(ISNUMBER(VLOOKUP(ROW(E113)-ROW(E$1)+1,Beräkningshjälp!$F$37:$H$54,2,FALSE)),2,3),FALSE)),Beräkningshjälp!$M$2:$O$60,3,FALSE),VLOOKUP((ROW(E113)-ROW(E$1)+1)*10+1,Beräkningshjälp!$AB$2:$AF$1082,5,FALSE)),"")</f>
        <v/>
      </c>
      <c r="F114" s="2" t="str">
        <f>IF(D114&lt;&gt;"",Beräkningshjälp!$AH$1,"")</f>
        <v/>
      </c>
      <c r="G114" s="136" t="str">
        <f>IF(D114&lt;&gt;"",IF(COUNTIF(Beräkningshjälp!F$38:F$49,"&gt;0")&gt;=ROW(E113)-ROW(E$1)+1,"INGA",IF(COUNTIF(Beräkningshjälp!$G$38:$H$49,VLOOKUP(E114,Beräkningshjälp!$AF$2:$AG$1082,2,FALSE))&gt;0,"ENSTAK",IF(VLOOKUP(VLOOKUP(E114,Beräkningshjälp!O$2:U$60,7,FALSE),Artuppgifter!$I$11:$P$22,7,FALSE)=TRUE,"MINMAX","ALLA"))),"")</f>
        <v/>
      </c>
      <c r="H114" s="2" t="str">
        <f>IF($E114&lt;&gt;"",IF(AND($E114&lt;&gt;"EJFANGST",$G114&lt;&gt;"INGA"),IF(ISNUMBER(VLOOKUP((ROW($H113)-ROW($H$1)+1)*10+COLUMN(H$1)-COLUMN($H$1)+1,Beräkningshjälp!$AB$2:$AI$1082,7,FALSE)),VLOOKUP((ROW($H113)-ROW($H$1)+1)*10+COLUMN(H$1)-COLUMN($H$1)+1,Beräkningshjälp!$AB$2:$AI$1082,7,FALSE),IF(E114&gt;0,-VLOOKUP((ROW($H113)-ROW($H$1)+1)*10+COLUMN(H$1)-COLUMN($H$1)+1,Beräkningshjälp!$AB$2:$AI$1082,3,FALSE),0)),0),"")</f>
        <v/>
      </c>
      <c r="I114" s="2" t="str">
        <f>IF($E114&lt;&gt;"",IF(AND($E114&lt;&gt;"EJFANGST",$G114&lt;&gt;"INGA"),IF(ISNUMBER(VLOOKUP((ROW($H113)-ROW($H$1)+1)*10+COLUMN(I$1)-COLUMN($H$1)+1,Beräkningshjälp!$AB$2:$AI$1082,7,FALSE)),VLOOKUP((ROW($H113)-ROW($H$1)+1)*10+COLUMN(I$1)-COLUMN($H$1)+1,Beräkningshjälp!$AB$2:$AI$1082,7,FALSE),IF(H114&gt;0,-VLOOKUP((ROW($H113)-ROW($H$1)+1)*10+COLUMN(I$1)-COLUMN($H$1)+1,Beräkningshjälp!$AB$2:$AI$1082,3,FALSE),0)),0),"")</f>
        <v/>
      </c>
      <c r="J114" s="2" t="str">
        <f>IF($E114&lt;&gt;"",IF(AND($E114&lt;&gt;"EJFANGST",$G114&lt;&gt;"INGA"),IF(ISNUMBER(VLOOKUP((ROW($H113)-ROW($H$1)+1)*10+COLUMN(J$1)-COLUMN($H$1)+1,Beräkningshjälp!$AB$2:$AI$1082,7,FALSE)),VLOOKUP((ROW($H113)-ROW($H$1)+1)*10+COLUMN(J$1)-COLUMN($H$1)+1,Beräkningshjälp!$AB$2:$AI$1082,7,FALSE),IF(I114&gt;0,-VLOOKUP((ROW($H113)-ROW($H$1)+1)*10+COLUMN(J$1)-COLUMN($H$1)+1,Beräkningshjälp!$AB$2:$AI$1082,3,FALSE),0)),0),"")</f>
        <v/>
      </c>
      <c r="K114" s="2" t="str">
        <f>IF($E114&lt;&gt;"",IF(AND($E114&lt;&gt;"EJFANGST",$G114&lt;&gt;"INGA"),IF(ISNUMBER(VLOOKUP((ROW($H113)-ROW($H$1)+1)*10+COLUMN(K$1)-COLUMN($H$1)+1,Beräkningshjälp!$AB$2:$AI$1082,7,FALSE)),VLOOKUP((ROW($H113)-ROW($H$1)+1)*10+COLUMN(K$1)-COLUMN($H$1)+1,Beräkningshjälp!$AB$2:$AI$1082,7,FALSE),IF(J114&gt;0,-VLOOKUP((ROW($H113)-ROW($H$1)+1)*10+COLUMN(K$1)-COLUMN($H$1)+1,Beräkningshjälp!$AB$2:$AI$1082,3,FALSE),0)),0),"")</f>
        <v/>
      </c>
      <c r="L114" s="2" t="str">
        <f>IF($E114&lt;&gt;"",IF(AND($E114&lt;&gt;"EJFANGST",$G114&lt;&gt;"INGA"),IF(ISNUMBER(VLOOKUP((ROW($H113)-ROW($H$1)+1)*10+COLUMN(L$1)-COLUMN($H$1)+1,Beräkningshjälp!$AB$2:$AI$1082,7,FALSE)),VLOOKUP((ROW($H113)-ROW($H$1)+1)*10+COLUMN(L$1)-COLUMN($H$1)+1,Beräkningshjälp!$AB$2:$AI$1082,7,FALSE),IF(K114&gt;0,-VLOOKUP((ROW($H113)-ROW($H$1)+1)*10+COLUMN(L$1)-COLUMN($H$1)+1,Beräkningshjälp!$AB$2:$AI$1082,3,FALSE),0)),0),"")</f>
        <v/>
      </c>
      <c r="M114" s="2" t="str">
        <f>IF($E114&lt;&gt;"",IF(AND($E114&lt;&gt;"EJFANGST",$G114&lt;&gt;"INGA"),IF(ISNUMBER(VLOOKUP((ROW($H113)-ROW($H$1)+1)*10+COLUMN(M$1)-COLUMN($H$1)+1,Beräkningshjälp!$AB$2:$AI$1082,7,FALSE)),VLOOKUP((ROW($H113)-ROW($H$1)+1)*10+COLUMN(M$1)-COLUMN($H$1)+1,Beräkningshjälp!$AB$2:$AI$1082,7,FALSE),IF(L114&gt;0,-VLOOKUP((ROW($H113)-ROW($H$1)+1)*10+COLUMN(M$1)-COLUMN($H$1)+1,Beräkningshjälp!$AB$2:$AI$1082,3,FALSE),0)),0),"")</f>
        <v/>
      </c>
      <c r="N114" s="2" t="str">
        <f>IF($E114&lt;&gt;"",IF(AND($E114&lt;&gt;"EJFANGST",$G114&lt;&gt;"INGA"),IF(ISNUMBER(VLOOKUP((ROW($H113)-ROW($H$1)+1)*10+COLUMN(N$1)-COLUMN($H$1)+1,Beräkningshjälp!$AB$2:$AI$1082,7,FALSE)),VLOOKUP((ROW($H113)-ROW($H$1)+1)*10+COLUMN(N$1)-COLUMN($H$1)+1,Beräkningshjälp!$AB$2:$AI$1082,7,FALSE),IF(M114&gt;0,-VLOOKUP((ROW($H113)-ROW($H$1)+1)*10+COLUMN(N$1)-COLUMN($H$1)+1,Beräkningshjälp!$AB$2:$AI$1082,3,FALSE),0)),0),"")</f>
        <v/>
      </c>
      <c r="O114" s="2" t="str">
        <f>IF($E114&lt;&gt;"",IF(AND($E114&lt;&gt;"EJFANGST",$G114&lt;&gt;"INGA"),IF(ISNUMBER(VLOOKUP((ROW($H113)-ROW($H$1)+1)*10+COLUMN(O$1)-COLUMN($H$1)+1,Beräkningshjälp!$AB$2:$AI$1082,7,FALSE)),VLOOKUP((ROW($H113)-ROW($H$1)+1)*10+COLUMN(O$1)-COLUMN($H$1)+1,Beräkningshjälp!$AB$2:$AI$1082,7,FALSE),IF(N114&gt;0,-VLOOKUP((ROW($H113)-ROW($H$1)+1)*10+COLUMN(O$1)-COLUMN($H$1)+1,Beräkningshjälp!$AB$2:$AI$1082,3,FALSE),0)),0),"")</f>
        <v/>
      </c>
      <c r="P114" s="2" t="str">
        <f>IF($E114&lt;&gt;"",IF(AND($E114&lt;&gt;"EJFANGST",$G114&lt;&gt;"INGA"),IF(ISNUMBER(VLOOKUP((ROW($H113)-ROW($H$1)+1)*10+COLUMN(P$1)-COLUMN($H$1)+1,Beräkningshjälp!$AB$2:$AI$1082,7,FALSE)),VLOOKUP((ROW($H113)-ROW($H$1)+1)*10+COLUMN(P$1)-COLUMN($H$1)+1,Beräkningshjälp!$AB$2:$AI$1082,7,FALSE),IF(O114&gt;0,-VLOOKUP((ROW($H113)-ROW($H$1)+1)*10+COLUMN(P$1)-COLUMN($H$1)+1,Beräkningshjälp!$AB$2:$AI$1082,3,FALSE),0)),0),"")</f>
        <v/>
      </c>
      <c r="Q114" s="2" t="str">
        <f>IF($E114&lt;&gt;"",IF(AND($E114&lt;&gt;"EJFANGST",$G114&lt;&gt;"INGA"),IF(ISNUMBER(VLOOKUP((ROW($H113)-ROW($H$1)+1)*10+COLUMN(Q$1)-COLUMN($H$1)+1,Beräkningshjälp!$AB$2:$AI$1082,7,FALSE)),VLOOKUP((ROW($H113)-ROW($H$1)+1)*10+COLUMN(Q$1)-COLUMN($H$1)+1,Beräkningshjälp!$AB$2:$AI$1082,7,FALSE),IF(P114&gt;0,-VLOOKUP((ROW($H113)-ROW($H$1)+1)*10+COLUMN(Q$1)-COLUMN($H$1)+1,Beräkningshjälp!$AB$2:$AI$1082,3,FALSE),0)),0),"")</f>
        <v/>
      </c>
      <c r="R114" s="116" t="str">
        <f>IF(COUNTIF(H114:Q114,"&gt;0")&gt;0,IF($E114&lt;&gt;"",IF(AND($E114&lt;&gt;"EJFANGST",$G114&lt;&gt;"INGA"),IF(ISNUMBER(VLOOKUP((ROW($H113)-ROW($H$1)+1)*10+COLUMN(H$1)-COLUMN($H$1)+1,Beräkningshjälp!$AB$2:$AI$1082,7,FALSE)),VLOOKUP((ROW($H113)-ROW($H$1)+1)*10+COLUMN(H$1)-COLUMN($H$1)+1,Beräkningshjälp!$AB$2:$AI$1082,3,FALSE),""),""),""),"")</f>
        <v/>
      </c>
    </row>
    <row r="115" spans="1:18" x14ac:dyDescent="0.25">
      <c r="A115" s="2" t="str">
        <f t="shared" si="1"/>
        <v/>
      </c>
      <c r="B115" s="2" t="str">
        <f>IF(D115&lt;&gt;"",'DATA TILL SLU'!$J$3,"")</f>
        <v/>
      </c>
      <c r="C115" s="2" t="str">
        <f>IF(D115&lt;&gt;"",'DATA TILL SLU'!$K$3,"")</f>
        <v/>
      </c>
      <c r="D115" s="2" t="str">
        <f>IF(OR(ROW(D114)-ROW(D$1)+1&lt;=MAX(Beräkningshjälp!$F$37:$F$54),ROW(D114)-ROW(D$1)+1&lt;=ROUND((MAX(Beräkningshjälp!AB$3:AB$1082)+4)/10,0)-1),D$2,"")</f>
        <v/>
      </c>
      <c r="E115" s="136" t="str">
        <f>IF(D115&lt;&gt;"",IF(COUNTIF(Beräkningshjälp!F$38:F$49,"&gt;0")&gt;=ROW(E114)-ROW(E$1)+1,VLOOKUP((VLOOKUP(ROW(E114)-ROW(E$1)+1,Beräkningshjälp!$F$37:$H$54,IF(ISNUMBER(VLOOKUP(ROW(E114)-ROW(E$1)+1,Beräkningshjälp!$F$37:$H$54,2,FALSE)),2,3),FALSE)),Beräkningshjälp!$M$2:$O$60,3,FALSE),VLOOKUP((ROW(E114)-ROW(E$1)+1)*10+1,Beräkningshjälp!$AB$2:$AF$1082,5,FALSE)),"")</f>
        <v/>
      </c>
      <c r="F115" s="2" t="str">
        <f>IF(D115&lt;&gt;"",Beräkningshjälp!$AH$1,"")</f>
        <v/>
      </c>
      <c r="G115" s="136" t="str">
        <f>IF(D115&lt;&gt;"",IF(COUNTIF(Beräkningshjälp!F$38:F$49,"&gt;0")&gt;=ROW(E114)-ROW(E$1)+1,"INGA",IF(COUNTIF(Beräkningshjälp!$G$38:$H$49,VLOOKUP(E115,Beräkningshjälp!$AF$2:$AG$1082,2,FALSE))&gt;0,"ENSTAK",IF(VLOOKUP(VLOOKUP(E115,Beräkningshjälp!O$2:U$60,7,FALSE),Artuppgifter!$I$11:$P$22,7,FALSE)=TRUE,"MINMAX","ALLA"))),"")</f>
        <v/>
      </c>
      <c r="H115" s="2" t="str">
        <f>IF($E115&lt;&gt;"",IF(AND($E115&lt;&gt;"EJFANGST",$G115&lt;&gt;"INGA"),IF(ISNUMBER(VLOOKUP((ROW($H114)-ROW($H$1)+1)*10+COLUMN(H$1)-COLUMN($H$1)+1,Beräkningshjälp!$AB$2:$AI$1082,7,FALSE)),VLOOKUP((ROW($H114)-ROW($H$1)+1)*10+COLUMN(H$1)-COLUMN($H$1)+1,Beräkningshjälp!$AB$2:$AI$1082,7,FALSE),IF(E115&gt;0,-VLOOKUP((ROW($H114)-ROW($H$1)+1)*10+COLUMN(H$1)-COLUMN($H$1)+1,Beräkningshjälp!$AB$2:$AI$1082,3,FALSE),0)),0),"")</f>
        <v/>
      </c>
      <c r="I115" s="2" t="str">
        <f>IF($E115&lt;&gt;"",IF(AND($E115&lt;&gt;"EJFANGST",$G115&lt;&gt;"INGA"),IF(ISNUMBER(VLOOKUP((ROW($H114)-ROW($H$1)+1)*10+COLUMN(I$1)-COLUMN($H$1)+1,Beräkningshjälp!$AB$2:$AI$1082,7,FALSE)),VLOOKUP((ROW($H114)-ROW($H$1)+1)*10+COLUMN(I$1)-COLUMN($H$1)+1,Beräkningshjälp!$AB$2:$AI$1082,7,FALSE),IF(H115&gt;0,-VLOOKUP((ROW($H114)-ROW($H$1)+1)*10+COLUMN(I$1)-COLUMN($H$1)+1,Beräkningshjälp!$AB$2:$AI$1082,3,FALSE),0)),0),"")</f>
        <v/>
      </c>
      <c r="J115" s="2" t="str">
        <f>IF($E115&lt;&gt;"",IF(AND($E115&lt;&gt;"EJFANGST",$G115&lt;&gt;"INGA"),IF(ISNUMBER(VLOOKUP((ROW($H114)-ROW($H$1)+1)*10+COLUMN(J$1)-COLUMN($H$1)+1,Beräkningshjälp!$AB$2:$AI$1082,7,FALSE)),VLOOKUP((ROW($H114)-ROW($H$1)+1)*10+COLUMN(J$1)-COLUMN($H$1)+1,Beräkningshjälp!$AB$2:$AI$1082,7,FALSE),IF(I115&gt;0,-VLOOKUP((ROW($H114)-ROW($H$1)+1)*10+COLUMN(J$1)-COLUMN($H$1)+1,Beräkningshjälp!$AB$2:$AI$1082,3,FALSE),0)),0),"")</f>
        <v/>
      </c>
      <c r="K115" s="2" t="str">
        <f>IF($E115&lt;&gt;"",IF(AND($E115&lt;&gt;"EJFANGST",$G115&lt;&gt;"INGA"),IF(ISNUMBER(VLOOKUP((ROW($H114)-ROW($H$1)+1)*10+COLUMN(K$1)-COLUMN($H$1)+1,Beräkningshjälp!$AB$2:$AI$1082,7,FALSE)),VLOOKUP((ROW($H114)-ROW($H$1)+1)*10+COLUMN(K$1)-COLUMN($H$1)+1,Beräkningshjälp!$AB$2:$AI$1082,7,FALSE),IF(J115&gt;0,-VLOOKUP((ROW($H114)-ROW($H$1)+1)*10+COLUMN(K$1)-COLUMN($H$1)+1,Beräkningshjälp!$AB$2:$AI$1082,3,FALSE),0)),0),"")</f>
        <v/>
      </c>
      <c r="L115" s="2" t="str">
        <f>IF($E115&lt;&gt;"",IF(AND($E115&lt;&gt;"EJFANGST",$G115&lt;&gt;"INGA"),IF(ISNUMBER(VLOOKUP((ROW($H114)-ROW($H$1)+1)*10+COLUMN(L$1)-COLUMN($H$1)+1,Beräkningshjälp!$AB$2:$AI$1082,7,FALSE)),VLOOKUP((ROW($H114)-ROW($H$1)+1)*10+COLUMN(L$1)-COLUMN($H$1)+1,Beräkningshjälp!$AB$2:$AI$1082,7,FALSE),IF(K115&gt;0,-VLOOKUP((ROW($H114)-ROW($H$1)+1)*10+COLUMN(L$1)-COLUMN($H$1)+1,Beräkningshjälp!$AB$2:$AI$1082,3,FALSE),0)),0),"")</f>
        <v/>
      </c>
      <c r="M115" s="2" t="str">
        <f>IF($E115&lt;&gt;"",IF(AND($E115&lt;&gt;"EJFANGST",$G115&lt;&gt;"INGA"),IF(ISNUMBER(VLOOKUP((ROW($H114)-ROW($H$1)+1)*10+COLUMN(M$1)-COLUMN($H$1)+1,Beräkningshjälp!$AB$2:$AI$1082,7,FALSE)),VLOOKUP((ROW($H114)-ROW($H$1)+1)*10+COLUMN(M$1)-COLUMN($H$1)+1,Beräkningshjälp!$AB$2:$AI$1082,7,FALSE),IF(L115&gt;0,-VLOOKUP((ROW($H114)-ROW($H$1)+1)*10+COLUMN(M$1)-COLUMN($H$1)+1,Beräkningshjälp!$AB$2:$AI$1082,3,FALSE),0)),0),"")</f>
        <v/>
      </c>
      <c r="N115" s="2" t="str">
        <f>IF($E115&lt;&gt;"",IF(AND($E115&lt;&gt;"EJFANGST",$G115&lt;&gt;"INGA"),IF(ISNUMBER(VLOOKUP((ROW($H114)-ROW($H$1)+1)*10+COLUMN(N$1)-COLUMN($H$1)+1,Beräkningshjälp!$AB$2:$AI$1082,7,FALSE)),VLOOKUP((ROW($H114)-ROW($H$1)+1)*10+COLUMN(N$1)-COLUMN($H$1)+1,Beräkningshjälp!$AB$2:$AI$1082,7,FALSE),IF(M115&gt;0,-VLOOKUP((ROW($H114)-ROW($H$1)+1)*10+COLUMN(N$1)-COLUMN($H$1)+1,Beräkningshjälp!$AB$2:$AI$1082,3,FALSE),0)),0),"")</f>
        <v/>
      </c>
      <c r="O115" s="2" t="str">
        <f>IF($E115&lt;&gt;"",IF(AND($E115&lt;&gt;"EJFANGST",$G115&lt;&gt;"INGA"),IF(ISNUMBER(VLOOKUP((ROW($H114)-ROW($H$1)+1)*10+COLUMN(O$1)-COLUMN($H$1)+1,Beräkningshjälp!$AB$2:$AI$1082,7,FALSE)),VLOOKUP((ROW($H114)-ROW($H$1)+1)*10+COLUMN(O$1)-COLUMN($H$1)+1,Beräkningshjälp!$AB$2:$AI$1082,7,FALSE),IF(N115&gt;0,-VLOOKUP((ROW($H114)-ROW($H$1)+1)*10+COLUMN(O$1)-COLUMN($H$1)+1,Beräkningshjälp!$AB$2:$AI$1082,3,FALSE),0)),0),"")</f>
        <v/>
      </c>
      <c r="P115" s="2" t="str">
        <f>IF($E115&lt;&gt;"",IF(AND($E115&lt;&gt;"EJFANGST",$G115&lt;&gt;"INGA"),IF(ISNUMBER(VLOOKUP((ROW($H114)-ROW($H$1)+1)*10+COLUMN(P$1)-COLUMN($H$1)+1,Beräkningshjälp!$AB$2:$AI$1082,7,FALSE)),VLOOKUP((ROW($H114)-ROW($H$1)+1)*10+COLUMN(P$1)-COLUMN($H$1)+1,Beräkningshjälp!$AB$2:$AI$1082,7,FALSE),IF(O115&gt;0,-VLOOKUP((ROW($H114)-ROW($H$1)+1)*10+COLUMN(P$1)-COLUMN($H$1)+1,Beräkningshjälp!$AB$2:$AI$1082,3,FALSE),0)),0),"")</f>
        <v/>
      </c>
      <c r="Q115" s="2" t="str">
        <f>IF($E115&lt;&gt;"",IF(AND($E115&lt;&gt;"EJFANGST",$G115&lt;&gt;"INGA"),IF(ISNUMBER(VLOOKUP((ROW($H114)-ROW($H$1)+1)*10+COLUMN(Q$1)-COLUMN($H$1)+1,Beräkningshjälp!$AB$2:$AI$1082,7,FALSE)),VLOOKUP((ROW($H114)-ROW($H$1)+1)*10+COLUMN(Q$1)-COLUMN($H$1)+1,Beräkningshjälp!$AB$2:$AI$1082,7,FALSE),IF(P115&gt;0,-VLOOKUP((ROW($H114)-ROW($H$1)+1)*10+COLUMN(Q$1)-COLUMN($H$1)+1,Beräkningshjälp!$AB$2:$AI$1082,3,FALSE),0)),0),"")</f>
        <v/>
      </c>
      <c r="R115" s="116" t="str">
        <f>IF(COUNTIF(H115:Q115,"&gt;0")&gt;0,IF($E115&lt;&gt;"",IF(AND($E115&lt;&gt;"EJFANGST",$G115&lt;&gt;"INGA"),IF(ISNUMBER(VLOOKUP((ROW($H114)-ROW($H$1)+1)*10+COLUMN(H$1)-COLUMN($H$1)+1,Beräkningshjälp!$AB$2:$AI$1082,7,FALSE)),VLOOKUP((ROW($H114)-ROW($H$1)+1)*10+COLUMN(H$1)-COLUMN($H$1)+1,Beräkningshjälp!$AB$2:$AI$1082,3,FALSE),""),""),""),"")</f>
        <v/>
      </c>
    </row>
    <row r="116" spans="1:18" x14ac:dyDescent="0.25">
      <c r="A116" s="2" t="str">
        <f t="shared" si="1"/>
        <v/>
      </c>
      <c r="B116" s="2" t="str">
        <f>IF(D116&lt;&gt;"",'DATA TILL SLU'!$J$3,"")</f>
        <v/>
      </c>
      <c r="C116" s="2" t="str">
        <f>IF(D116&lt;&gt;"",'DATA TILL SLU'!$K$3,"")</f>
        <v/>
      </c>
      <c r="D116" s="2" t="str">
        <f>IF(OR(ROW(D115)-ROW(D$1)+1&lt;=MAX(Beräkningshjälp!$F$37:$F$54),ROW(D115)-ROW(D$1)+1&lt;=ROUND((MAX(Beräkningshjälp!AB$3:AB$1082)+4)/10,0)-1),D$2,"")</f>
        <v/>
      </c>
      <c r="E116" s="136" t="str">
        <f>IF(D116&lt;&gt;"",IF(COUNTIF(Beräkningshjälp!F$38:F$49,"&gt;0")&gt;=ROW(E115)-ROW(E$1)+1,VLOOKUP((VLOOKUP(ROW(E115)-ROW(E$1)+1,Beräkningshjälp!$F$37:$H$54,IF(ISNUMBER(VLOOKUP(ROW(E115)-ROW(E$1)+1,Beräkningshjälp!$F$37:$H$54,2,FALSE)),2,3),FALSE)),Beräkningshjälp!$M$2:$O$60,3,FALSE),VLOOKUP((ROW(E115)-ROW(E$1)+1)*10+1,Beräkningshjälp!$AB$2:$AF$1082,5,FALSE)),"")</f>
        <v/>
      </c>
      <c r="F116" s="2" t="str">
        <f>IF(D116&lt;&gt;"",Beräkningshjälp!$AH$1,"")</f>
        <v/>
      </c>
      <c r="G116" s="136" t="str">
        <f>IF(D116&lt;&gt;"",IF(COUNTIF(Beräkningshjälp!F$38:F$49,"&gt;0")&gt;=ROW(E115)-ROW(E$1)+1,"INGA",IF(COUNTIF(Beräkningshjälp!$G$38:$H$49,VLOOKUP(E116,Beräkningshjälp!$AF$2:$AG$1082,2,FALSE))&gt;0,"ENSTAK",IF(VLOOKUP(VLOOKUP(E116,Beräkningshjälp!O$2:U$60,7,FALSE),Artuppgifter!$I$11:$P$22,7,FALSE)=TRUE,"MINMAX","ALLA"))),"")</f>
        <v/>
      </c>
      <c r="H116" s="2" t="str">
        <f>IF($E116&lt;&gt;"",IF(AND($E116&lt;&gt;"EJFANGST",$G116&lt;&gt;"INGA"),IF(ISNUMBER(VLOOKUP((ROW($H115)-ROW($H$1)+1)*10+COLUMN(H$1)-COLUMN($H$1)+1,Beräkningshjälp!$AB$2:$AI$1082,7,FALSE)),VLOOKUP((ROW($H115)-ROW($H$1)+1)*10+COLUMN(H$1)-COLUMN($H$1)+1,Beräkningshjälp!$AB$2:$AI$1082,7,FALSE),IF(E116&gt;0,-VLOOKUP((ROW($H115)-ROW($H$1)+1)*10+COLUMN(H$1)-COLUMN($H$1)+1,Beräkningshjälp!$AB$2:$AI$1082,3,FALSE),0)),0),"")</f>
        <v/>
      </c>
      <c r="I116" s="2" t="str">
        <f>IF($E116&lt;&gt;"",IF(AND($E116&lt;&gt;"EJFANGST",$G116&lt;&gt;"INGA"),IF(ISNUMBER(VLOOKUP((ROW($H115)-ROW($H$1)+1)*10+COLUMN(I$1)-COLUMN($H$1)+1,Beräkningshjälp!$AB$2:$AI$1082,7,FALSE)),VLOOKUP((ROW($H115)-ROW($H$1)+1)*10+COLUMN(I$1)-COLUMN($H$1)+1,Beräkningshjälp!$AB$2:$AI$1082,7,FALSE),IF(H116&gt;0,-VLOOKUP((ROW($H115)-ROW($H$1)+1)*10+COLUMN(I$1)-COLUMN($H$1)+1,Beräkningshjälp!$AB$2:$AI$1082,3,FALSE),0)),0),"")</f>
        <v/>
      </c>
      <c r="J116" s="2" t="str">
        <f>IF($E116&lt;&gt;"",IF(AND($E116&lt;&gt;"EJFANGST",$G116&lt;&gt;"INGA"),IF(ISNUMBER(VLOOKUP((ROW($H115)-ROW($H$1)+1)*10+COLUMN(J$1)-COLUMN($H$1)+1,Beräkningshjälp!$AB$2:$AI$1082,7,FALSE)),VLOOKUP((ROW($H115)-ROW($H$1)+1)*10+COLUMN(J$1)-COLUMN($H$1)+1,Beräkningshjälp!$AB$2:$AI$1082,7,FALSE),IF(I116&gt;0,-VLOOKUP((ROW($H115)-ROW($H$1)+1)*10+COLUMN(J$1)-COLUMN($H$1)+1,Beräkningshjälp!$AB$2:$AI$1082,3,FALSE),0)),0),"")</f>
        <v/>
      </c>
      <c r="K116" s="2" t="str">
        <f>IF($E116&lt;&gt;"",IF(AND($E116&lt;&gt;"EJFANGST",$G116&lt;&gt;"INGA"),IF(ISNUMBER(VLOOKUP((ROW($H115)-ROW($H$1)+1)*10+COLUMN(K$1)-COLUMN($H$1)+1,Beräkningshjälp!$AB$2:$AI$1082,7,FALSE)),VLOOKUP((ROW($H115)-ROW($H$1)+1)*10+COLUMN(K$1)-COLUMN($H$1)+1,Beräkningshjälp!$AB$2:$AI$1082,7,FALSE),IF(J116&gt;0,-VLOOKUP((ROW($H115)-ROW($H$1)+1)*10+COLUMN(K$1)-COLUMN($H$1)+1,Beräkningshjälp!$AB$2:$AI$1082,3,FALSE),0)),0),"")</f>
        <v/>
      </c>
      <c r="L116" s="2" t="str">
        <f>IF($E116&lt;&gt;"",IF(AND($E116&lt;&gt;"EJFANGST",$G116&lt;&gt;"INGA"),IF(ISNUMBER(VLOOKUP((ROW($H115)-ROW($H$1)+1)*10+COLUMN(L$1)-COLUMN($H$1)+1,Beräkningshjälp!$AB$2:$AI$1082,7,FALSE)),VLOOKUP((ROW($H115)-ROW($H$1)+1)*10+COLUMN(L$1)-COLUMN($H$1)+1,Beräkningshjälp!$AB$2:$AI$1082,7,FALSE),IF(K116&gt;0,-VLOOKUP((ROW($H115)-ROW($H$1)+1)*10+COLUMN(L$1)-COLUMN($H$1)+1,Beräkningshjälp!$AB$2:$AI$1082,3,FALSE),0)),0),"")</f>
        <v/>
      </c>
      <c r="M116" s="2" t="str">
        <f>IF($E116&lt;&gt;"",IF(AND($E116&lt;&gt;"EJFANGST",$G116&lt;&gt;"INGA"),IF(ISNUMBER(VLOOKUP((ROW($H115)-ROW($H$1)+1)*10+COLUMN(M$1)-COLUMN($H$1)+1,Beräkningshjälp!$AB$2:$AI$1082,7,FALSE)),VLOOKUP((ROW($H115)-ROW($H$1)+1)*10+COLUMN(M$1)-COLUMN($H$1)+1,Beräkningshjälp!$AB$2:$AI$1082,7,FALSE),IF(L116&gt;0,-VLOOKUP((ROW($H115)-ROW($H$1)+1)*10+COLUMN(M$1)-COLUMN($H$1)+1,Beräkningshjälp!$AB$2:$AI$1082,3,FALSE),0)),0),"")</f>
        <v/>
      </c>
      <c r="N116" s="2" t="str">
        <f>IF($E116&lt;&gt;"",IF(AND($E116&lt;&gt;"EJFANGST",$G116&lt;&gt;"INGA"),IF(ISNUMBER(VLOOKUP((ROW($H115)-ROW($H$1)+1)*10+COLUMN(N$1)-COLUMN($H$1)+1,Beräkningshjälp!$AB$2:$AI$1082,7,FALSE)),VLOOKUP((ROW($H115)-ROW($H$1)+1)*10+COLUMN(N$1)-COLUMN($H$1)+1,Beräkningshjälp!$AB$2:$AI$1082,7,FALSE),IF(M116&gt;0,-VLOOKUP((ROW($H115)-ROW($H$1)+1)*10+COLUMN(N$1)-COLUMN($H$1)+1,Beräkningshjälp!$AB$2:$AI$1082,3,FALSE),0)),0),"")</f>
        <v/>
      </c>
      <c r="O116" s="2" t="str">
        <f>IF($E116&lt;&gt;"",IF(AND($E116&lt;&gt;"EJFANGST",$G116&lt;&gt;"INGA"),IF(ISNUMBER(VLOOKUP((ROW($H115)-ROW($H$1)+1)*10+COLUMN(O$1)-COLUMN($H$1)+1,Beräkningshjälp!$AB$2:$AI$1082,7,FALSE)),VLOOKUP((ROW($H115)-ROW($H$1)+1)*10+COLUMN(O$1)-COLUMN($H$1)+1,Beräkningshjälp!$AB$2:$AI$1082,7,FALSE),IF(N116&gt;0,-VLOOKUP((ROW($H115)-ROW($H$1)+1)*10+COLUMN(O$1)-COLUMN($H$1)+1,Beräkningshjälp!$AB$2:$AI$1082,3,FALSE),0)),0),"")</f>
        <v/>
      </c>
      <c r="P116" s="2" t="str">
        <f>IF($E116&lt;&gt;"",IF(AND($E116&lt;&gt;"EJFANGST",$G116&lt;&gt;"INGA"),IF(ISNUMBER(VLOOKUP((ROW($H115)-ROW($H$1)+1)*10+COLUMN(P$1)-COLUMN($H$1)+1,Beräkningshjälp!$AB$2:$AI$1082,7,FALSE)),VLOOKUP((ROW($H115)-ROW($H$1)+1)*10+COLUMN(P$1)-COLUMN($H$1)+1,Beräkningshjälp!$AB$2:$AI$1082,7,FALSE),IF(O116&gt;0,-VLOOKUP((ROW($H115)-ROW($H$1)+1)*10+COLUMN(P$1)-COLUMN($H$1)+1,Beräkningshjälp!$AB$2:$AI$1082,3,FALSE),0)),0),"")</f>
        <v/>
      </c>
      <c r="Q116" s="2" t="str">
        <f>IF($E116&lt;&gt;"",IF(AND($E116&lt;&gt;"EJFANGST",$G116&lt;&gt;"INGA"),IF(ISNUMBER(VLOOKUP((ROW($H115)-ROW($H$1)+1)*10+COLUMN(Q$1)-COLUMN($H$1)+1,Beräkningshjälp!$AB$2:$AI$1082,7,FALSE)),VLOOKUP((ROW($H115)-ROW($H$1)+1)*10+COLUMN(Q$1)-COLUMN($H$1)+1,Beräkningshjälp!$AB$2:$AI$1082,7,FALSE),IF(P116&gt;0,-VLOOKUP((ROW($H115)-ROW($H$1)+1)*10+COLUMN(Q$1)-COLUMN($H$1)+1,Beräkningshjälp!$AB$2:$AI$1082,3,FALSE),0)),0),"")</f>
        <v/>
      </c>
      <c r="R116" s="116" t="str">
        <f>IF(COUNTIF(H116:Q116,"&gt;0")&gt;0,IF($E116&lt;&gt;"",IF(AND($E116&lt;&gt;"EJFANGST",$G116&lt;&gt;"INGA"),IF(ISNUMBER(VLOOKUP((ROW($H115)-ROW($H$1)+1)*10+COLUMN(H$1)-COLUMN($H$1)+1,Beräkningshjälp!$AB$2:$AI$1082,7,FALSE)),VLOOKUP((ROW($H115)-ROW($H$1)+1)*10+COLUMN(H$1)-COLUMN($H$1)+1,Beräkningshjälp!$AB$2:$AI$1082,3,FALSE),""),""),""),"")</f>
        <v/>
      </c>
    </row>
    <row r="117" spans="1:18" x14ac:dyDescent="0.25">
      <c r="A117" s="2" t="str">
        <f t="shared" si="1"/>
        <v/>
      </c>
      <c r="B117" s="2" t="str">
        <f>IF(D117&lt;&gt;"",'DATA TILL SLU'!$J$3,"")</f>
        <v/>
      </c>
      <c r="C117" s="2" t="str">
        <f>IF(D117&lt;&gt;"",'DATA TILL SLU'!$K$3,"")</f>
        <v/>
      </c>
      <c r="D117" s="2" t="str">
        <f>IF(OR(ROW(D116)-ROW(D$1)+1&lt;=MAX(Beräkningshjälp!$F$37:$F$54),ROW(D116)-ROW(D$1)+1&lt;=ROUND((MAX(Beräkningshjälp!AB$3:AB$1082)+4)/10,0)-1),D$2,"")</f>
        <v/>
      </c>
      <c r="E117" s="136" t="str">
        <f>IF(D117&lt;&gt;"",IF(COUNTIF(Beräkningshjälp!F$38:F$49,"&gt;0")&gt;=ROW(E116)-ROW(E$1)+1,VLOOKUP((VLOOKUP(ROW(E116)-ROW(E$1)+1,Beräkningshjälp!$F$37:$H$54,IF(ISNUMBER(VLOOKUP(ROW(E116)-ROW(E$1)+1,Beräkningshjälp!$F$37:$H$54,2,FALSE)),2,3),FALSE)),Beräkningshjälp!$M$2:$O$60,3,FALSE),VLOOKUP((ROW(E116)-ROW(E$1)+1)*10+1,Beräkningshjälp!$AB$2:$AF$1082,5,FALSE)),"")</f>
        <v/>
      </c>
      <c r="F117" s="2" t="str">
        <f>IF(D117&lt;&gt;"",Beräkningshjälp!$AH$1,"")</f>
        <v/>
      </c>
      <c r="G117" s="136" t="str">
        <f>IF(D117&lt;&gt;"",IF(COUNTIF(Beräkningshjälp!F$38:F$49,"&gt;0")&gt;=ROW(E116)-ROW(E$1)+1,"INGA",IF(COUNTIF(Beräkningshjälp!$G$38:$H$49,VLOOKUP(E117,Beräkningshjälp!$AF$2:$AG$1082,2,FALSE))&gt;0,"ENSTAK",IF(VLOOKUP(VLOOKUP(E117,Beräkningshjälp!O$2:U$60,7,FALSE),Artuppgifter!$I$11:$P$22,7,FALSE)=TRUE,"MINMAX","ALLA"))),"")</f>
        <v/>
      </c>
      <c r="H117" s="2" t="str">
        <f>IF($E117&lt;&gt;"",IF(AND($E117&lt;&gt;"EJFANGST",$G117&lt;&gt;"INGA"),IF(ISNUMBER(VLOOKUP((ROW($H116)-ROW($H$1)+1)*10+COLUMN(H$1)-COLUMN($H$1)+1,Beräkningshjälp!$AB$2:$AI$1082,7,FALSE)),VLOOKUP((ROW($H116)-ROW($H$1)+1)*10+COLUMN(H$1)-COLUMN($H$1)+1,Beräkningshjälp!$AB$2:$AI$1082,7,FALSE),IF(E117&gt;0,-VLOOKUP((ROW($H116)-ROW($H$1)+1)*10+COLUMN(H$1)-COLUMN($H$1)+1,Beräkningshjälp!$AB$2:$AI$1082,3,FALSE),0)),0),"")</f>
        <v/>
      </c>
      <c r="I117" s="2" t="str">
        <f>IF($E117&lt;&gt;"",IF(AND($E117&lt;&gt;"EJFANGST",$G117&lt;&gt;"INGA"),IF(ISNUMBER(VLOOKUP((ROW($H116)-ROW($H$1)+1)*10+COLUMN(I$1)-COLUMN($H$1)+1,Beräkningshjälp!$AB$2:$AI$1082,7,FALSE)),VLOOKUP((ROW($H116)-ROW($H$1)+1)*10+COLUMN(I$1)-COLUMN($H$1)+1,Beräkningshjälp!$AB$2:$AI$1082,7,FALSE),IF(H117&gt;0,-VLOOKUP((ROW($H116)-ROW($H$1)+1)*10+COLUMN(I$1)-COLUMN($H$1)+1,Beräkningshjälp!$AB$2:$AI$1082,3,FALSE),0)),0),"")</f>
        <v/>
      </c>
      <c r="J117" s="2" t="str">
        <f>IF($E117&lt;&gt;"",IF(AND($E117&lt;&gt;"EJFANGST",$G117&lt;&gt;"INGA"),IF(ISNUMBER(VLOOKUP((ROW($H116)-ROW($H$1)+1)*10+COLUMN(J$1)-COLUMN($H$1)+1,Beräkningshjälp!$AB$2:$AI$1082,7,FALSE)),VLOOKUP((ROW($H116)-ROW($H$1)+1)*10+COLUMN(J$1)-COLUMN($H$1)+1,Beräkningshjälp!$AB$2:$AI$1082,7,FALSE),IF(I117&gt;0,-VLOOKUP((ROW($H116)-ROW($H$1)+1)*10+COLUMN(J$1)-COLUMN($H$1)+1,Beräkningshjälp!$AB$2:$AI$1082,3,FALSE),0)),0),"")</f>
        <v/>
      </c>
      <c r="K117" s="2" t="str">
        <f>IF($E117&lt;&gt;"",IF(AND($E117&lt;&gt;"EJFANGST",$G117&lt;&gt;"INGA"),IF(ISNUMBER(VLOOKUP((ROW($H116)-ROW($H$1)+1)*10+COLUMN(K$1)-COLUMN($H$1)+1,Beräkningshjälp!$AB$2:$AI$1082,7,FALSE)),VLOOKUP((ROW($H116)-ROW($H$1)+1)*10+COLUMN(K$1)-COLUMN($H$1)+1,Beräkningshjälp!$AB$2:$AI$1082,7,FALSE),IF(J117&gt;0,-VLOOKUP((ROW($H116)-ROW($H$1)+1)*10+COLUMN(K$1)-COLUMN($H$1)+1,Beräkningshjälp!$AB$2:$AI$1082,3,FALSE),0)),0),"")</f>
        <v/>
      </c>
      <c r="L117" s="2" t="str">
        <f>IF($E117&lt;&gt;"",IF(AND($E117&lt;&gt;"EJFANGST",$G117&lt;&gt;"INGA"),IF(ISNUMBER(VLOOKUP((ROW($H116)-ROW($H$1)+1)*10+COLUMN(L$1)-COLUMN($H$1)+1,Beräkningshjälp!$AB$2:$AI$1082,7,FALSE)),VLOOKUP((ROW($H116)-ROW($H$1)+1)*10+COLUMN(L$1)-COLUMN($H$1)+1,Beräkningshjälp!$AB$2:$AI$1082,7,FALSE),IF(K117&gt;0,-VLOOKUP((ROW($H116)-ROW($H$1)+1)*10+COLUMN(L$1)-COLUMN($H$1)+1,Beräkningshjälp!$AB$2:$AI$1082,3,FALSE),0)),0),"")</f>
        <v/>
      </c>
      <c r="M117" s="2" t="str">
        <f>IF($E117&lt;&gt;"",IF(AND($E117&lt;&gt;"EJFANGST",$G117&lt;&gt;"INGA"),IF(ISNUMBER(VLOOKUP((ROW($H116)-ROW($H$1)+1)*10+COLUMN(M$1)-COLUMN($H$1)+1,Beräkningshjälp!$AB$2:$AI$1082,7,FALSE)),VLOOKUP((ROW($H116)-ROW($H$1)+1)*10+COLUMN(M$1)-COLUMN($H$1)+1,Beräkningshjälp!$AB$2:$AI$1082,7,FALSE),IF(L117&gt;0,-VLOOKUP((ROW($H116)-ROW($H$1)+1)*10+COLUMN(M$1)-COLUMN($H$1)+1,Beräkningshjälp!$AB$2:$AI$1082,3,FALSE),0)),0),"")</f>
        <v/>
      </c>
      <c r="N117" s="2" t="str">
        <f>IF($E117&lt;&gt;"",IF(AND($E117&lt;&gt;"EJFANGST",$G117&lt;&gt;"INGA"),IF(ISNUMBER(VLOOKUP((ROW($H116)-ROW($H$1)+1)*10+COLUMN(N$1)-COLUMN($H$1)+1,Beräkningshjälp!$AB$2:$AI$1082,7,FALSE)),VLOOKUP((ROW($H116)-ROW($H$1)+1)*10+COLUMN(N$1)-COLUMN($H$1)+1,Beräkningshjälp!$AB$2:$AI$1082,7,FALSE),IF(M117&gt;0,-VLOOKUP((ROW($H116)-ROW($H$1)+1)*10+COLUMN(N$1)-COLUMN($H$1)+1,Beräkningshjälp!$AB$2:$AI$1082,3,FALSE),0)),0),"")</f>
        <v/>
      </c>
      <c r="O117" s="2" t="str">
        <f>IF($E117&lt;&gt;"",IF(AND($E117&lt;&gt;"EJFANGST",$G117&lt;&gt;"INGA"),IF(ISNUMBER(VLOOKUP((ROW($H116)-ROW($H$1)+1)*10+COLUMN(O$1)-COLUMN($H$1)+1,Beräkningshjälp!$AB$2:$AI$1082,7,FALSE)),VLOOKUP((ROW($H116)-ROW($H$1)+1)*10+COLUMN(O$1)-COLUMN($H$1)+1,Beräkningshjälp!$AB$2:$AI$1082,7,FALSE),IF(N117&gt;0,-VLOOKUP((ROW($H116)-ROW($H$1)+1)*10+COLUMN(O$1)-COLUMN($H$1)+1,Beräkningshjälp!$AB$2:$AI$1082,3,FALSE),0)),0),"")</f>
        <v/>
      </c>
      <c r="P117" s="2" t="str">
        <f>IF($E117&lt;&gt;"",IF(AND($E117&lt;&gt;"EJFANGST",$G117&lt;&gt;"INGA"),IF(ISNUMBER(VLOOKUP((ROW($H116)-ROW($H$1)+1)*10+COLUMN(P$1)-COLUMN($H$1)+1,Beräkningshjälp!$AB$2:$AI$1082,7,FALSE)),VLOOKUP((ROW($H116)-ROW($H$1)+1)*10+COLUMN(P$1)-COLUMN($H$1)+1,Beräkningshjälp!$AB$2:$AI$1082,7,FALSE),IF(O117&gt;0,-VLOOKUP((ROW($H116)-ROW($H$1)+1)*10+COLUMN(P$1)-COLUMN($H$1)+1,Beräkningshjälp!$AB$2:$AI$1082,3,FALSE),0)),0),"")</f>
        <v/>
      </c>
      <c r="Q117" s="2" t="str">
        <f>IF($E117&lt;&gt;"",IF(AND($E117&lt;&gt;"EJFANGST",$G117&lt;&gt;"INGA"),IF(ISNUMBER(VLOOKUP((ROW($H116)-ROW($H$1)+1)*10+COLUMN(Q$1)-COLUMN($H$1)+1,Beräkningshjälp!$AB$2:$AI$1082,7,FALSE)),VLOOKUP((ROW($H116)-ROW($H$1)+1)*10+COLUMN(Q$1)-COLUMN($H$1)+1,Beräkningshjälp!$AB$2:$AI$1082,7,FALSE),IF(P117&gt;0,-VLOOKUP((ROW($H116)-ROW($H$1)+1)*10+COLUMN(Q$1)-COLUMN($H$1)+1,Beräkningshjälp!$AB$2:$AI$1082,3,FALSE),0)),0),"")</f>
        <v/>
      </c>
      <c r="R117" s="116" t="str">
        <f>IF(COUNTIF(H117:Q117,"&gt;0")&gt;0,IF($E117&lt;&gt;"",IF(AND($E117&lt;&gt;"EJFANGST",$G117&lt;&gt;"INGA"),IF(ISNUMBER(VLOOKUP((ROW($H116)-ROW($H$1)+1)*10+COLUMN(H$1)-COLUMN($H$1)+1,Beräkningshjälp!$AB$2:$AI$1082,7,FALSE)),VLOOKUP((ROW($H116)-ROW($H$1)+1)*10+COLUMN(H$1)-COLUMN($H$1)+1,Beräkningshjälp!$AB$2:$AI$1082,3,FALSE),""),""),""),"")</f>
        <v/>
      </c>
    </row>
    <row r="118" spans="1:18" x14ac:dyDescent="0.25">
      <c r="A118" s="2" t="str">
        <f t="shared" si="1"/>
        <v/>
      </c>
      <c r="B118" s="2" t="str">
        <f>IF(D118&lt;&gt;"",'DATA TILL SLU'!$J$3,"")</f>
        <v/>
      </c>
      <c r="C118" s="2" t="str">
        <f>IF(D118&lt;&gt;"",'DATA TILL SLU'!$K$3,"")</f>
        <v/>
      </c>
      <c r="D118" s="2" t="str">
        <f>IF(OR(ROW(D117)-ROW(D$1)+1&lt;=MAX(Beräkningshjälp!$F$37:$F$54),ROW(D117)-ROW(D$1)+1&lt;=ROUND((MAX(Beräkningshjälp!AB$3:AB$1082)+4)/10,0)-1),D$2,"")</f>
        <v/>
      </c>
      <c r="E118" s="136" t="str">
        <f>IF(D118&lt;&gt;"",IF(COUNTIF(Beräkningshjälp!F$38:F$49,"&gt;0")&gt;=ROW(E117)-ROW(E$1)+1,VLOOKUP((VLOOKUP(ROW(E117)-ROW(E$1)+1,Beräkningshjälp!$F$37:$H$54,IF(ISNUMBER(VLOOKUP(ROW(E117)-ROW(E$1)+1,Beräkningshjälp!$F$37:$H$54,2,FALSE)),2,3),FALSE)),Beräkningshjälp!$M$2:$O$60,3,FALSE),VLOOKUP((ROW(E117)-ROW(E$1)+1)*10+1,Beräkningshjälp!$AB$2:$AF$1082,5,FALSE)),"")</f>
        <v/>
      </c>
      <c r="F118" s="2" t="str">
        <f>IF(D118&lt;&gt;"",Beräkningshjälp!$AH$1,"")</f>
        <v/>
      </c>
      <c r="G118" s="136" t="str">
        <f>IF(D118&lt;&gt;"",IF(COUNTIF(Beräkningshjälp!F$38:F$49,"&gt;0")&gt;=ROW(E117)-ROW(E$1)+1,"INGA",IF(COUNTIF(Beräkningshjälp!$G$38:$H$49,VLOOKUP(E118,Beräkningshjälp!$AF$2:$AG$1082,2,FALSE))&gt;0,"ENSTAK",IF(VLOOKUP(VLOOKUP(E118,Beräkningshjälp!O$2:U$60,7,FALSE),Artuppgifter!$I$11:$P$22,7,FALSE)=TRUE,"MINMAX","ALLA"))),"")</f>
        <v/>
      </c>
      <c r="H118" s="2" t="str">
        <f>IF($E118&lt;&gt;"",IF(AND($E118&lt;&gt;"EJFANGST",$G118&lt;&gt;"INGA"),IF(ISNUMBER(VLOOKUP((ROW($H117)-ROW($H$1)+1)*10+COLUMN(H$1)-COLUMN($H$1)+1,Beräkningshjälp!$AB$2:$AI$1082,7,FALSE)),VLOOKUP((ROW($H117)-ROW($H$1)+1)*10+COLUMN(H$1)-COLUMN($H$1)+1,Beräkningshjälp!$AB$2:$AI$1082,7,FALSE),IF(E118&gt;0,-VLOOKUP((ROW($H117)-ROW($H$1)+1)*10+COLUMN(H$1)-COLUMN($H$1)+1,Beräkningshjälp!$AB$2:$AI$1082,3,FALSE),0)),0),"")</f>
        <v/>
      </c>
      <c r="I118" s="2" t="str">
        <f>IF($E118&lt;&gt;"",IF(AND($E118&lt;&gt;"EJFANGST",$G118&lt;&gt;"INGA"),IF(ISNUMBER(VLOOKUP((ROW($H117)-ROW($H$1)+1)*10+COLUMN(I$1)-COLUMN($H$1)+1,Beräkningshjälp!$AB$2:$AI$1082,7,FALSE)),VLOOKUP((ROW($H117)-ROW($H$1)+1)*10+COLUMN(I$1)-COLUMN($H$1)+1,Beräkningshjälp!$AB$2:$AI$1082,7,FALSE),IF(H118&gt;0,-VLOOKUP((ROW($H117)-ROW($H$1)+1)*10+COLUMN(I$1)-COLUMN($H$1)+1,Beräkningshjälp!$AB$2:$AI$1082,3,FALSE),0)),0),"")</f>
        <v/>
      </c>
      <c r="J118" s="2" t="str">
        <f>IF($E118&lt;&gt;"",IF(AND($E118&lt;&gt;"EJFANGST",$G118&lt;&gt;"INGA"),IF(ISNUMBER(VLOOKUP((ROW($H117)-ROW($H$1)+1)*10+COLUMN(J$1)-COLUMN($H$1)+1,Beräkningshjälp!$AB$2:$AI$1082,7,FALSE)),VLOOKUP((ROW($H117)-ROW($H$1)+1)*10+COLUMN(J$1)-COLUMN($H$1)+1,Beräkningshjälp!$AB$2:$AI$1082,7,FALSE),IF(I118&gt;0,-VLOOKUP((ROW($H117)-ROW($H$1)+1)*10+COLUMN(J$1)-COLUMN($H$1)+1,Beräkningshjälp!$AB$2:$AI$1082,3,FALSE),0)),0),"")</f>
        <v/>
      </c>
      <c r="K118" s="2" t="str">
        <f>IF($E118&lt;&gt;"",IF(AND($E118&lt;&gt;"EJFANGST",$G118&lt;&gt;"INGA"),IF(ISNUMBER(VLOOKUP((ROW($H117)-ROW($H$1)+1)*10+COLUMN(K$1)-COLUMN($H$1)+1,Beräkningshjälp!$AB$2:$AI$1082,7,FALSE)),VLOOKUP((ROW($H117)-ROW($H$1)+1)*10+COLUMN(K$1)-COLUMN($H$1)+1,Beräkningshjälp!$AB$2:$AI$1082,7,FALSE),IF(J118&gt;0,-VLOOKUP((ROW($H117)-ROW($H$1)+1)*10+COLUMN(K$1)-COLUMN($H$1)+1,Beräkningshjälp!$AB$2:$AI$1082,3,FALSE),0)),0),"")</f>
        <v/>
      </c>
      <c r="L118" s="2" t="str">
        <f>IF($E118&lt;&gt;"",IF(AND($E118&lt;&gt;"EJFANGST",$G118&lt;&gt;"INGA"),IF(ISNUMBER(VLOOKUP((ROW($H117)-ROW($H$1)+1)*10+COLUMN(L$1)-COLUMN($H$1)+1,Beräkningshjälp!$AB$2:$AI$1082,7,FALSE)),VLOOKUP((ROW($H117)-ROW($H$1)+1)*10+COLUMN(L$1)-COLUMN($H$1)+1,Beräkningshjälp!$AB$2:$AI$1082,7,FALSE),IF(K118&gt;0,-VLOOKUP((ROW($H117)-ROW($H$1)+1)*10+COLUMN(L$1)-COLUMN($H$1)+1,Beräkningshjälp!$AB$2:$AI$1082,3,FALSE),0)),0),"")</f>
        <v/>
      </c>
      <c r="M118" s="2" t="str">
        <f>IF($E118&lt;&gt;"",IF(AND($E118&lt;&gt;"EJFANGST",$G118&lt;&gt;"INGA"),IF(ISNUMBER(VLOOKUP((ROW($H117)-ROW($H$1)+1)*10+COLUMN(M$1)-COLUMN($H$1)+1,Beräkningshjälp!$AB$2:$AI$1082,7,FALSE)),VLOOKUP((ROW($H117)-ROW($H$1)+1)*10+COLUMN(M$1)-COLUMN($H$1)+1,Beräkningshjälp!$AB$2:$AI$1082,7,FALSE),IF(L118&gt;0,-VLOOKUP((ROW($H117)-ROW($H$1)+1)*10+COLUMN(M$1)-COLUMN($H$1)+1,Beräkningshjälp!$AB$2:$AI$1082,3,FALSE),0)),0),"")</f>
        <v/>
      </c>
      <c r="N118" s="2" t="str">
        <f>IF($E118&lt;&gt;"",IF(AND($E118&lt;&gt;"EJFANGST",$G118&lt;&gt;"INGA"),IF(ISNUMBER(VLOOKUP((ROW($H117)-ROW($H$1)+1)*10+COLUMN(N$1)-COLUMN($H$1)+1,Beräkningshjälp!$AB$2:$AI$1082,7,FALSE)),VLOOKUP((ROW($H117)-ROW($H$1)+1)*10+COLUMN(N$1)-COLUMN($H$1)+1,Beräkningshjälp!$AB$2:$AI$1082,7,FALSE),IF(M118&gt;0,-VLOOKUP((ROW($H117)-ROW($H$1)+1)*10+COLUMN(N$1)-COLUMN($H$1)+1,Beräkningshjälp!$AB$2:$AI$1082,3,FALSE),0)),0),"")</f>
        <v/>
      </c>
      <c r="O118" s="2" t="str">
        <f>IF($E118&lt;&gt;"",IF(AND($E118&lt;&gt;"EJFANGST",$G118&lt;&gt;"INGA"),IF(ISNUMBER(VLOOKUP((ROW($H117)-ROW($H$1)+1)*10+COLUMN(O$1)-COLUMN($H$1)+1,Beräkningshjälp!$AB$2:$AI$1082,7,FALSE)),VLOOKUP((ROW($H117)-ROW($H$1)+1)*10+COLUMN(O$1)-COLUMN($H$1)+1,Beräkningshjälp!$AB$2:$AI$1082,7,FALSE),IF(N118&gt;0,-VLOOKUP((ROW($H117)-ROW($H$1)+1)*10+COLUMN(O$1)-COLUMN($H$1)+1,Beräkningshjälp!$AB$2:$AI$1082,3,FALSE),0)),0),"")</f>
        <v/>
      </c>
      <c r="P118" s="2" t="str">
        <f>IF($E118&lt;&gt;"",IF(AND($E118&lt;&gt;"EJFANGST",$G118&lt;&gt;"INGA"),IF(ISNUMBER(VLOOKUP((ROW($H117)-ROW($H$1)+1)*10+COLUMN(P$1)-COLUMN($H$1)+1,Beräkningshjälp!$AB$2:$AI$1082,7,FALSE)),VLOOKUP((ROW($H117)-ROW($H$1)+1)*10+COLUMN(P$1)-COLUMN($H$1)+1,Beräkningshjälp!$AB$2:$AI$1082,7,FALSE),IF(O118&gt;0,-VLOOKUP((ROW($H117)-ROW($H$1)+1)*10+COLUMN(P$1)-COLUMN($H$1)+1,Beräkningshjälp!$AB$2:$AI$1082,3,FALSE),0)),0),"")</f>
        <v/>
      </c>
      <c r="Q118" s="2" t="str">
        <f>IF($E118&lt;&gt;"",IF(AND($E118&lt;&gt;"EJFANGST",$G118&lt;&gt;"INGA"),IF(ISNUMBER(VLOOKUP((ROW($H117)-ROW($H$1)+1)*10+COLUMN(Q$1)-COLUMN($H$1)+1,Beräkningshjälp!$AB$2:$AI$1082,7,FALSE)),VLOOKUP((ROW($H117)-ROW($H$1)+1)*10+COLUMN(Q$1)-COLUMN($H$1)+1,Beräkningshjälp!$AB$2:$AI$1082,7,FALSE),IF(P118&gt;0,-VLOOKUP((ROW($H117)-ROW($H$1)+1)*10+COLUMN(Q$1)-COLUMN($H$1)+1,Beräkningshjälp!$AB$2:$AI$1082,3,FALSE),0)),0),"")</f>
        <v/>
      </c>
      <c r="R118" s="116" t="str">
        <f>IF(COUNTIF(H118:Q118,"&gt;0")&gt;0,IF($E118&lt;&gt;"",IF(AND($E118&lt;&gt;"EJFANGST",$G118&lt;&gt;"INGA"),IF(ISNUMBER(VLOOKUP((ROW($H117)-ROW($H$1)+1)*10+COLUMN(H$1)-COLUMN($H$1)+1,Beräkningshjälp!$AB$2:$AI$1082,7,FALSE)),VLOOKUP((ROW($H117)-ROW($H$1)+1)*10+COLUMN(H$1)-COLUMN($H$1)+1,Beräkningshjälp!$AB$2:$AI$1082,3,FALSE),""),""),""),"")</f>
        <v/>
      </c>
    </row>
    <row r="119" spans="1:18" x14ac:dyDescent="0.25">
      <c r="A119" s="2" t="str">
        <f t="shared" si="1"/>
        <v/>
      </c>
      <c r="B119" s="2" t="str">
        <f>IF(D119&lt;&gt;"",'DATA TILL SLU'!$J$3,"")</f>
        <v/>
      </c>
      <c r="C119" s="2" t="str">
        <f>IF(D119&lt;&gt;"",'DATA TILL SLU'!$K$3,"")</f>
        <v/>
      </c>
      <c r="D119" s="2" t="str">
        <f>IF(OR(ROW(D118)-ROW(D$1)+1&lt;=MAX(Beräkningshjälp!$F$37:$F$54),ROW(D118)-ROW(D$1)+1&lt;=ROUND((MAX(Beräkningshjälp!AB$3:AB$1082)+4)/10,0)-1),D$2,"")</f>
        <v/>
      </c>
      <c r="E119" s="136" t="str">
        <f>IF(D119&lt;&gt;"",IF(COUNTIF(Beräkningshjälp!F$38:F$49,"&gt;0")&gt;=ROW(E118)-ROW(E$1)+1,VLOOKUP((VLOOKUP(ROW(E118)-ROW(E$1)+1,Beräkningshjälp!$F$37:$H$54,IF(ISNUMBER(VLOOKUP(ROW(E118)-ROW(E$1)+1,Beräkningshjälp!$F$37:$H$54,2,FALSE)),2,3),FALSE)),Beräkningshjälp!$M$2:$O$60,3,FALSE),VLOOKUP((ROW(E118)-ROW(E$1)+1)*10+1,Beräkningshjälp!$AB$2:$AF$1082,5,FALSE)),"")</f>
        <v/>
      </c>
      <c r="F119" s="2" t="str">
        <f>IF(D119&lt;&gt;"",Beräkningshjälp!$AH$1,"")</f>
        <v/>
      </c>
      <c r="G119" s="136" t="str">
        <f>IF(D119&lt;&gt;"",IF(COUNTIF(Beräkningshjälp!F$38:F$49,"&gt;0")&gt;=ROW(E118)-ROW(E$1)+1,"INGA",IF(COUNTIF(Beräkningshjälp!$G$38:$H$49,VLOOKUP(E119,Beräkningshjälp!$AF$2:$AG$1082,2,FALSE))&gt;0,"ENSTAK",IF(VLOOKUP(VLOOKUP(E119,Beräkningshjälp!O$2:U$60,7,FALSE),Artuppgifter!$I$11:$P$22,7,FALSE)=TRUE,"MINMAX","ALLA"))),"")</f>
        <v/>
      </c>
      <c r="H119" s="2" t="str">
        <f>IF($E119&lt;&gt;"",IF(AND($E119&lt;&gt;"EJFANGST",$G119&lt;&gt;"INGA"),IF(ISNUMBER(VLOOKUP((ROW($H118)-ROW($H$1)+1)*10+COLUMN(H$1)-COLUMN($H$1)+1,Beräkningshjälp!$AB$2:$AI$1082,7,FALSE)),VLOOKUP((ROW($H118)-ROW($H$1)+1)*10+COLUMN(H$1)-COLUMN($H$1)+1,Beräkningshjälp!$AB$2:$AI$1082,7,FALSE),IF(E119&gt;0,-VLOOKUP((ROW($H118)-ROW($H$1)+1)*10+COLUMN(H$1)-COLUMN($H$1)+1,Beräkningshjälp!$AB$2:$AI$1082,3,FALSE),0)),0),"")</f>
        <v/>
      </c>
      <c r="I119" s="2" t="str">
        <f>IF($E119&lt;&gt;"",IF(AND($E119&lt;&gt;"EJFANGST",$G119&lt;&gt;"INGA"),IF(ISNUMBER(VLOOKUP((ROW($H118)-ROW($H$1)+1)*10+COLUMN(I$1)-COLUMN($H$1)+1,Beräkningshjälp!$AB$2:$AI$1082,7,FALSE)),VLOOKUP((ROW($H118)-ROW($H$1)+1)*10+COLUMN(I$1)-COLUMN($H$1)+1,Beräkningshjälp!$AB$2:$AI$1082,7,FALSE),IF(H119&gt;0,-VLOOKUP((ROW($H118)-ROW($H$1)+1)*10+COLUMN(I$1)-COLUMN($H$1)+1,Beräkningshjälp!$AB$2:$AI$1082,3,FALSE),0)),0),"")</f>
        <v/>
      </c>
      <c r="J119" s="2" t="str">
        <f>IF($E119&lt;&gt;"",IF(AND($E119&lt;&gt;"EJFANGST",$G119&lt;&gt;"INGA"),IF(ISNUMBER(VLOOKUP((ROW($H118)-ROW($H$1)+1)*10+COLUMN(J$1)-COLUMN($H$1)+1,Beräkningshjälp!$AB$2:$AI$1082,7,FALSE)),VLOOKUP((ROW($H118)-ROW($H$1)+1)*10+COLUMN(J$1)-COLUMN($H$1)+1,Beräkningshjälp!$AB$2:$AI$1082,7,FALSE),IF(I119&gt;0,-VLOOKUP((ROW($H118)-ROW($H$1)+1)*10+COLUMN(J$1)-COLUMN($H$1)+1,Beräkningshjälp!$AB$2:$AI$1082,3,FALSE),0)),0),"")</f>
        <v/>
      </c>
      <c r="K119" s="2" t="str">
        <f>IF($E119&lt;&gt;"",IF(AND($E119&lt;&gt;"EJFANGST",$G119&lt;&gt;"INGA"),IF(ISNUMBER(VLOOKUP((ROW($H118)-ROW($H$1)+1)*10+COLUMN(K$1)-COLUMN($H$1)+1,Beräkningshjälp!$AB$2:$AI$1082,7,FALSE)),VLOOKUP((ROW($H118)-ROW($H$1)+1)*10+COLUMN(K$1)-COLUMN($H$1)+1,Beräkningshjälp!$AB$2:$AI$1082,7,FALSE),IF(J119&gt;0,-VLOOKUP((ROW($H118)-ROW($H$1)+1)*10+COLUMN(K$1)-COLUMN($H$1)+1,Beräkningshjälp!$AB$2:$AI$1082,3,FALSE),0)),0),"")</f>
        <v/>
      </c>
      <c r="L119" s="2" t="str">
        <f>IF($E119&lt;&gt;"",IF(AND($E119&lt;&gt;"EJFANGST",$G119&lt;&gt;"INGA"),IF(ISNUMBER(VLOOKUP((ROW($H118)-ROW($H$1)+1)*10+COLUMN(L$1)-COLUMN($H$1)+1,Beräkningshjälp!$AB$2:$AI$1082,7,FALSE)),VLOOKUP((ROW($H118)-ROW($H$1)+1)*10+COLUMN(L$1)-COLUMN($H$1)+1,Beräkningshjälp!$AB$2:$AI$1082,7,FALSE),IF(K119&gt;0,-VLOOKUP((ROW($H118)-ROW($H$1)+1)*10+COLUMN(L$1)-COLUMN($H$1)+1,Beräkningshjälp!$AB$2:$AI$1082,3,FALSE),0)),0),"")</f>
        <v/>
      </c>
      <c r="M119" s="2" t="str">
        <f>IF($E119&lt;&gt;"",IF(AND($E119&lt;&gt;"EJFANGST",$G119&lt;&gt;"INGA"),IF(ISNUMBER(VLOOKUP((ROW($H118)-ROW($H$1)+1)*10+COLUMN(M$1)-COLUMN($H$1)+1,Beräkningshjälp!$AB$2:$AI$1082,7,FALSE)),VLOOKUP((ROW($H118)-ROW($H$1)+1)*10+COLUMN(M$1)-COLUMN($H$1)+1,Beräkningshjälp!$AB$2:$AI$1082,7,FALSE),IF(L119&gt;0,-VLOOKUP((ROW($H118)-ROW($H$1)+1)*10+COLUMN(M$1)-COLUMN($H$1)+1,Beräkningshjälp!$AB$2:$AI$1082,3,FALSE),0)),0),"")</f>
        <v/>
      </c>
      <c r="N119" s="2" t="str">
        <f>IF($E119&lt;&gt;"",IF(AND($E119&lt;&gt;"EJFANGST",$G119&lt;&gt;"INGA"),IF(ISNUMBER(VLOOKUP((ROW($H118)-ROW($H$1)+1)*10+COLUMN(N$1)-COLUMN($H$1)+1,Beräkningshjälp!$AB$2:$AI$1082,7,FALSE)),VLOOKUP((ROW($H118)-ROW($H$1)+1)*10+COLUMN(N$1)-COLUMN($H$1)+1,Beräkningshjälp!$AB$2:$AI$1082,7,FALSE),IF(M119&gt;0,-VLOOKUP((ROW($H118)-ROW($H$1)+1)*10+COLUMN(N$1)-COLUMN($H$1)+1,Beräkningshjälp!$AB$2:$AI$1082,3,FALSE),0)),0),"")</f>
        <v/>
      </c>
      <c r="O119" s="2" t="str">
        <f>IF($E119&lt;&gt;"",IF(AND($E119&lt;&gt;"EJFANGST",$G119&lt;&gt;"INGA"),IF(ISNUMBER(VLOOKUP((ROW($H118)-ROW($H$1)+1)*10+COLUMN(O$1)-COLUMN($H$1)+1,Beräkningshjälp!$AB$2:$AI$1082,7,FALSE)),VLOOKUP((ROW($H118)-ROW($H$1)+1)*10+COLUMN(O$1)-COLUMN($H$1)+1,Beräkningshjälp!$AB$2:$AI$1082,7,FALSE),IF(N119&gt;0,-VLOOKUP((ROW($H118)-ROW($H$1)+1)*10+COLUMN(O$1)-COLUMN($H$1)+1,Beräkningshjälp!$AB$2:$AI$1082,3,FALSE),0)),0),"")</f>
        <v/>
      </c>
      <c r="P119" s="2" t="str">
        <f>IF($E119&lt;&gt;"",IF(AND($E119&lt;&gt;"EJFANGST",$G119&lt;&gt;"INGA"),IF(ISNUMBER(VLOOKUP((ROW($H118)-ROW($H$1)+1)*10+COLUMN(P$1)-COLUMN($H$1)+1,Beräkningshjälp!$AB$2:$AI$1082,7,FALSE)),VLOOKUP((ROW($H118)-ROW($H$1)+1)*10+COLUMN(P$1)-COLUMN($H$1)+1,Beräkningshjälp!$AB$2:$AI$1082,7,FALSE),IF(O119&gt;0,-VLOOKUP((ROW($H118)-ROW($H$1)+1)*10+COLUMN(P$1)-COLUMN($H$1)+1,Beräkningshjälp!$AB$2:$AI$1082,3,FALSE),0)),0),"")</f>
        <v/>
      </c>
      <c r="Q119" s="2" t="str">
        <f>IF($E119&lt;&gt;"",IF(AND($E119&lt;&gt;"EJFANGST",$G119&lt;&gt;"INGA"),IF(ISNUMBER(VLOOKUP((ROW($H118)-ROW($H$1)+1)*10+COLUMN(Q$1)-COLUMN($H$1)+1,Beräkningshjälp!$AB$2:$AI$1082,7,FALSE)),VLOOKUP((ROW($H118)-ROW($H$1)+1)*10+COLUMN(Q$1)-COLUMN($H$1)+1,Beräkningshjälp!$AB$2:$AI$1082,7,FALSE),IF(P119&gt;0,-VLOOKUP((ROW($H118)-ROW($H$1)+1)*10+COLUMN(Q$1)-COLUMN($H$1)+1,Beräkningshjälp!$AB$2:$AI$1082,3,FALSE),0)),0),"")</f>
        <v/>
      </c>
      <c r="R119" s="116" t="str">
        <f>IF(COUNTIF(H119:Q119,"&gt;0")&gt;0,IF($E119&lt;&gt;"",IF(AND($E119&lt;&gt;"EJFANGST",$G119&lt;&gt;"INGA"),IF(ISNUMBER(VLOOKUP((ROW($H118)-ROW($H$1)+1)*10+COLUMN(H$1)-COLUMN($H$1)+1,Beräkningshjälp!$AB$2:$AI$1082,7,FALSE)),VLOOKUP((ROW($H118)-ROW($H$1)+1)*10+COLUMN(H$1)-COLUMN($H$1)+1,Beräkningshjälp!$AB$2:$AI$1082,3,FALSE),""),""),""),"")</f>
        <v/>
      </c>
    </row>
    <row r="120" spans="1:18" x14ac:dyDescent="0.25">
      <c r="A120" s="2" t="str">
        <f t="shared" si="1"/>
        <v/>
      </c>
      <c r="B120" s="2" t="str">
        <f>IF(D120&lt;&gt;"",'DATA TILL SLU'!$J$3,"")</f>
        <v/>
      </c>
      <c r="C120" s="2" t="str">
        <f>IF(D120&lt;&gt;"",'DATA TILL SLU'!$K$3,"")</f>
        <v/>
      </c>
      <c r="D120" s="2" t="str">
        <f>IF(OR(ROW(D119)-ROW(D$1)+1&lt;=MAX(Beräkningshjälp!$F$37:$F$54),ROW(D119)-ROW(D$1)+1&lt;=ROUND((MAX(Beräkningshjälp!AB$3:AB$1082)+4)/10,0)-1),D$2,"")</f>
        <v/>
      </c>
      <c r="E120" s="136" t="str">
        <f>IF(D120&lt;&gt;"",IF(COUNTIF(Beräkningshjälp!F$38:F$49,"&gt;0")&gt;=ROW(E119)-ROW(E$1)+1,VLOOKUP((VLOOKUP(ROW(E119)-ROW(E$1)+1,Beräkningshjälp!$F$37:$H$54,IF(ISNUMBER(VLOOKUP(ROW(E119)-ROW(E$1)+1,Beräkningshjälp!$F$37:$H$54,2,FALSE)),2,3),FALSE)),Beräkningshjälp!$M$2:$O$60,3,FALSE),VLOOKUP((ROW(E119)-ROW(E$1)+1)*10+1,Beräkningshjälp!$AB$2:$AF$1082,5,FALSE)),"")</f>
        <v/>
      </c>
      <c r="F120" s="2" t="str">
        <f>IF(D120&lt;&gt;"",Beräkningshjälp!$AH$1,"")</f>
        <v/>
      </c>
      <c r="G120" s="136" t="str">
        <f>IF(D120&lt;&gt;"",IF(COUNTIF(Beräkningshjälp!F$38:F$49,"&gt;0")&gt;=ROW(E119)-ROW(E$1)+1,"INGA",IF(COUNTIF(Beräkningshjälp!$G$38:$H$49,VLOOKUP(E120,Beräkningshjälp!$AF$2:$AG$1082,2,FALSE))&gt;0,"ENSTAK",IF(VLOOKUP(VLOOKUP(E120,Beräkningshjälp!O$2:U$60,7,FALSE),Artuppgifter!$I$11:$P$22,7,FALSE)=TRUE,"MINMAX","ALLA"))),"")</f>
        <v/>
      </c>
      <c r="H120" s="2" t="str">
        <f>IF($E120&lt;&gt;"",IF(AND($E120&lt;&gt;"EJFANGST",$G120&lt;&gt;"INGA"),IF(ISNUMBER(VLOOKUP((ROW($H119)-ROW($H$1)+1)*10+COLUMN(H$1)-COLUMN($H$1)+1,Beräkningshjälp!$AB$2:$AI$1082,7,FALSE)),VLOOKUP((ROW($H119)-ROW($H$1)+1)*10+COLUMN(H$1)-COLUMN($H$1)+1,Beräkningshjälp!$AB$2:$AI$1082,7,FALSE),IF(E120&gt;0,-VLOOKUP((ROW($H119)-ROW($H$1)+1)*10+COLUMN(H$1)-COLUMN($H$1)+1,Beräkningshjälp!$AB$2:$AI$1082,3,FALSE),0)),0),"")</f>
        <v/>
      </c>
      <c r="I120" s="2" t="str">
        <f>IF($E120&lt;&gt;"",IF(AND($E120&lt;&gt;"EJFANGST",$G120&lt;&gt;"INGA"),IF(ISNUMBER(VLOOKUP((ROW($H119)-ROW($H$1)+1)*10+COLUMN(I$1)-COLUMN($H$1)+1,Beräkningshjälp!$AB$2:$AI$1082,7,FALSE)),VLOOKUP((ROW($H119)-ROW($H$1)+1)*10+COLUMN(I$1)-COLUMN($H$1)+1,Beräkningshjälp!$AB$2:$AI$1082,7,FALSE),IF(H120&gt;0,-VLOOKUP((ROW($H119)-ROW($H$1)+1)*10+COLUMN(I$1)-COLUMN($H$1)+1,Beräkningshjälp!$AB$2:$AI$1082,3,FALSE),0)),0),"")</f>
        <v/>
      </c>
      <c r="J120" s="2" t="str">
        <f>IF($E120&lt;&gt;"",IF(AND($E120&lt;&gt;"EJFANGST",$G120&lt;&gt;"INGA"),IF(ISNUMBER(VLOOKUP((ROW($H119)-ROW($H$1)+1)*10+COLUMN(J$1)-COLUMN($H$1)+1,Beräkningshjälp!$AB$2:$AI$1082,7,FALSE)),VLOOKUP((ROW($H119)-ROW($H$1)+1)*10+COLUMN(J$1)-COLUMN($H$1)+1,Beräkningshjälp!$AB$2:$AI$1082,7,FALSE),IF(I120&gt;0,-VLOOKUP((ROW($H119)-ROW($H$1)+1)*10+COLUMN(J$1)-COLUMN($H$1)+1,Beräkningshjälp!$AB$2:$AI$1082,3,FALSE),0)),0),"")</f>
        <v/>
      </c>
      <c r="K120" s="2" t="str">
        <f>IF($E120&lt;&gt;"",IF(AND($E120&lt;&gt;"EJFANGST",$G120&lt;&gt;"INGA"),IF(ISNUMBER(VLOOKUP((ROW($H119)-ROW($H$1)+1)*10+COLUMN(K$1)-COLUMN($H$1)+1,Beräkningshjälp!$AB$2:$AI$1082,7,FALSE)),VLOOKUP((ROW($H119)-ROW($H$1)+1)*10+COLUMN(K$1)-COLUMN($H$1)+1,Beräkningshjälp!$AB$2:$AI$1082,7,FALSE),IF(J120&gt;0,-VLOOKUP((ROW($H119)-ROW($H$1)+1)*10+COLUMN(K$1)-COLUMN($H$1)+1,Beräkningshjälp!$AB$2:$AI$1082,3,FALSE),0)),0),"")</f>
        <v/>
      </c>
      <c r="L120" s="2" t="str">
        <f>IF($E120&lt;&gt;"",IF(AND($E120&lt;&gt;"EJFANGST",$G120&lt;&gt;"INGA"),IF(ISNUMBER(VLOOKUP((ROW($H119)-ROW($H$1)+1)*10+COLUMN(L$1)-COLUMN($H$1)+1,Beräkningshjälp!$AB$2:$AI$1082,7,FALSE)),VLOOKUP((ROW($H119)-ROW($H$1)+1)*10+COLUMN(L$1)-COLUMN($H$1)+1,Beräkningshjälp!$AB$2:$AI$1082,7,FALSE),IF(K120&gt;0,-VLOOKUP((ROW($H119)-ROW($H$1)+1)*10+COLUMN(L$1)-COLUMN($H$1)+1,Beräkningshjälp!$AB$2:$AI$1082,3,FALSE),0)),0),"")</f>
        <v/>
      </c>
      <c r="M120" s="2" t="str">
        <f>IF($E120&lt;&gt;"",IF(AND($E120&lt;&gt;"EJFANGST",$G120&lt;&gt;"INGA"),IF(ISNUMBER(VLOOKUP((ROW($H119)-ROW($H$1)+1)*10+COLUMN(M$1)-COLUMN($H$1)+1,Beräkningshjälp!$AB$2:$AI$1082,7,FALSE)),VLOOKUP((ROW($H119)-ROW($H$1)+1)*10+COLUMN(M$1)-COLUMN($H$1)+1,Beräkningshjälp!$AB$2:$AI$1082,7,FALSE),IF(L120&gt;0,-VLOOKUP((ROW($H119)-ROW($H$1)+1)*10+COLUMN(M$1)-COLUMN($H$1)+1,Beräkningshjälp!$AB$2:$AI$1082,3,FALSE),0)),0),"")</f>
        <v/>
      </c>
      <c r="N120" s="2" t="str">
        <f>IF($E120&lt;&gt;"",IF(AND($E120&lt;&gt;"EJFANGST",$G120&lt;&gt;"INGA"),IF(ISNUMBER(VLOOKUP((ROW($H119)-ROW($H$1)+1)*10+COLUMN(N$1)-COLUMN($H$1)+1,Beräkningshjälp!$AB$2:$AI$1082,7,FALSE)),VLOOKUP((ROW($H119)-ROW($H$1)+1)*10+COLUMN(N$1)-COLUMN($H$1)+1,Beräkningshjälp!$AB$2:$AI$1082,7,FALSE),IF(M120&gt;0,-VLOOKUP((ROW($H119)-ROW($H$1)+1)*10+COLUMN(N$1)-COLUMN($H$1)+1,Beräkningshjälp!$AB$2:$AI$1082,3,FALSE),0)),0),"")</f>
        <v/>
      </c>
      <c r="O120" s="2" t="str">
        <f>IF($E120&lt;&gt;"",IF(AND($E120&lt;&gt;"EJFANGST",$G120&lt;&gt;"INGA"),IF(ISNUMBER(VLOOKUP((ROW($H119)-ROW($H$1)+1)*10+COLUMN(O$1)-COLUMN($H$1)+1,Beräkningshjälp!$AB$2:$AI$1082,7,FALSE)),VLOOKUP((ROW($H119)-ROW($H$1)+1)*10+COLUMN(O$1)-COLUMN($H$1)+1,Beräkningshjälp!$AB$2:$AI$1082,7,FALSE),IF(N120&gt;0,-VLOOKUP((ROW($H119)-ROW($H$1)+1)*10+COLUMN(O$1)-COLUMN($H$1)+1,Beräkningshjälp!$AB$2:$AI$1082,3,FALSE),0)),0),"")</f>
        <v/>
      </c>
      <c r="P120" s="2" t="str">
        <f>IF($E120&lt;&gt;"",IF(AND($E120&lt;&gt;"EJFANGST",$G120&lt;&gt;"INGA"),IF(ISNUMBER(VLOOKUP((ROW($H119)-ROW($H$1)+1)*10+COLUMN(P$1)-COLUMN($H$1)+1,Beräkningshjälp!$AB$2:$AI$1082,7,FALSE)),VLOOKUP((ROW($H119)-ROW($H$1)+1)*10+COLUMN(P$1)-COLUMN($H$1)+1,Beräkningshjälp!$AB$2:$AI$1082,7,FALSE),IF(O120&gt;0,-VLOOKUP((ROW($H119)-ROW($H$1)+1)*10+COLUMN(P$1)-COLUMN($H$1)+1,Beräkningshjälp!$AB$2:$AI$1082,3,FALSE),0)),0),"")</f>
        <v/>
      </c>
      <c r="Q120" s="2" t="str">
        <f>IF($E120&lt;&gt;"",IF(AND($E120&lt;&gt;"EJFANGST",$G120&lt;&gt;"INGA"),IF(ISNUMBER(VLOOKUP((ROW($H119)-ROW($H$1)+1)*10+COLUMN(Q$1)-COLUMN($H$1)+1,Beräkningshjälp!$AB$2:$AI$1082,7,FALSE)),VLOOKUP((ROW($H119)-ROW($H$1)+1)*10+COLUMN(Q$1)-COLUMN($H$1)+1,Beräkningshjälp!$AB$2:$AI$1082,7,FALSE),IF(P120&gt;0,-VLOOKUP((ROW($H119)-ROW($H$1)+1)*10+COLUMN(Q$1)-COLUMN($H$1)+1,Beräkningshjälp!$AB$2:$AI$1082,3,FALSE),0)),0),"")</f>
        <v/>
      </c>
      <c r="R120" s="116" t="str">
        <f>IF(COUNTIF(H120:Q120,"&gt;0")&gt;0,IF($E120&lt;&gt;"",IF(AND($E120&lt;&gt;"EJFANGST",$G120&lt;&gt;"INGA"),IF(ISNUMBER(VLOOKUP((ROW($H119)-ROW($H$1)+1)*10+COLUMN(H$1)-COLUMN($H$1)+1,Beräkningshjälp!$AB$2:$AI$1082,7,FALSE)),VLOOKUP((ROW($H119)-ROW($H$1)+1)*10+COLUMN(H$1)-COLUMN($H$1)+1,Beräkningshjälp!$AB$2:$AI$1082,3,FALSE),""),""),""),"")</f>
        <v/>
      </c>
    </row>
    <row r="121" spans="1:18" x14ac:dyDescent="0.25">
      <c r="A121" s="2" t="str">
        <f t="shared" si="1"/>
        <v/>
      </c>
      <c r="B121" s="2" t="str">
        <f>IF(D121&lt;&gt;"",'DATA TILL SLU'!$J$3,"")</f>
        <v/>
      </c>
      <c r="C121" s="2" t="str">
        <f>IF(D121&lt;&gt;"",'DATA TILL SLU'!$K$3,"")</f>
        <v/>
      </c>
      <c r="D121" s="2" t="str">
        <f>IF(OR(ROW(D120)-ROW(D$1)+1&lt;=MAX(Beräkningshjälp!$F$37:$F$54),ROW(D120)-ROW(D$1)+1&lt;=ROUND((MAX(Beräkningshjälp!AB$3:AB$1082)+4)/10,0)-1),D$2,"")</f>
        <v/>
      </c>
      <c r="E121" s="136" t="str">
        <f>IF(D121&lt;&gt;"",IF(COUNTIF(Beräkningshjälp!F$38:F$49,"&gt;0")&gt;=ROW(E120)-ROW(E$1)+1,VLOOKUP((VLOOKUP(ROW(E120)-ROW(E$1)+1,Beräkningshjälp!$F$37:$H$54,IF(ISNUMBER(VLOOKUP(ROW(E120)-ROW(E$1)+1,Beräkningshjälp!$F$37:$H$54,2,FALSE)),2,3),FALSE)),Beräkningshjälp!$M$2:$O$60,3,FALSE),VLOOKUP((ROW(E120)-ROW(E$1)+1)*10+1,Beräkningshjälp!$AB$2:$AF$1082,5,FALSE)),"")</f>
        <v/>
      </c>
      <c r="F121" s="2" t="str">
        <f>IF(D121&lt;&gt;"",Beräkningshjälp!$AH$1,"")</f>
        <v/>
      </c>
      <c r="G121" s="136" t="str">
        <f>IF(D121&lt;&gt;"",IF(COUNTIF(Beräkningshjälp!F$38:F$49,"&gt;0")&gt;=ROW(E120)-ROW(E$1)+1,"INGA",IF(COUNTIF(Beräkningshjälp!$G$38:$H$49,VLOOKUP(E121,Beräkningshjälp!$AF$2:$AG$1082,2,FALSE))&gt;0,"ENSTAK",IF(VLOOKUP(VLOOKUP(E121,Beräkningshjälp!O$2:U$60,7,FALSE),Artuppgifter!$I$11:$P$22,7,FALSE)=TRUE,"MINMAX","ALLA"))),"")</f>
        <v/>
      </c>
      <c r="H121" s="2" t="str">
        <f>IF($E121&lt;&gt;"",IF(AND($E121&lt;&gt;"EJFANGST",$G121&lt;&gt;"INGA"),IF(ISNUMBER(VLOOKUP((ROW($H120)-ROW($H$1)+1)*10+COLUMN(H$1)-COLUMN($H$1)+1,Beräkningshjälp!$AB$2:$AI$1082,7,FALSE)),VLOOKUP((ROW($H120)-ROW($H$1)+1)*10+COLUMN(H$1)-COLUMN($H$1)+1,Beräkningshjälp!$AB$2:$AI$1082,7,FALSE),IF(E121&gt;0,-VLOOKUP((ROW($H120)-ROW($H$1)+1)*10+COLUMN(H$1)-COLUMN($H$1)+1,Beräkningshjälp!$AB$2:$AI$1082,3,FALSE),0)),0),"")</f>
        <v/>
      </c>
      <c r="I121" s="2" t="str">
        <f>IF($E121&lt;&gt;"",IF(AND($E121&lt;&gt;"EJFANGST",$G121&lt;&gt;"INGA"),IF(ISNUMBER(VLOOKUP((ROW($H120)-ROW($H$1)+1)*10+COLUMN(I$1)-COLUMN($H$1)+1,Beräkningshjälp!$AB$2:$AI$1082,7,FALSE)),VLOOKUP((ROW($H120)-ROW($H$1)+1)*10+COLUMN(I$1)-COLUMN($H$1)+1,Beräkningshjälp!$AB$2:$AI$1082,7,FALSE),IF(H121&gt;0,-VLOOKUP((ROW($H120)-ROW($H$1)+1)*10+COLUMN(I$1)-COLUMN($H$1)+1,Beräkningshjälp!$AB$2:$AI$1082,3,FALSE),0)),0),"")</f>
        <v/>
      </c>
      <c r="J121" s="2" t="str">
        <f>IF($E121&lt;&gt;"",IF(AND($E121&lt;&gt;"EJFANGST",$G121&lt;&gt;"INGA"),IF(ISNUMBER(VLOOKUP((ROW($H120)-ROW($H$1)+1)*10+COLUMN(J$1)-COLUMN($H$1)+1,Beräkningshjälp!$AB$2:$AI$1082,7,FALSE)),VLOOKUP((ROW($H120)-ROW($H$1)+1)*10+COLUMN(J$1)-COLUMN($H$1)+1,Beräkningshjälp!$AB$2:$AI$1082,7,FALSE),IF(I121&gt;0,-VLOOKUP((ROW($H120)-ROW($H$1)+1)*10+COLUMN(J$1)-COLUMN($H$1)+1,Beräkningshjälp!$AB$2:$AI$1082,3,FALSE),0)),0),"")</f>
        <v/>
      </c>
      <c r="K121" s="2" t="str">
        <f>IF($E121&lt;&gt;"",IF(AND($E121&lt;&gt;"EJFANGST",$G121&lt;&gt;"INGA"),IF(ISNUMBER(VLOOKUP((ROW($H120)-ROW($H$1)+1)*10+COLUMN(K$1)-COLUMN($H$1)+1,Beräkningshjälp!$AB$2:$AI$1082,7,FALSE)),VLOOKUP((ROW($H120)-ROW($H$1)+1)*10+COLUMN(K$1)-COLUMN($H$1)+1,Beräkningshjälp!$AB$2:$AI$1082,7,FALSE),IF(J121&gt;0,-VLOOKUP((ROW($H120)-ROW($H$1)+1)*10+COLUMN(K$1)-COLUMN($H$1)+1,Beräkningshjälp!$AB$2:$AI$1082,3,FALSE),0)),0),"")</f>
        <v/>
      </c>
      <c r="L121" s="2" t="str">
        <f>IF($E121&lt;&gt;"",IF(AND($E121&lt;&gt;"EJFANGST",$G121&lt;&gt;"INGA"),IF(ISNUMBER(VLOOKUP((ROW($H120)-ROW($H$1)+1)*10+COLUMN(L$1)-COLUMN($H$1)+1,Beräkningshjälp!$AB$2:$AI$1082,7,FALSE)),VLOOKUP((ROW($H120)-ROW($H$1)+1)*10+COLUMN(L$1)-COLUMN($H$1)+1,Beräkningshjälp!$AB$2:$AI$1082,7,FALSE),IF(K121&gt;0,-VLOOKUP((ROW($H120)-ROW($H$1)+1)*10+COLUMN(L$1)-COLUMN($H$1)+1,Beräkningshjälp!$AB$2:$AI$1082,3,FALSE),0)),0),"")</f>
        <v/>
      </c>
      <c r="M121" s="2" t="str">
        <f>IF($E121&lt;&gt;"",IF(AND($E121&lt;&gt;"EJFANGST",$G121&lt;&gt;"INGA"),IF(ISNUMBER(VLOOKUP((ROW($H120)-ROW($H$1)+1)*10+COLUMN(M$1)-COLUMN($H$1)+1,Beräkningshjälp!$AB$2:$AI$1082,7,FALSE)),VLOOKUP((ROW($H120)-ROW($H$1)+1)*10+COLUMN(M$1)-COLUMN($H$1)+1,Beräkningshjälp!$AB$2:$AI$1082,7,FALSE),IF(L121&gt;0,-VLOOKUP((ROW($H120)-ROW($H$1)+1)*10+COLUMN(M$1)-COLUMN($H$1)+1,Beräkningshjälp!$AB$2:$AI$1082,3,FALSE),0)),0),"")</f>
        <v/>
      </c>
      <c r="N121" s="2" t="str">
        <f>IF($E121&lt;&gt;"",IF(AND($E121&lt;&gt;"EJFANGST",$G121&lt;&gt;"INGA"),IF(ISNUMBER(VLOOKUP((ROW($H120)-ROW($H$1)+1)*10+COLUMN(N$1)-COLUMN($H$1)+1,Beräkningshjälp!$AB$2:$AI$1082,7,FALSE)),VLOOKUP((ROW($H120)-ROW($H$1)+1)*10+COLUMN(N$1)-COLUMN($H$1)+1,Beräkningshjälp!$AB$2:$AI$1082,7,FALSE),IF(M121&gt;0,-VLOOKUP((ROW($H120)-ROW($H$1)+1)*10+COLUMN(N$1)-COLUMN($H$1)+1,Beräkningshjälp!$AB$2:$AI$1082,3,FALSE),0)),0),"")</f>
        <v/>
      </c>
      <c r="O121" s="2" t="str">
        <f>IF($E121&lt;&gt;"",IF(AND($E121&lt;&gt;"EJFANGST",$G121&lt;&gt;"INGA"),IF(ISNUMBER(VLOOKUP((ROW($H120)-ROW($H$1)+1)*10+COLUMN(O$1)-COLUMN($H$1)+1,Beräkningshjälp!$AB$2:$AI$1082,7,FALSE)),VLOOKUP((ROW($H120)-ROW($H$1)+1)*10+COLUMN(O$1)-COLUMN($H$1)+1,Beräkningshjälp!$AB$2:$AI$1082,7,FALSE),IF(N121&gt;0,-VLOOKUP((ROW($H120)-ROW($H$1)+1)*10+COLUMN(O$1)-COLUMN($H$1)+1,Beräkningshjälp!$AB$2:$AI$1082,3,FALSE),0)),0),"")</f>
        <v/>
      </c>
      <c r="P121" s="2" t="str">
        <f>IF($E121&lt;&gt;"",IF(AND($E121&lt;&gt;"EJFANGST",$G121&lt;&gt;"INGA"),IF(ISNUMBER(VLOOKUP((ROW($H120)-ROW($H$1)+1)*10+COLUMN(P$1)-COLUMN($H$1)+1,Beräkningshjälp!$AB$2:$AI$1082,7,FALSE)),VLOOKUP((ROW($H120)-ROW($H$1)+1)*10+COLUMN(P$1)-COLUMN($H$1)+1,Beräkningshjälp!$AB$2:$AI$1082,7,FALSE),IF(O121&gt;0,-VLOOKUP((ROW($H120)-ROW($H$1)+1)*10+COLUMN(P$1)-COLUMN($H$1)+1,Beräkningshjälp!$AB$2:$AI$1082,3,FALSE),0)),0),"")</f>
        <v/>
      </c>
      <c r="Q121" s="2" t="str">
        <f>IF($E121&lt;&gt;"",IF(AND($E121&lt;&gt;"EJFANGST",$G121&lt;&gt;"INGA"),IF(ISNUMBER(VLOOKUP((ROW($H120)-ROW($H$1)+1)*10+COLUMN(Q$1)-COLUMN($H$1)+1,Beräkningshjälp!$AB$2:$AI$1082,7,FALSE)),VLOOKUP((ROW($H120)-ROW($H$1)+1)*10+COLUMN(Q$1)-COLUMN($H$1)+1,Beräkningshjälp!$AB$2:$AI$1082,7,FALSE),IF(P121&gt;0,-VLOOKUP((ROW($H120)-ROW($H$1)+1)*10+COLUMN(Q$1)-COLUMN($H$1)+1,Beräkningshjälp!$AB$2:$AI$1082,3,FALSE),0)),0),"")</f>
        <v/>
      </c>
      <c r="R121" s="116" t="str">
        <f>IF(COUNTIF(H121:Q121,"&gt;0")&gt;0,IF($E121&lt;&gt;"",IF(AND($E121&lt;&gt;"EJFANGST",$G121&lt;&gt;"INGA"),IF(ISNUMBER(VLOOKUP((ROW($H120)-ROW($H$1)+1)*10+COLUMN(H$1)-COLUMN($H$1)+1,Beräkningshjälp!$AB$2:$AI$1082,7,FALSE)),VLOOKUP((ROW($H120)-ROW($H$1)+1)*10+COLUMN(H$1)-COLUMN($H$1)+1,Beräkningshjälp!$AB$2:$AI$1082,3,FALSE),""),""),""),"")</f>
        <v/>
      </c>
    </row>
  </sheetData>
  <sheetProtection sheet="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092"/>
  <sheetViews>
    <sheetView workbookViewId="0"/>
  </sheetViews>
  <sheetFormatPr defaultColWidth="9.109375" defaultRowHeight="13.2" x14ac:dyDescent="0.25"/>
  <cols>
    <col min="1" max="1" width="11.88671875" style="2" customWidth="1"/>
    <col min="2" max="2" width="11.5546875" style="2" bestFit="1" customWidth="1"/>
    <col min="3" max="3" width="11.44140625" style="2" bestFit="1" customWidth="1"/>
    <col min="4" max="5" width="10.109375" style="2" bestFit="1" customWidth="1"/>
    <col min="6" max="6" width="10.109375" style="136" bestFit="1" customWidth="1"/>
    <col min="7" max="7" width="12.33203125" style="2" bestFit="1" customWidth="1"/>
    <col min="8" max="16384" width="9.109375" style="2"/>
  </cols>
  <sheetData>
    <row r="1" spans="1:13" s="136" customFormat="1" x14ac:dyDescent="0.25">
      <c r="A1" s="118" t="s">
        <v>477</v>
      </c>
      <c r="B1" s="118" t="s">
        <v>644</v>
      </c>
      <c r="C1" s="207" t="s">
        <v>645</v>
      </c>
      <c r="D1" s="118" t="s">
        <v>646</v>
      </c>
      <c r="E1" s="118" t="s">
        <v>471</v>
      </c>
      <c r="F1" s="118" t="s">
        <v>2025</v>
      </c>
      <c r="G1" s="118" t="s">
        <v>2026</v>
      </c>
      <c r="H1" s="118" t="s">
        <v>472</v>
      </c>
      <c r="I1" s="118" t="s">
        <v>1982</v>
      </c>
      <c r="J1" s="198"/>
    </row>
    <row r="2" spans="1:13" x14ac:dyDescent="0.25">
      <c r="A2" s="2" t="str">
        <f>IF(D2&lt;&gt;"","LANGDVIKTER","")</f>
        <v/>
      </c>
      <c r="B2" s="136" t="str">
        <f>IF(D2&lt;&gt;"",'DATA TILL SLU'!$J$3,"")</f>
        <v/>
      </c>
      <c r="C2" s="146" t="str">
        <f>IF(D2&lt;&gt;"",'DATA TILL SLU'!$K$3,"")</f>
        <v/>
      </c>
      <c r="D2" s="2" t="str">
        <f>IF('DATA TILL SLU'!$D$7*1&lt;&gt;"",IF(COUNT(Beräkningshjälp!$AC$3:$AC$1082)&gt;=ROW(D1),'DATA TILL SLU'!$D$7*1,""),"")</f>
        <v/>
      </c>
      <c r="E2" s="136" t="str">
        <f>IF(D2&lt;&gt;"",VLOOKUP(ROW(E1),Beräkningshjälp!AC$2:AH$1082,COLUMN(Beräkningshjälp!AF$2)-COLUMN(Beräkningshjälp!AC$2)+1,FALSE),"")</f>
        <v/>
      </c>
      <c r="F2" s="352" t="str">
        <f>IF(D2&lt;&gt;"","IND","")</f>
        <v/>
      </c>
      <c r="G2" s="2" t="str">
        <f>IF(D2&lt;&gt;"",IF(VLOOKUP(VLOOKUP(E2,Beräkningshjälp!O$2:U$60,7,FALSE),Artuppgifter!$I$11:$P$22,8,FALSE)=TRUE,"Medelvikter!!","ALLA"),"")</f>
        <v/>
      </c>
      <c r="H2" s="2" t="str">
        <f>IF(D2&lt;&gt;"",VLOOKUP(ROW(H1),Beräkningshjälp!AC$2:AH$1082,COLUMN(Beräkningshjälp!AH$2)-COLUMN(Beräkningshjälp!AC$2)+1,FALSE),"")</f>
        <v/>
      </c>
      <c r="I2" s="116" t="str">
        <f>IF(D2&lt;&gt;"",VLOOKUP(ROW(E1),Beräkningshjälp!AC$2:AI$1082,COLUMN(Beräkningshjälp!AI$2)-COLUMN(Beräkningshjälp!AC$2)+1,FALSE),"")</f>
        <v/>
      </c>
      <c r="M2" s="136"/>
    </row>
    <row r="3" spans="1:13" x14ac:dyDescent="0.25">
      <c r="A3" s="2" t="str">
        <f t="shared" ref="A3:A66" si="0">IF(D3&lt;&gt;"","LANGDVIKTER","")</f>
        <v/>
      </c>
      <c r="B3" s="136" t="str">
        <f>IF(D3&lt;&gt;"",'DATA TILL SLU'!$J$3,"")</f>
        <v/>
      </c>
      <c r="C3" s="146" t="str">
        <f>IF(D3&lt;&gt;"",'DATA TILL SLU'!$K$3,"")</f>
        <v/>
      </c>
      <c r="D3" s="2" t="str">
        <f>IF('DATA TILL SLU'!$D$7*1&lt;&gt;"",IF(COUNT(Beräkningshjälp!$AC$3:$AC$1082)&gt;=ROW(D2),'DATA TILL SLU'!$D$7*1,""),"")</f>
        <v/>
      </c>
      <c r="E3" s="136" t="str">
        <f>IF(D3&lt;&gt;"",VLOOKUP(ROW(E2),Beräkningshjälp!AC$2:AH$1082,COLUMN(Beräkningshjälp!AF$2)-COLUMN(Beräkningshjälp!AC$2)+1,FALSE),"")</f>
        <v/>
      </c>
      <c r="F3" s="352" t="str">
        <f t="shared" ref="F3:F66" si="1">IF(D3&lt;&gt;"","IND","")</f>
        <v/>
      </c>
      <c r="G3" s="2" t="str">
        <f>IF(D3&lt;&gt;"",IF(VLOOKUP(VLOOKUP(E3,Beräkningshjälp!O$2:U$60,7,FALSE),Artuppgifter!$I$11:$P$22,8,FALSE)=TRUE,"Medelvikter!!","ALLA"),"")</f>
        <v/>
      </c>
      <c r="H3" s="2" t="str">
        <f>IF(D3&lt;&gt;"",VLOOKUP(ROW(H2),Beräkningshjälp!AC$2:AH$1082,COLUMN(Beräkningshjälp!AH$2)-COLUMN(Beräkningshjälp!AC$2)+1,FALSE),"")</f>
        <v/>
      </c>
      <c r="I3" s="116" t="str">
        <f>IF(D3&lt;&gt;"",VLOOKUP(ROW(E2),Beräkningshjälp!AC$2:AI$1082,COLUMN(Beräkningshjälp!AI$2)-COLUMN(Beräkningshjälp!AC$2)+1,FALSE),"")</f>
        <v/>
      </c>
      <c r="M3" s="136"/>
    </row>
    <row r="4" spans="1:13" x14ac:dyDescent="0.25">
      <c r="A4" s="2" t="str">
        <f t="shared" si="0"/>
        <v/>
      </c>
      <c r="B4" s="136" t="str">
        <f>IF(D4&lt;&gt;"",'DATA TILL SLU'!$J$3,"")</f>
        <v/>
      </c>
      <c r="C4" s="146" t="str">
        <f>IF(D4&lt;&gt;"",'DATA TILL SLU'!$K$3,"")</f>
        <v/>
      </c>
      <c r="D4" s="2" t="str">
        <f>IF('DATA TILL SLU'!$D$7*1&lt;&gt;"",IF(COUNT(Beräkningshjälp!$AC$3:$AC$1082)&gt;=ROW(D3),'DATA TILL SLU'!$D$7*1,""),"")</f>
        <v/>
      </c>
      <c r="E4" s="136" t="str">
        <f>IF(D4&lt;&gt;"",VLOOKUP(ROW(E3),Beräkningshjälp!AC$2:AH$1082,COLUMN(Beräkningshjälp!AF$2)-COLUMN(Beräkningshjälp!AC$2)+1,FALSE),"")</f>
        <v/>
      </c>
      <c r="F4" s="352" t="str">
        <f t="shared" si="1"/>
        <v/>
      </c>
      <c r="G4" s="2" t="str">
        <f>IF(D4&lt;&gt;"",IF(VLOOKUP(VLOOKUP(E4,Beräkningshjälp!O$2:U$60,7,FALSE),Artuppgifter!$I$11:$P$22,8,FALSE)=TRUE,"Medelvikter!!","ALLA"),"")</f>
        <v/>
      </c>
      <c r="H4" s="2" t="str">
        <f>IF(D4&lt;&gt;"",VLOOKUP(ROW(H3),Beräkningshjälp!AC$2:AH$1082,COLUMN(Beräkningshjälp!AH$2)-COLUMN(Beräkningshjälp!AC$2)+1,FALSE),"")</f>
        <v/>
      </c>
      <c r="I4" s="116" t="str">
        <f>IF(D4&lt;&gt;"",VLOOKUP(ROW(E3),Beräkningshjälp!AC$2:AI$1082,COLUMN(Beräkningshjälp!AI$2)-COLUMN(Beräkningshjälp!AC$2)+1,FALSE),"")</f>
        <v/>
      </c>
      <c r="M4" s="136"/>
    </row>
    <row r="5" spans="1:13" x14ac:dyDescent="0.25">
      <c r="A5" s="2" t="str">
        <f t="shared" si="0"/>
        <v/>
      </c>
      <c r="B5" s="136" t="str">
        <f>IF(D5&lt;&gt;"",'DATA TILL SLU'!$J$3,"")</f>
        <v/>
      </c>
      <c r="C5" s="146" t="str">
        <f>IF(D5&lt;&gt;"",'DATA TILL SLU'!$K$3,"")</f>
        <v/>
      </c>
      <c r="D5" s="2" t="str">
        <f>IF('DATA TILL SLU'!$D$7*1&lt;&gt;"",IF(COUNT(Beräkningshjälp!$AC$3:$AC$1082)&gt;=ROW(D4),'DATA TILL SLU'!$D$7*1,""),"")</f>
        <v/>
      </c>
      <c r="E5" s="136" t="str">
        <f>IF(D5&lt;&gt;"",VLOOKUP(ROW(E4),Beräkningshjälp!AC$2:AH$1082,COLUMN(Beräkningshjälp!AF$2)-COLUMN(Beräkningshjälp!AC$2)+1,FALSE),"")</f>
        <v/>
      </c>
      <c r="F5" s="352" t="str">
        <f t="shared" si="1"/>
        <v/>
      </c>
      <c r="G5" s="2" t="str">
        <f>IF(D5&lt;&gt;"",IF(VLOOKUP(VLOOKUP(E5,Beräkningshjälp!O$2:U$60,7,FALSE),Artuppgifter!$I$11:$P$22,8,FALSE)=TRUE,"Medelvikter!!","ALLA"),"")</f>
        <v/>
      </c>
      <c r="H5" s="2" t="str">
        <f>IF(D5&lt;&gt;"",VLOOKUP(ROW(H4),Beräkningshjälp!AC$2:AH$1082,COLUMN(Beräkningshjälp!AH$2)-COLUMN(Beräkningshjälp!AC$2)+1,FALSE),"")</f>
        <v/>
      </c>
      <c r="I5" s="116" t="str">
        <f>IF(D5&lt;&gt;"",VLOOKUP(ROW(E4),Beräkningshjälp!AC$2:AI$1082,COLUMN(Beräkningshjälp!AI$2)-COLUMN(Beräkningshjälp!AC$2)+1,FALSE),"")</f>
        <v/>
      </c>
      <c r="M5" s="136"/>
    </row>
    <row r="6" spans="1:13" x14ac:dyDescent="0.25">
      <c r="A6" s="2" t="str">
        <f t="shared" si="0"/>
        <v/>
      </c>
      <c r="B6" s="136" t="str">
        <f>IF(D6&lt;&gt;"",'DATA TILL SLU'!$J$3,"")</f>
        <v/>
      </c>
      <c r="C6" s="146" t="str">
        <f>IF(D6&lt;&gt;"",'DATA TILL SLU'!$K$3,"")</f>
        <v/>
      </c>
      <c r="D6" s="2" t="str">
        <f>IF('DATA TILL SLU'!$D$7*1&lt;&gt;"",IF(COUNT(Beräkningshjälp!$AC$3:$AC$1082)&gt;=ROW(D5),'DATA TILL SLU'!$D$7*1,""),"")</f>
        <v/>
      </c>
      <c r="E6" s="136" t="str">
        <f>IF(D6&lt;&gt;"",VLOOKUP(ROW(E5),Beräkningshjälp!AC$2:AH$1082,COLUMN(Beräkningshjälp!AF$2)-COLUMN(Beräkningshjälp!AC$2)+1,FALSE),"")</f>
        <v/>
      </c>
      <c r="F6" s="352" t="str">
        <f t="shared" si="1"/>
        <v/>
      </c>
      <c r="G6" s="2" t="str">
        <f>IF(D6&lt;&gt;"",IF(VLOOKUP(VLOOKUP(E6,Beräkningshjälp!O$2:U$60,7,FALSE),Artuppgifter!$I$11:$P$22,8,FALSE)=TRUE,"Medelvikter!!","ALLA"),"")</f>
        <v/>
      </c>
      <c r="H6" s="2" t="str">
        <f>IF(D6&lt;&gt;"",VLOOKUP(ROW(H5),Beräkningshjälp!AC$2:AH$1082,COLUMN(Beräkningshjälp!AH$2)-COLUMN(Beräkningshjälp!AC$2)+1,FALSE),"")</f>
        <v/>
      </c>
      <c r="I6" s="116" t="str">
        <f>IF(D6&lt;&gt;"",VLOOKUP(ROW(E5),Beräkningshjälp!AC$2:AI$1082,COLUMN(Beräkningshjälp!AI$2)-COLUMN(Beräkningshjälp!AC$2)+1,FALSE),"")</f>
        <v/>
      </c>
      <c r="M6" s="136"/>
    </row>
    <row r="7" spans="1:13" x14ac:dyDescent="0.25">
      <c r="A7" s="2" t="str">
        <f t="shared" si="0"/>
        <v/>
      </c>
      <c r="B7" s="136" t="str">
        <f>IF(D7&lt;&gt;"",'DATA TILL SLU'!$J$3,"")</f>
        <v/>
      </c>
      <c r="C7" s="146" t="str">
        <f>IF(D7&lt;&gt;"",'DATA TILL SLU'!$K$3,"")</f>
        <v/>
      </c>
      <c r="D7" s="2" t="str">
        <f>IF('DATA TILL SLU'!$D$7*1&lt;&gt;"",IF(COUNT(Beräkningshjälp!$AC$3:$AC$1082)&gt;=ROW(D6),'DATA TILL SLU'!$D$7*1,""),"")</f>
        <v/>
      </c>
      <c r="E7" s="136" t="str">
        <f>IF(D7&lt;&gt;"",VLOOKUP(ROW(E6),Beräkningshjälp!AC$2:AH$1082,COLUMN(Beräkningshjälp!AF$2)-COLUMN(Beräkningshjälp!AC$2)+1,FALSE),"")</f>
        <v/>
      </c>
      <c r="F7" s="352" t="str">
        <f t="shared" si="1"/>
        <v/>
      </c>
      <c r="G7" s="2" t="str">
        <f>IF(D7&lt;&gt;"",IF(VLOOKUP(VLOOKUP(E7,Beräkningshjälp!O$2:U$60,7,FALSE),Artuppgifter!$I$11:$P$22,8,FALSE)=TRUE,"Medelvikter!!","ALLA"),"")</f>
        <v/>
      </c>
      <c r="H7" s="2" t="str">
        <f>IF(D7&lt;&gt;"",VLOOKUP(ROW(H6),Beräkningshjälp!AC$2:AH$1082,COLUMN(Beräkningshjälp!AH$2)-COLUMN(Beräkningshjälp!AC$2)+1,FALSE),"")</f>
        <v/>
      </c>
      <c r="I7" s="116" t="str">
        <f>IF(D7&lt;&gt;"",VLOOKUP(ROW(E6),Beräkningshjälp!AC$2:AI$1082,COLUMN(Beräkningshjälp!AI$2)-COLUMN(Beräkningshjälp!AC$2)+1,FALSE),"")</f>
        <v/>
      </c>
      <c r="M7" s="136"/>
    </row>
    <row r="8" spans="1:13" x14ac:dyDescent="0.25">
      <c r="A8" s="2" t="str">
        <f t="shared" si="0"/>
        <v/>
      </c>
      <c r="B8" s="136" t="str">
        <f>IF(D8&lt;&gt;"",'DATA TILL SLU'!$J$3,"")</f>
        <v/>
      </c>
      <c r="C8" s="146" t="str">
        <f>IF(D8&lt;&gt;"",'DATA TILL SLU'!$K$3,"")</f>
        <v/>
      </c>
      <c r="D8" s="2" t="str">
        <f>IF('DATA TILL SLU'!$D$7*1&lt;&gt;"",IF(COUNT(Beräkningshjälp!$AC$3:$AC$1082)&gt;=ROW(D7),'DATA TILL SLU'!$D$7*1,""),"")</f>
        <v/>
      </c>
      <c r="E8" s="136" t="str">
        <f>IF(D8&lt;&gt;"",VLOOKUP(ROW(E7),Beräkningshjälp!AC$2:AH$1082,COLUMN(Beräkningshjälp!AF$2)-COLUMN(Beräkningshjälp!AC$2)+1,FALSE),"")</f>
        <v/>
      </c>
      <c r="F8" s="352" t="str">
        <f t="shared" si="1"/>
        <v/>
      </c>
      <c r="G8" s="2" t="str">
        <f>IF(D8&lt;&gt;"",IF(VLOOKUP(VLOOKUP(E8,Beräkningshjälp!O$2:U$60,7,FALSE),Artuppgifter!$I$11:$P$22,8,FALSE)=TRUE,"Medelvikter!!","ALLA"),"")</f>
        <v/>
      </c>
      <c r="H8" s="2" t="str">
        <f>IF(D8&lt;&gt;"",VLOOKUP(ROW(H7),Beräkningshjälp!AC$2:AH$1082,COLUMN(Beräkningshjälp!AH$2)-COLUMN(Beräkningshjälp!AC$2)+1,FALSE),"")</f>
        <v/>
      </c>
      <c r="I8" s="116" t="str">
        <f>IF(D8&lt;&gt;"",VLOOKUP(ROW(E7),Beräkningshjälp!AC$2:AI$1082,COLUMN(Beräkningshjälp!AI$2)-COLUMN(Beräkningshjälp!AC$2)+1,FALSE),"")</f>
        <v/>
      </c>
      <c r="M8" s="136"/>
    </row>
    <row r="9" spans="1:13" x14ac:dyDescent="0.25">
      <c r="A9" s="2" t="str">
        <f t="shared" si="0"/>
        <v/>
      </c>
      <c r="B9" s="136" t="str">
        <f>IF(D9&lt;&gt;"",'DATA TILL SLU'!$J$3,"")</f>
        <v/>
      </c>
      <c r="C9" s="146" t="str">
        <f>IF(D9&lt;&gt;"",'DATA TILL SLU'!$K$3,"")</f>
        <v/>
      </c>
      <c r="D9" s="2" t="str">
        <f>IF('DATA TILL SLU'!$D$7*1&lt;&gt;"",IF(COUNT(Beräkningshjälp!$AC$3:$AC$1082)&gt;=ROW(D8),'DATA TILL SLU'!$D$7*1,""),"")</f>
        <v/>
      </c>
      <c r="E9" s="136" t="str">
        <f>IF(D9&lt;&gt;"",VLOOKUP(ROW(E8),Beräkningshjälp!AC$2:AH$1082,COLUMN(Beräkningshjälp!AF$2)-COLUMN(Beräkningshjälp!AC$2)+1,FALSE),"")</f>
        <v/>
      </c>
      <c r="F9" s="352" t="str">
        <f t="shared" si="1"/>
        <v/>
      </c>
      <c r="G9" s="2" t="str">
        <f>IF(D9&lt;&gt;"",IF(VLOOKUP(VLOOKUP(E9,Beräkningshjälp!O$2:U$60,7,FALSE),Artuppgifter!$I$11:$P$22,8,FALSE)=TRUE,"Medelvikter!!","ALLA"),"")</f>
        <v/>
      </c>
      <c r="H9" s="2" t="str">
        <f>IF(D9&lt;&gt;"",VLOOKUP(ROW(H8),Beräkningshjälp!AC$2:AH$1082,COLUMN(Beräkningshjälp!AH$2)-COLUMN(Beräkningshjälp!AC$2)+1,FALSE),"")</f>
        <v/>
      </c>
      <c r="I9" s="116" t="str">
        <f>IF(D9&lt;&gt;"",VLOOKUP(ROW(E8),Beräkningshjälp!AC$2:AI$1082,COLUMN(Beräkningshjälp!AI$2)-COLUMN(Beräkningshjälp!AC$2)+1,FALSE),"")</f>
        <v/>
      </c>
      <c r="M9" s="136"/>
    </row>
    <row r="10" spans="1:13" x14ac:dyDescent="0.25">
      <c r="A10" s="2" t="str">
        <f t="shared" si="0"/>
        <v/>
      </c>
      <c r="B10" s="136" t="str">
        <f>IF(D10&lt;&gt;"",'DATA TILL SLU'!$J$3,"")</f>
        <v/>
      </c>
      <c r="C10" s="146" t="str">
        <f>IF(D10&lt;&gt;"",'DATA TILL SLU'!$K$3,"")</f>
        <v/>
      </c>
      <c r="D10" s="2" t="str">
        <f>IF('DATA TILL SLU'!$D$7*1&lt;&gt;"",IF(COUNT(Beräkningshjälp!$AC$3:$AC$1082)&gt;=ROW(D9),'DATA TILL SLU'!$D$7*1,""),"")</f>
        <v/>
      </c>
      <c r="E10" s="136" t="str">
        <f>IF(D10&lt;&gt;"",VLOOKUP(ROW(E9),Beräkningshjälp!AC$2:AH$1082,COLUMN(Beräkningshjälp!AF$2)-COLUMN(Beräkningshjälp!AC$2)+1,FALSE),"")</f>
        <v/>
      </c>
      <c r="F10" s="352" t="str">
        <f t="shared" si="1"/>
        <v/>
      </c>
      <c r="G10" s="2" t="str">
        <f>IF(D10&lt;&gt;"",IF(VLOOKUP(VLOOKUP(E10,Beräkningshjälp!O$2:U$60,7,FALSE),Artuppgifter!$I$11:$P$22,8,FALSE)=TRUE,"Medelvikter!!","ALLA"),"")</f>
        <v/>
      </c>
      <c r="H10" s="2" t="str">
        <f>IF(D10&lt;&gt;"",VLOOKUP(ROW(H9),Beräkningshjälp!AC$2:AH$1082,COLUMN(Beräkningshjälp!AH$2)-COLUMN(Beräkningshjälp!AC$2)+1,FALSE),"")</f>
        <v/>
      </c>
      <c r="I10" s="116" t="str">
        <f>IF(D10&lt;&gt;"",VLOOKUP(ROW(E9),Beräkningshjälp!AC$2:AI$1082,COLUMN(Beräkningshjälp!AI$2)-COLUMN(Beräkningshjälp!AC$2)+1,FALSE),"")</f>
        <v/>
      </c>
      <c r="M10" s="136"/>
    </row>
    <row r="11" spans="1:13" x14ac:dyDescent="0.25">
      <c r="A11" s="2" t="str">
        <f t="shared" si="0"/>
        <v/>
      </c>
      <c r="B11" s="136" t="str">
        <f>IF(D11&lt;&gt;"",'DATA TILL SLU'!$J$3,"")</f>
        <v/>
      </c>
      <c r="C11" s="146" t="str">
        <f>IF(D11&lt;&gt;"",'DATA TILL SLU'!$K$3,"")</f>
        <v/>
      </c>
      <c r="D11" s="2" t="str">
        <f>IF('DATA TILL SLU'!$D$7*1&lt;&gt;"",IF(COUNT(Beräkningshjälp!$AC$3:$AC$1082)&gt;=ROW(D10),'DATA TILL SLU'!$D$7*1,""),"")</f>
        <v/>
      </c>
      <c r="E11" s="136" t="str">
        <f>IF(D11&lt;&gt;"",VLOOKUP(ROW(E10),Beräkningshjälp!AC$2:AH$1082,COLUMN(Beräkningshjälp!AF$2)-COLUMN(Beräkningshjälp!AC$2)+1,FALSE),"")</f>
        <v/>
      </c>
      <c r="F11" s="352" t="str">
        <f t="shared" si="1"/>
        <v/>
      </c>
      <c r="G11" s="2" t="str">
        <f>IF(D11&lt;&gt;"",IF(VLOOKUP(VLOOKUP(E11,Beräkningshjälp!O$2:U$60,7,FALSE),Artuppgifter!$I$11:$P$22,8,FALSE)=TRUE,"Medelvikter!!","ALLA"),"")</f>
        <v/>
      </c>
      <c r="H11" s="2" t="str">
        <f>IF(D11&lt;&gt;"",VLOOKUP(ROW(H10),Beräkningshjälp!AC$2:AH$1082,COLUMN(Beräkningshjälp!AH$2)-COLUMN(Beräkningshjälp!AC$2)+1,FALSE),"")</f>
        <v/>
      </c>
      <c r="I11" s="116" t="str">
        <f>IF(D11&lt;&gt;"",VLOOKUP(ROW(E10),Beräkningshjälp!AC$2:AI$1082,COLUMN(Beräkningshjälp!AI$2)-COLUMN(Beräkningshjälp!AC$2)+1,FALSE),"")</f>
        <v/>
      </c>
      <c r="M11" s="136"/>
    </row>
    <row r="12" spans="1:13" x14ac:dyDescent="0.25">
      <c r="A12" s="2" t="str">
        <f t="shared" si="0"/>
        <v/>
      </c>
      <c r="B12" s="136" t="str">
        <f>IF(D12&lt;&gt;"",'DATA TILL SLU'!$J$3,"")</f>
        <v/>
      </c>
      <c r="C12" s="146" t="str">
        <f>IF(D12&lt;&gt;"",'DATA TILL SLU'!$K$3,"")</f>
        <v/>
      </c>
      <c r="D12" s="2" t="str">
        <f>IF('DATA TILL SLU'!$D$7*1&lt;&gt;"",IF(COUNT(Beräkningshjälp!$AC$3:$AC$1082)&gt;=ROW(D11),'DATA TILL SLU'!$D$7*1,""),"")</f>
        <v/>
      </c>
      <c r="E12" s="136" t="str">
        <f>IF(D12&lt;&gt;"",VLOOKUP(ROW(E11),Beräkningshjälp!AC$2:AH$1082,COLUMN(Beräkningshjälp!AF$2)-COLUMN(Beräkningshjälp!AC$2)+1,FALSE),"")</f>
        <v/>
      </c>
      <c r="F12" s="352" t="str">
        <f t="shared" si="1"/>
        <v/>
      </c>
      <c r="G12" s="2" t="str">
        <f>IF(D12&lt;&gt;"",IF(VLOOKUP(VLOOKUP(E12,Beräkningshjälp!O$2:U$60,7,FALSE),Artuppgifter!$I$11:$P$22,8,FALSE)=TRUE,"Medelvikter!!","ALLA"),"")</f>
        <v/>
      </c>
      <c r="H12" s="2" t="str">
        <f>IF(D12&lt;&gt;"",VLOOKUP(ROW(H11),Beräkningshjälp!AC$2:AH$1082,COLUMN(Beräkningshjälp!AH$2)-COLUMN(Beräkningshjälp!AC$2)+1,FALSE),"")</f>
        <v/>
      </c>
      <c r="I12" s="116" t="str">
        <f>IF(D12&lt;&gt;"",VLOOKUP(ROW(E11),Beräkningshjälp!AC$2:AI$1082,COLUMN(Beräkningshjälp!AI$2)-COLUMN(Beräkningshjälp!AC$2)+1,FALSE),"")</f>
        <v/>
      </c>
    </row>
    <row r="13" spans="1:13" x14ac:dyDescent="0.25">
      <c r="A13" s="2" t="str">
        <f t="shared" si="0"/>
        <v/>
      </c>
      <c r="B13" s="136" t="str">
        <f>IF(D13&lt;&gt;"",'DATA TILL SLU'!$J$3,"")</f>
        <v/>
      </c>
      <c r="C13" s="146" t="str">
        <f>IF(D13&lt;&gt;"",'DATA TILL SLU'!$K$3,"")</f>
        <v/>
      </c>
      <c r="D13" s="2" t="str">
        <f>IF('DATA TILL SLU'!$D$7*1&lt;&gt;"",IF(COUNT(Beräkningshjälp!$AC$3:$AC$1082)&gt;=ROW(D12),'DATA TILL SLU'!$D$7*1,""),"")</f>
        <v/>
      </c>
      <c r="E13" s="136" t="str">
        <f>IF(D13&lt;&gt;"",VLOOKUP(ROW(E12),Beräkningshjälp!AC$2:AH$1082,COLUMN(Beräkningshjälp!AF$2)-COLUMN(Beräkningshjälp!AC$2)+1,FALSE),"")</f>
        <v/>
      </c>
      <c r="F13" s="352" t="str">
        <f t="shared" si="1"/>
        <v/>
      </c>
      <c r="G13" s="2" t="str">
        <f>IF(D13&lt;&gt;"",IF(VLOOKUP(VLOOKUP(E13,Beräkningshjälp!O$2:U$60,7,FALSE),Artuppgifter!$I$11:$P$22,8,FALSE)=TRUE,"Medelvikter!!","ALLA"),"")</f>
        <v/>
      </c>
      <c r="H13" s="2" t="str">
        <f>IF(D13&lt;&gt;"",VLOOKUP(ROW(H12),Beräkningshjälp!AC$2:AH$1082,COLUMN(Beräkningshjälp!AH$2)-COLUMN(Beräkningshjälp!AC$2)+1,FALSE),"")</f>
        <v/>
      </c>
      <c r="I13" s="116" t="str">
        <f>IF(D13&lt;&gt;"",VLOOKUP(ROW(E12),Beräkningshjälp!AC$2:AI$1082,COLUMN(Beräkningshjälp!AI$2)-COLUMN(Beräkningshjälp!AC$2)+1,FALSE),"")</f>
        <v/>
      </c>
    </row>
    <row r="14" spans="1:13" x14ac:dyDescent="0.25">
      <c r="A14" s="2" t="str">
        <f t="shared" si="0"/>
        <v/>
      </c>
      <c r="B14" s="136" t="str">
        <f>IF(D14&lt;&gt;"",'DATA TILL SLU'!$J$3,"")</f>
        <v/>
      </c>
      <c r="C14" s="146" t="str">
        <f>IF(D14&lt;&gt;"",'DATA TILL SLU'!$K$3,"")</f>
        <v/>
      </c>
      <c r="D14" s="2" t="str">
        <f>IF('DATA TILL SLU'!$D$7*1&lt;&gt;"",IF(COUNT(Beräkningshjälp!$AC$3:$AC$1082)&gt;=ROW(D13),'DATA TILL SLU'!$D$7*1,""),"")</f>
        <v/>
      </c>
      <c r="E14" s="136" t="str">
        <f>IF(D14&lt;&gt;"",VLOOKUP(ROW(E13),Beräkningshjälp!AC$2:AH$1082,COLUMN(Beräkningshjälp!AF$2)-COLUMN(Beräkningshjälp!AC$2)+1,FALSE),"")</f>
        <v/>
      </c>
      <c r="F14" s="352" t="str">
        <f t="shared" si="1"/>
        <v/>
      </c>
      <c r="G14" s="2" t="str">
        <f>IF(D14&lt;&gt;"",IF(VLOOKUP(VLOOKUP(E14,Beräkningshjälp!O$2:U$60,7,FALSE),Artuppgifter!$I$11:$P$22,8,FALSE)=TRUE,"Medelvikter!!","ALLA"),"")</f>
        <v/>
      </c>
      <c r="H14" s="2" t="str">
        <f>IF(D14&lt;&gt;"",VLOOKUP(ROW(H13),Beräkningshjälp!AC$2:AH$1082,COLUMN(Beräkningshjälp!AH$2)-COLUMN(Beräkningshjälp!AC$2)+1,FALSE),"")</f>
        <v/>
      </c>
      <c r="I14" s="116" t="str">
        <f>IF(D14&lt;&gt;"",VLOOKUP(ROW(E13),Beräkningshjälp!AC$2:AI$1082,COLUMN(Beräkningshjälp!AI$2)-COLUMN(Beräkningshjälp!AC$2)+1,FALSE),"")</f>
        <v/>
      </c>
    </row>
    <row r="15" spans="1:13" x14ac:dyDescent="0.25">
      <c r="A15" s="2" t="str">
        <f t="shared" si="0"/>
        <v/>
      </c>
      <c r="B15" s="136" t="str">
        <f>IF(D15&lt;&gt;"",'DATA TILL SLU'!$J$3,"")</f>
        <v/>
      </c>
      <c r="C15" s="146" t="str">
        <f>IF(D15&lt;&gt;"",'DATA TILL SLU'!$K$3,"")</f>
        <v/>
      </c>
      <c r="D15" s="2" t="str">
        <f>IF('DATA TILL SLU'!$D$7*1&lt;&gt;"",IF(COUNT(Beräkningshjälp!$AC$3:$AC$1082)&gt;=ROW(D14),'DATA TILL SLU'!$D$7*1,""),"")</f>
        <v/>
      </c>
      <c r="E15" s="136" t="str">
        <f>IF(D15&lt;&gt;"",VLOOKUP(ROW(E14),Beräkningshjälp!AC$2:AH$1082,COLUMN(Beräkningshjälp!AF$2)-COLUMN(Beräkningshjälp!AC$2)+1,FALSE),"")</f>
        <v/>
      </c>
      <c r="F15" s="352" t="str">
        <f t="shared" si="1"/>
        <v/>
      </c>
      <c r="G15" s="2" t="str">
        <f>IF(D15&lt;&gt;"",IF(VLOOKUP(VLOOKUP(E15,Beräkningshjälp!O$2:U$60,7,FALSE),Artuppgifter!$I$11:$P$22,8,FALSE)=TRUE,"Medelvikter!!","ALLA"),"")</f>
        <v/>
      </c>
      <c r="H15" s="2" t="str">
        <f>IF(D15&lt;&gt;"",VLOOKUP(ROW(H14),Beräkningshjälp!AC$2:AH$1082,COLUMN(Beräkningshjälp!AH$2)-COLUMN(Beräkningshjälp!AC$2)+1,FALSE),"")</f>
        <v/>
      </c>
      <c r="I15" s="116" t="str">
        <f>IF(D15&lt;&gt;"",VLOOKUP(ROW(E14),Beräkningshjälp!AC$2:AI$1082,COLUMN(Beräkningshjälp!AI$2)-COLUMN(Beräkningshjälp!AC$2)+1,FALSE),"")</f>
        <v/>
      </c>
    </row>
    <row r="16" spans="1:13" x14ac:dyDescent="0.25">
      <c r="A16" s="2" t="str">
        <f t="shared" si="0"/>
        <v/>
      </c>
      <c r="B16" s="136" t="str">
        <f>IF(D16&lt;&gt;"",'DATA TILL SLU'!$J$3,"")</f>
        <v/>
      </c>
      <c r="C16" s="146" t="str">
        <f>IF(D16&lt;&gt;"",'DATA TILL SLU'!$K$3,"")</f>
        <v/>
      </c>
      <c r="D16" s="2" t="str">
        <f>IF('DATA TILL SLU'!$D$7*1&lt;&gt;"",IF(COUNT(Beräkningshjälp!$AC$3:$AC$1082)&gt;=ROW(D15),'DATA TILL SLU'!$D$7*1,""),"")</f>
        <v/>
      </c>
      <c r="E16" s="136" t="str">
        <f>IF(D16&lt;&gt;"",VLOOKUP(ROW(E15),Beräkningshjälp!AC$2:AH$1082,COLUMN(Beräkningshjälp!AF$2)-COLUMN(Beräkningshjälp!AC$2)+1,FALSE),"")</f>
        <v/>
      </c>
      <c r="F16" s="352" t="str">
        <f t="shared" si="1"/>
        <v/>
      </c>
      <c r="G16" s="2" t="str">
        <f>IF(D16&lt;&gt;"",IF(VLOOKUP(VLOOKUP(E16,Beräkningshjälp!O$2:U$60,7,FALSE),Artuppgifter!$I$11:$P$22,8,FALSE)=TRUE,"Medelvikter!!","ALLA"),"")</f>
        <v/>
      </c>
      <c r="H16" s="2" t="str">
        <f>IF(D16&lt;&gt;"",VLOOKUP(ROW(H15),Beräkningshjälp!AC$2:AH$1082,COLUMN(Beräkningshjälp!AH$2)-COLUMN(Beräkningshjälp!AC$2)+1,FALSE),"")</f>
        <v/>
      </c>
      <c r="I16" s="116" t="str">
        <f>IF(D16&lt;&gt;"",VLOOKUP(ROW(E15),Beräkningshjälp!AC$2:AI$1082,COLUMN(Beräkningshjälp!AI$2)-COLUMN(Beräkningshjälp!AC$2)+1,FALSE),"")</f>
        <v/>
      </c>
    </row>
    <row r="17" spans="1:9" x14ac:dyDescent="0.25">
      <c r="A17" s="2" t="str">
        <f t="shared" si="0"/>
        <v/>
      </c>
      <c r="B17" s="136" t="str">
        <f>IF(D17&lt;&gt;"",'DATA TILL SLU'!$J$3,"")</f>
        <v/>
      </c>
      <c r="C17" s="146" t="str">
        <f>IF(D17&lt;&gt;"",'DATA TILL SLU'!$K$3,"")</f>
        <v/>
      </c>
      <c r="D17" s="2" t="str">
        <f>IF('DATA TILL SLU'!$D$7*1&lt;&gt;"",IF(COUNT(Beräkningshjälp!$AC$3:$AC$1082)&gt;=ROW(D16),'DATA TILL SLU'!$D$7*1,""),"")</f>
        <v/>
      </c>
      <c r="E17" s="136" t="str">
        <f>IF(D17&lt;&gt;"",VLOOKUP(ROW(E16),Beräkningshjälp!AC$2:AH$1082,COLUMN(Beräkningshjälp!AF$2)-COLUMN(Beräkningshjälp!AC$2)+1,FALSE),"")</f>
        <v/>
      </c>
      <c r="F17" s="352" t="str">
        <f t="shared" si="1"/>
        <v/>
      </c>
      <c r="G17" s="2" t="str">
        <f>IF(D17&lt;&gt;"",IF(VLOOKUP(VLOOKUP(E17,Beräkningshjälp!O$2:U$60,7,FALSE),Artuppgifter!$I$11:$P$22,8,FALSE)=TRUE,"Medelvikter!!","ALLA"),"")</f>
        <v/>
      </c>
      <c r="H17" s="2" t="str">
        <f>IF(D17&lt;&gt;"",VLOOKUP(ROW(H16),Beräkningshjälp!AC$2:AH$1082,COLUMN(Beräkningshjälp!AH$2)-COLUMN(Beräkningshjälp!AC$2)+1,FALSE),"")</f>
        <v/>
      </c>
      <c r="I17" s="116" t="str">
        <f>IF(D17&lt;&gt;"",VLOOKUP(ROW(E16),Beräkningshjälp!AC$2:AI$1082,COLUMN(Beräkningshjälp!AI$2)-COLUMN(Beräkningshjälp!AC$2)+1,FALSE),"")</f>
        <v/>
      </c>
    </row>
    <row r="18" spans="1:9" x14ac:dyDescent="0.25">
      <c r="A18" s="2" t="str">
        <f t="shared" si="0"/>
        <v/>
      </c>
      <c r="B18" s="136" t="str">
        <f>IF(D18&lt;&gt;"",'DATA TILL SLU'!$J$3,"")</f>
        <v/>
      </c>
      <c r="C18" s="146" t="str">
        <f>IF(D18&lt;&gt;"",'DATA TILL SLU'!$K$3,"")</f>
        <v/>
      </c>
      <c r="D18" s="2" t="str">
        <f>IF('DATA TILL SLU'!$D$7*1&lt;&gt;"",IF(COUNT(Beräkningshjälp!$AC$3:$AC$1082)&gt;=ROW(D17),'DATA TILL SLU'!$D$7*1,""),"")</f>
        <v/>
      </c>
      <c r="E18" s="136" t="str">
        <f>IF(D18&lt;&gt;"",VLOOKUP(ROW(E17),Beräkningshjälp!AC$2:AH$1082,COLUMN(Beräkningshjälp!AF$2)-COLUMN(Beräkningshjälp!AC$2)+1,FALSE),"")</f>
        <v/>
      </c>
      <c r="F18" s="352" t="str">
        <f t="shared" si="1"/>
        <v/>
      </c>
      <c r="G18" s="2" t="str">
        <f>IF(D18&lt;&gt;"",IF(VLOOKUP(VLOOKUP(E18,Beräkningshjälp!O$2:U$60,7,FALSE),Artuppgifter!$I$11:$P$22,8,FALSE)=TRUE,"Medelvikter!!","ALLA"),"")</f>
        <v/>
      </c>
      <c r="H18" s="2" t="str">
        <f>IF(D18&lt;&gt;"",VLOOKUP(ROW(H17),Beräkningshjälp!AC$2:AH$1082,COLUMN(Beräkningshjälp!AH$2)-COLUMN(Beräkningshjälp!AC$2)+1,FALSE),"")</f>
        <v/>
      </c>
      <c r="I18" s="116" t="str">
        <f>IF(D18&lt;&gt;"",VLOOKUP(ROW(E17),Beräkningshjälp!AC$2:AI$1082,COLUMN(Beräkningshjälp!AI$2)-COLUMN(Beräkningshjälp!AC$2)+1,FALSE),"")</f>
        <v/>
      </c>
    </row>
    <row r="19" spans="1:9" x14ac:dyDescent="0.25">
      <c r="A19" s="2" t="str">
        <f t="shared" si="0"/>
        <v/>
      </c>
      <c r="B19" s="136" t="str">
        <f>IF(D19&lt;&gt;"",'DATA TILL SLU'!$J$3,"")</f>
        <v/>
      </c>
      <c r="C19" s="146" t="str">
        <f>IF(D19&lt;&gt;"",'DATA TILL SLU'!$K$3,"")</f>
        <v/>
      </c>
      <c r="D19" s="2" t="str">
        <f>IF('DATA TILL SLU'!$D$7*1&lt;&gt;"",IF(COUNT(Beräkningshjälp!$AC$3:$AC$1082)&gt;=ROW(D18),'DATA TILL SLU'!$D$7*1,""),"")</f>
        <v/>
      </c>
      <c r="E19" s="136" t="str">
        <f>IF(D19&lt;&gt;"",VLOOKUP(ROW(E18),Beräkningshjälp!AC$2:AH$1082,COLUMN(Beräkningshjälp!AF$2)-COLUMN(Beräkningshjälp!AC$2)+1,FALSE),"")</f>
        <v/>
      </c>
      <c r="F19" s="352" t="str">
        <f t="shared" si="1"/>
        <v/>
      </c>
      <c r="G19" s="2" t="str">
        <f>IF(D19&lt;&gt;"",IF(VLOOKUP(VLOOKUP(E19,Beräkningshjälp!O$2:U$60,7,FALSE),Artuppgifter!$I$11:$P$22,8,FALSE)=TRUE,"Medelvikter!!","ALLA"),"")</f>
        <v/>
      </c>
      <c r="H19" s="2" t="str">
        <f>IF(D19&lt;&gt;"",VLOOKUP(ROW(H18),Beräkningshjälp!AC$2:AH$1082,COLUMN(Beräkningshjälp!AH$2)-COLUMN(Beräkningshjälp!AC$2)+1,FALSE),"")</f>
        <v/>
      </c>
      <c r="I19" s="116" t="str">
        <f>IF(D19&lt;&gt;"",VLOOKUP(ROW(E18),Beräkningshjälp!AC$2:AI$1082,COLUMN(Beräkningshjälp!AI$2)-COLUMN(Beräkningshjälp!AC$2)+1,FALSE),"")</f>
        <v/>
      </c>
    </row>
    <row r="20" spans="1:9" x14ac:dyDescent="0.25">
      <c r="A20" s="2" t="str">
        <f t="shared" si="0"/>
        <v/>
      </c>
      <c r="B20" s="136" t="str">
        <f>IF(D20&lt;&gt;"",'DATA TILL SLU'!$J$3,"")</f>
        <v/>
      </c>
      <c r="C20" s="146" t="str">
        <f>IF(D20&lt;&gt;"",'DATA TILL SLU'!$K$3,"")</f>
        <v/>
      </c>
      <c r="D20" s="2" t="str">
        <f>IF('DATA TILL SLU'!$D$7*1&lt;&gt;"",IF(COUNT(Beräkningshjälp!$AC$3:$AC$1082)&gt;=ROW(D19),'DATA TILL SLU'!$D$7*1,""),"")</f>
        <v/>
      </c>
      <c r="E20" s="136" t="str">
        <f>IF(D20&lt;&gt;"",VLOOKUP(ROW(E19),Beräkningshjälp!AC$2:AH$1082,COLUMN(Beräkningshjälp!AF$2)-COLUMN(Beräkningshjälp!AC$2)+1,FALSE),"")</f>
        <v/>
      </c>
      <c r="F20" s="352" t="str">
        <f t="shared" si="1"/>
        <v/>
      </c>
      <c r="G20" s="2" t="str">
        <f>IF(D20&lt;&gt;"",IF(VLOOKUP(VLOOKUP(E20,Beräkningshjälp!O$2:U$60,7,FALSE),Artuppgifter!$I$11:$P$22,8,FALSE)=TRUE,"Medelvikter!!","ALLA"),"")</f>
        <v/>
      </c>
      <c r="H20" s="2" t="str">
        <f>IF(D20&lt;&gt;"",VLOOKUP(ROW(H19),Beräkningshjälp!AC$2:AH$1082,COLUMN(Beräkningshjälp!AH$2)-COLUMN(Beräkningshjälp!AC$2)+1,FALSE),"")</f>
        <v/>
      </c>
      <c r="I20" s="116" t="str">
        <f>IF(D20&lt;&gt;"",VLOOKUP(ROW(E19),Beräkningshjälp!AC$2:AI$1082,COLUMN(Beräkningshjälp!AI$2)-COLUMN(Beräkningshjälp!AC$2)+1,FALSE),"")</f>
        <v/>
      </c>
    </row>
    <row r="21" spans="1:9" x14ac:dyDescent="0.25">
      <c r="A21" s="2" t="str">
        <f t="shared" si="0"/>
        <v/>
      </c>
      <c r="B21" s="136" t="str">
        <f>IF(D21&lt;&gt;"",'DATA TILL SLU'!$J$3,"")</f>
        <v/>
      </c>
      <c r="C21" s="146" t="str">
        <f>IF(D21&lt;&gt;"",'DATA TILL SLU'!$K$3,"")</f>
        <v/>
      </c>
      <c r="D21" s="2" t="str">
        <f>IF('DATA TILL SLU'!$D$7*1&lt;&gt;"",IF(COUNT(Beräkningshjälp!$AC$3:$AC$1082)&gt;=ROW(D20),'DATA TILL SLU'!$D$7*1,""),"")</f>
        <v/>
      </c>
      <c r="E21" s="136" t="str">
        <f>IF(D21&lt;&gt;"",VLOOKUP(ROW(E20),Beräkningshjälp!AC$2:AH$1082,COLUMN(Beräkningshjälp!AF$2)-COLUMN(Beräkningshjälp!AC$2)+1,FALSE),"")</f>
        <v/>
      </c>
      <c r="F21" s="352" t="str">
        <f t="shared" si="1"/>
        <v/>
      </c>
      <c r="G21" s="2" t="str">
        <f>IF(D21&lt;&gt;"",IF(VLOOKUP(VLOOKUP(E21,Beräkningshjälp!O$2:U$60,7,FALSE),Artuppgifter!$I$11:$P$22,8,FALSE)=TRUE,"Medelvikter!!","ALLA"),"")</f>
        <v/>
      </c>
      <c r="H21" s="2" t="str">
        <f>IF(D21&lt;&gt;"",VLOOKUP(ROW(H20),Beräkningshjälp!AC$2:AH$1082,COLUMN(Beräkningshjälp!AH$2)-COLUMN(Beräkningshjälp!AC$2)+1,FALSE),"")</f>
        <v/>
      </c>
      <c r="I21" s="116" t="str">
        <f>IF(D21&lt;&gt;"",VLOOKUP(ROW(E20),Beräkningshjälp!AC$2:AI$1082,COLUMN(Beräkningshjälp!AI$2)-COLUMN(Beräkningshjälp!AC$2)+1,FALSE),"")</f>
        <v/>
      </c>
    </row>
    <row r="22" spans="1:9" x14ac:dyDescent="0.25">
      <c r="A22" s="2" t="str">
        <f t="shared" si="0"/>
        <v/>
      </c>
      <c r="B22" s="136" t="str">
        <f>IF(D22&lt;&gt;"",'DATA TILL SLU'!$J$3,"")</f>
        <v/>
      </c>
      <c r="C22" s="146" t="str">
        <f>IF(D22&lt;&gt;"",'DATA TILL SLU'!$K$3,"")</f>
        <v/>
      </c>
      <c r="D22" s="2" t="str">
        <f>IF('DATA TILL SLU'!$D$7*1&lt;&gt;"",IF(COUNT(Beräkningshjälp!$AC$3:$AC$1082)&gt;=ROW(D21),'DATA TILL SLU'!$D$7*1,""),"")</f>
        <v/>
      </c>
      <c r="E22" s="136" t="str">
        <f>IF(D22&lt;&gt;"",VLOOKUP(ROW(E21),Beräkningshjälp!AC$2:AH$1082,COLUMN(Beräkningshjälp!AF$2)-COLUMN(Beräkningshjälp!AC$2)+1,FALSE),"")</f>
        <v/>
      </c>
      <c r="F22" s="352" t="str">
        <f t="shared" si="1"/>
        <v/>
      </c>
      <c r="G22" s="2" t="str">
        <f>IF(D22&lt;&gt;"",IF(VLOOKUP(VLOOKUP(E22,Beräkningshjälp!O$2:U$60,7,FALSE),Artuppgifter!$I$11:$P$22,8,FALSE)=TRUE,"Medelvikter!!","ALLA"),"")</f>
        <v/>
      </c>
      <c r="H22" s="2" t="str">
        <f>IF(D22&lt;&gt;"",VLOOKUP(ROW(H21),Beräkningshjälp!AC$2:AH$1082,COLUMN(Beräkningshjälp!AH$2)-COLUMN(Beräkningshjälp!AC$2)+1,FALSE),"")</f>
        <v/>
      </c>
      <c r="I22" s="116" t="str">
        <f>IF(D22&lt;&gt;"",VLOOKUP(ROW(E21),Beräkningshjälp!AC$2:AI$1082,COLUMN(Beräkningshjälp!AI$2)-COLUMN(Beräkningshjälp!AC$2)+1,FALSE),"")</f>
        <v/>
      </c>
    </row>
    <row r="23" spans="1:9" x14ac:dyDescent="0.25">
      <c r="A23" s="2" t="str">
        <f t="shared" si="0"/>
        <v/>
      </c>
      <c r="B23" s="136" t="str">
        <f>IF(D23&lt;&gt;"",'DATA TILL SLU'!$J$3,"")</f>
        <v/>
      </c>
      <c r="C23" s="146" t="str">
        <f>IF(D23&lt;&gt;"",'DATA TILL SLU'!$K$3,"")</f>
        <v/>
      </c>
      <c r="D23" s="2" t="str">
        <f>IF('DATA TILL SLU'!$D$7*1&lt;&gt;"",IF(COUNT(Beräkningshjälp!$AC$3:$AC$1082)&gt;=ROW(D22),'DATA TILL SLU'!$D$7*1,""),"")</f>
        <v/>
      </c>
      <c r="E23" s="136" t="str">
        <f>IF(D23&lt;&gt;"",VLOOKUP(ROW(E22),Beräkningshjälp!AC$2:AH$1082,COLUMN(Beräkningshjälp!AF$2)-COLUMN(Beräkningshjälp!AC$2)+1,FALSE),"")</f>
        <v/>
      </c>
      <c r="F23" s="352" t="str">
        <f t="shared" si="1"/>
        <v/>
      </c>
      <c r="G23" s="2" t="str">
        <f>IF(D23&lt;&gt;"",IF(VLOOKUP(VLOOKUP(E23,Beräkningshjälp!O$2:U$60,7,FALSE),Artuppgifter!$I$11:$P$22,8,FALSE)=TRUE,"Medelvikter!!","ALLA"),"")</f>
        <v/>
      </c>
      <c r="H23" s="2" t="str">
        <f>IF(D23&lt;&gt;"",VLOOKUP(ROW(H22),Beräkningshjälp!AC$2:AH$1082,COLUMN(Beräkningshjälp!AH$2)-COLUMN(Beräkningshjälp!AC$2)+1,FALSE),"")</f>
        <v/>
      </c>
      <c r="I23" s="116" t="str">
        <f>IF(D23&lt;&gt;"",VLOOKUP(ROW(E22),Beräkningshjälp!AC$2:AI$1082,COLUMN(Beräkningshjälp!AI$2)-COLUMN(Beräkningshjälp!AC$2)+1,FALSE),"")</f>
        <v/>
      </c>
    </row>
    <row r="24" spans="1:9" x14ac:dyDescent="0.25">
      <c r="A24" s="2" t="str">
        <f t="shared" si="0"/>
        <v/>
      </c>
      <c r="B24" s="136" t="str">
        <f>IF(D24&lt;&gt;"",'DATA TILL SLU'!$J$3,"")</f>
        <v/>
      </c>
      <c r="C24" s="146" t="str">
        <f>IF(D24&lt;&gt;"",'DATA TILL SLU'!$K$3,"")</f>
        <v/>
      </c>
      <c r="D24" s="2" t="str">
        <f>IF('DATA TILL SLU'!$D$7*1&lt;&gt;"",IF(COUNT(Beräkningshjälp!$AC$3:$AC$1082)&gt;=ROW(D23),'DATA TILL SLU'!$D$7*1,""),"")</f>
        <v/>
      </c>
      <c r="E24" s="136" t="str">
        <f>IF(D24&lt;&gt;"",VLOOKUP(ROW(E23),Beräkningshjälp!AC$2:AH$1082,COLUMN(Beräkningshjälp!AF$2)-COLUMN(Beräkningshjälp!AC$2)+1,FALSE),"")</f>
        <v/>
      </c>
      <c r="F24" s="352" t="str">
        <f t="shared" si="1"/>
        <v/>
      </c>
      <c r="G24" s="2" t="str">
        <f>IF(D24&lt;&gt;"",IF(VLOOKUP(VLOOKUP(E24,Beräkningshjälp!O$2:U$60,7,FALSE),Artuppgifter!$I$11:$P$22,8,FALSE)=TRUE,"Medelvikter!!","ALLA"),"")</f>
        <v/>
      </c>
      <c r="H24" s="2" t="str">
        <f>IF(D24&lt;&gt;"",VLOOKUP(ROW(H23),Beräkningshjälp!AC$2:AH$1082,COLUMN(Beräkningshjälp!AH$2)-COLUMN(Beräkningshjälp!AC$2)+1,FALSE),"")</f>
        <v/>
      </c>
      <c r="I24" s="116" t="str">
        <f>IF(D24&lt;&gt;"",VLOOKUP(ROW(E23),Beräkningshjälp!AC$2:AI$1082,COLUMN(Beräkningshjälp!AI$2)-COLUMN(Beräkningshjälp!AC$2)+1,FALSE),"")</f>
        <v/>
      </c>
    </row>
    <row r="25" spans="1:9" x14ac:dyDescent="0.25">
      <c r="A25" s="2" t="str">
        <f t="shared" si="0"/>
        <v/>
      </c>
      <c r="B25" s="136" t="str">
        <f>IF(D25&lt;&gt;"",'DATA TILL SLU'!$J$3,"")</f>
        <v/>
      </c>
      <c r="C25" s="146" t="str">
        <f>IF(D25&lt;&gt;"",'DATA TILL SLU'!$K$3,"")</f>
        <v/>
      </c>
      <c r="D25" s="2" t="str">
        <f>IF('DATA TILL SLU'!$D$7*1&lt;&gt;"",IF(COUNT(Beräkningshjälp!$AC$3:$AC$1082)&gt;=ROW(D24),'DATA TILL SLU'!$D$7*1,""),"")</f>
        <v/>
      </c>
      <c r="E25" s="136" t="str">
        <f>IF(D25&lt;&gt;"",VLOOKUP(ROW(E24),Beräkningshjälp!AC$2:AH$1082,COLUMN(Beräkningshjälp!AF$2)-COLUMN(Beräkningshjälp!AC$2)+1,FALSE),"")</f>
        <v/>
      </c>
      <c r="F25" s="352" t="str">
        <f t="shared" si="1"/>
        <v/>
      </c>
      <c r="G25" s="2" t="str">
        <f>IF(D25&lt;&gt;"",IF(VLOOKUP(VLOOKUP(E25,Beräkningshjälp!O$2:U$60,7,FALSE),Artuppgifter!$I$11:$P$22,8,FALSE)=TRUE,"Medelvikter!!","ALLA"),"")</f>
        <v/>
      </c>
      <c r="H25" s="2" t="str">
        <f>IF(D25&lt;&gt;"",VLOOKUP(ROW(H24),Beräkningshjälp!AC$2:AH$1082,COLUMN(Beräkningshjälp!AH$2)-COLUMN(Beräkningshjälp!AC$2)+1,FALSE),"")</f>
        <v/>
      </c>
      <c r="I25" s="116" t="str">
        <f>IF(D25&lt;&gt;"",VLOOKUP(ROW(E24),Beräkningshjälp!AC$2:AI$1082,COLUMN(Beräkningshjälp!AI$2)-COLUMN(Beräkningshjälp!AC$2)+1,FALSE),"")</f>
        <v/>
      </c>
    </row>
    <row r="26" spans="1:9" x14ac:dyDescent="0.25">
      <c r="A26" s="2" t="str">
        <f t="shared" si="0"/>
        <v/>
      </c>
      <c r="B26" s="136" t="str">
        <f>IF(D26&lt;&gt;"",'DATA TILL SLU'!$J$3,"")</f>
        <v/>
      </c>
      <c r="C26" s="146" t="str">
        <f>IF(D26&lt;&gt;"",'DATA TILL SLU'!$K$3,"")</f>
        <v/>
      </c>
      <c r="D26" s="2" t="str">
        <f>IF('DATA TILL SLU'!$D$7*1&lt;&gt;"",IF(COUNT(Beräkningshjälp!$AC$3:$AC$1082)&gt;=ROW(D25),'DATA TILL SLU'!$D$7*1,""),"")</f>
        <v/>
      </c>
      <c r="E26" s="136" t="str">
        <f>IF(D26&lt;&gt;"",VLOOKUP(ROW(E25),Beräkningshjälp!AC$2:AH$1082,COLUMN(Beräkningshjälp!AF$2)-COLUMN(Beräkningshjälp!AC$2)+1,FALSE),"")</f>
        <v/>
      </c>
      <c r="F26" s="352" t="str">
        <f t="shared" si="1"/>
        <v/>
      </c>
      <c r="G26" s="2" t="str">
        <f>IF(D26&lt;&gt;"",IF(VLOOKUP(VLOOKUP(E26,Beräkningshjälp!O$2:U$60,7,FALSE),Artuppgifter!$I$11:$P$22,8,FALSE)=TRUE,"Medelvikter!!","ALLA"),"")</f>
        <v/>
      </c>
      <c r="H26" s="2" t="str">
        <f>IF(D26&lt;&gt;"",VLOOKUP(ROW(H25),Beräkningshjälp!AC$2:AH$1082,COLUMN(Beräkningshjälp!AH$2)-COLUMN(Beräkningshjälp!AC$2)+1,FALSE),"")</f>
        <v/>
      </c>
      <c r="I26" s="116" t="str">
        <f>IF(D26&lt;&gt;"",VLOOKUP(ROW(E25),Beräkningshjälp!AC$2:AI$1082,COLUMN(Beräkningshjälp!AI$2)-COLUMN(Beräkningshjälp!AC$2)+1,FALSE),"")</f>
        <v/>
      </c>
    </row>
    <row r="27" spans="1:9" x14ac:dyDescent="0.25">
      <c r="A27" s="2" t="str">
        <f t="shared" si="0"/>
        <v/>
      </c>
      <c r="B27" s="136" t="str">
        <f>IF(D27&lt;&gt;"",'DATA TILL SLU'!$J$3,"")</f>
        <v/>
      </c>
      <c r="C27" s="146" t="str">
        <f>IF(D27&lt;&gt;"",'DATA TILL SLU'!$K$3,"")</f>
        <v/>
      </c>
      <c r="D27" s="2" t="str">
        <f>IF('DATA TILL SLU'!$D$7*1&lt;&gt;"",IF(COUNT(Beräkningshjälp!$AC$3:$AC$1082)&gt;=ROW(D26),'DATA TILL SLU'!$D$7*1,""),"")</f>
        <v/>
      </c>
      <c r="E27" s="136" t="str">
        <f>IF(D27&lt;&gt;"",VLOOKUP(ROW(E26),Beräkningshjälp!AC$2:AH$1082,COLUMN(Beräkningshjälp!AF$2)-COLUMN(Beräkningshjälp!AC$2)+1,FALSE),"")</f>
        <v/>
      </c>
      <c r="F27" s="352" t="str">
        <f t="shared" si="1"/>
        <v/>
      </c>
      <c r="G27" s="2" t="str">
        <f>IF(D27&lt;&gt;"",IF(VLOOKUP(VLOOKUP(E27,Beräkningshjälp!O$2:U$60,7,FALSE),Artuppgifter!$I$11:$P$22,8,FALSE)=TRUE,"Medelvikter!!","ALLA"),"")</f>
        <v/>
      </c>
      <c r="H27" s="2" t="str">
        <f>IF(D27&lt;&gt;"",VLOOKUP(ROW(H26),Beräkningshjälp!AC$2:AH$1082,COLUMN(Beräkningshjälp!AH$2)-COLUMN(Beräkningshjälp!AC$2)+1,FALSE),"")</f>
        <v/>
      </c>
      <c r="I27" s="116" t="str">
        <f>IF(D27&lt;&gt;"",VLOOKUP(ROW(E26),Beräkningshjälp!AC$2:AI$1082,COLUMN(Beräkningshjälp!AI$2)-COLUMN(Beräkningshjälp!AC$2)+1,FALSE),"")</f>
        <v/>
      </c>
    </row>
    <row r="28" spans="1:9" x14ac:dyDescent="0.25">
      <c r="A28" s="2" t="str">
        <f t="shared" si="0"/>
        <v/>
      </c>
      <c r="B28" s="136" t="str">
        <f>IF(D28&lt;&gt;"",'DATA TILL SLU'!$J$3,"")</f>
        <v/>
      </c>
      <c r="C28" s="146" t="str">
        <f>IF(D28&lt;&gt;"",'DATA TILL SLU'!$K$3,"")</f>
        <v/>
      </c>
      <c r="D28" s="2" t="str">
        <f>IF('DATA TILL SLU'!$D$7*1&lt;&gt;"",IF(COUNT(Beräkningshjälp!$AC$3:$AC$1082)&gt;=ROW(D27),'DATA TILL SLU'!$D$7*1,""),"")</f>
        <v/>
      </c>
      <c r="E28" s="136" t="str">
        <f>IF(D28&lt;&gt;"",VLOOKUP(ROW(E27),Beräkningshjälp!AC$2:AH$1082,COLUMN(Beräkningshjälp!AF$2)-COLUMN(Beräkningshjälp!AC$2)+1,FALSE),"")</f>
        <v/>
      </c>
      <c r="F28" s="352" t="str">
        <f t="shared" si="1"/>
        <v/>
      </c>
      <c r="G28" s="2" t="str">
        <f>IF(D28&lt;&gt;"",IF(VLOOKUP(VLOOKUP(E28,Beräkningshjälp!O$2:U$60,7,FALSE),Artuppgifter!$I$11:$P$22,8,FALSE)=TRUE,"Medelvikter!!","ALLA"),"")</f>
        <v/>
      </c>
      <c r="H28" s="2" t="str">
        <f>IF(D28&lt;&gt;"",VLOOKUP(ROW(H27),Beräkningshjälp!AC$2:AH$1082,COLUMN(Beräkningshjälp!AH$2)-COLUMN(Beräkningshjälp!AC$2)+1,FALSE),"")</f>
        <v/>
      </c>
      <c r="I28" s="116" t="str">
        <f>IF(D28&lt;&gt;"",VLOOKUP(ROW(E27),Beräkningshjälp!AC$2:AI$1082,COLUMN(Beräkningshjälp!AI$2)-COLUMN(Beräkningshjälp!AC$2)+1,FALSE),"")</f>
        <v/>
      </c>
    </row>
    <row r="29" spans="1:9" x14ac:dyDescent="0.25">
      <c r="A29" s="2" t="str">
        <f t="shared" si="0"/>
        <v/>
      </c>
      <c r="B29" s="136" t="str">
        <f>IF(D29&lt;&gt;"",'DATA TILL SLU'!$J$3,"")</f>
        <v/>
      </c>
      <c r="C29" s="146" t="str">
        <f>IF(D29&lt;&gt;"",'DATA TILL SLU'!$K$3,"")</f>
        <v/>
      </c>
      <c r="D29" s="2" t="str">
        <f>IF('DATA TILL SLU'!$D$7*1&lt;&gt;"",IF(COUNT(Beräkningshjälp!$AC$3:$AC$1082)&gt;=ROW(D28),'DATA TILL SLU'!$D$7*1,""),"")</f>
        <v/>
      </c>
      <c r="E29" s="136" t="str">
        <f>IF(D29&lt;&gt;"",VLOOKUP(ROW(E28),Beräkningshjälp!AC$2:AH$1082,COLUMN(Beräkningshjälp!AF$2)-COLUMN(Beräkningshjälp!AC$2)+1,FALSE),"")</f>
        <v/>
      </c>
      <c r="F29" s="352" t="str">
        <f t="shared" si="1"/>
        <v/>
      </c>
      <c r="G29" s="2" t="str">
        <f>IF(D29&lt;&gt;"",IF(VLOOKUP(VLOOKUP(E29,Beräkningshjälp!O$2:U$60,7,FALSE),Artuppgifter!$I$11:$P$22,8,FALSE)=TRUE,"Medelvikter!!","ALLA"),"")</f>
        <v/>
      </c>
      <c r="H29" s="2" t="str">
        <f>IF(D29&lt;&gt;"",VLOOKUP(ROW(H28),Beräkningshjälp!AC$2:AH$1082,COLUMN(Beräkningshjälp!AH$2)-COLUMN(Beräkningshjälp!AC$2)+1,FALSE),"")</f>
        <v/>
      </c>
      <c r="I29" s="116" t="str">
        <f>IF(D29&lt;&gt;"",VLOOKUP(ROW(E28),Beräkningshjälp!AC$2:AI$1082,COLUMN(Beräkningshjälp!AI$2)-COLUMN(Beräkningshjälp!AC$2)+1,FALSE),"")</f>
        <v/>
      </c>
    </row>
    <row r="30" spans="1:9" x14ac:dyDescent="0.25">
      <c r="A30" s="2" t="str">
        <f t="shared" si="0"/>
        <v/>
      </c>
      <c r="B30" s="136" t="str">
        <f>IF(D30&lt;&gt;"",'DATA TILL SLU'!$J$3,"")</f>
        <v/>
      </c>
      <c r="C30" s="146" t="str">
        <f>IF(D30&lt;&gt;"",'DATA TILL SLU'!$K$3,"")</f>
        <v/>
      </c>
      <c r="D30" s="2" t="str">
        <f>IF('DATA TILL SLU'!$D$7*1&lt;&gt;"",IF(COUNT(Beräkningshjälp!$AC$3:$AC$1082)&gt;=ROW(D29),'DATA TILL SLU'!$D$7*1,""),"")</f>
        <v/>
      </c>
      <c r="E30" s="136" t="str">
        <f>IF(D30&lt;&gt;"",VLOOKUP(ROW(E29),Beräkningshjälp!AC$2:AH$1082,COLUMN(Beräkningshjälp!AF$2)-COLUMN(Beräkningshjälp!AC$2)+1,FALSE),"")</f>
        <v/>
      </c>
      <c r="F30" s="352" t="str">
        <f t="shared" si="1"/>
        <v/>
      </c>
      <c r="G30" s="2" t="str">
        <f>IF(D30&lt;&gt;"",IF(VLOOKUP(VLOOKUP(E30,Beräkningshjälp!O$2:U$60,7,FALSE),Artuppgifter!$I$11:$P$22,8,FALSE)=TRUE,"Medelvikter!!","ALLA"),"")</f>
        <v/>
      </c>
      <c r="H30" s="2" t="str">
        <f>IF(D30&lt;&gt;"",VLOOKUP(ROW(H29),Beräkningshjälp!AC$2:AH$1082,COLUMN(Beräkningshjälp!AH$2)-COLUMN(Beräkningshjälp!AC$2)+1,FALSE),"")</f>
        <v/>
      </c>
      <c r="I30" s="116" t="str">
        <f>IF(D30&lt;&gt;"",VLOOKUP(ROW(E29),Beräkningshjälp!AC$2:AI$1082,COLUMN(Beräkningshjälp!AI$2)-COLUMN(Beräkningshjälp!AC$2)+1,FALSE),"")</f>
        <v/>
      </c>
    </row>
    <row r="31" spans="1:9" x14ac:dyDescent="0.25">
      <c r="A31" s="2" t="str">
        <f t="shared" si="0"/>
        <v/>
      </c>
      <c r="B31" s="136" t="str">
        <f>IF(D31&lt;&gt;"",'DATA TILL SLU'!$J$3,"")</f>
        <v/>
      </c>
      <c r="C31" s="146" t="str">
        <f>IF(D31&lt;&gt;"",'DATA TILL SLU'!$K$3,"")</f>
        <v/>
      </c>
      <c r="D31" s="2" t="str">
        <f>IF('DATA TILL SLU'!$D$7*1&lt;&gt;"",IF(COUNT(Beräkningshjälp!$AC$3:$AC$1082)&gt;=ROW(D30),'DATA TILL SLU'!$D$7*1,""),"")</f>
        <v/>
      </c>
      <c r="E31" s="136" t="str">
        <f>IF(D31&lt;&gt;"",VLOOKUP(ROW(E30),Beräkningshjälp!AC$2:AH$1082,COLUMN(Beräkningshjälp!AF$2)-COLUMN(Beräkningshjälp!AC$2)+1,FALSE),"")</f>
        <v/>
      </c>
      <c r="F31" s="352" t="str">
        <f t="shared" si="1"/>
        <v/>
      </c>
      <c r="G31" s="2" t="str">
        <f>IF(D31&lt;&gt;"",IF(VLOOKUP(VLOOKUP(E31,Beräkningshjälp!O$2:U$60,7,FALSE),Artuppgifter!$I$11:$P$22,8,FALSE)=TRUE,"Medelvikter!!","ALLA"),"")</f>
        <v/>
      </c>
      <c r="H31" s="2" t="str">
        <f>IF(D31&lt;&gt;"",VLOOKUP(ROW(H30),Beräkningshjälp!AC$2:AH$1082,COLUMN(Beräkningshjälp!AH$2)-COLUMN(Beräkningshjälp!AC$2)+1,FALSE),"")</f>
        <v/>
      </c>
      <c r="I31" s="116" t="str">
        <f>IF(D31&lt;&gt;"",VLOOKUP(ROW(E30),Beräkningshjälp!AC$2:AI$1082,COLUMN(Beräkningshjälp!AI$2)-COLUMN(Beräkningshjälp!AC$2)+1,FALSE),"")</f>
        <v/>
      </c>
    </row>
    <row r="32" spans="1:9" x14ac:dyDescent="0.25">
      <c r="A32" s="2" t="str">
        <f t="shared" si="0"/>
        <v/>
      </c>
      <c r="B32" s="136" t="str">
        <f>IF(D32&lt;&gt;"",'DATA TILL SLU'!$J$3,"")</f>
        <v/>
      </c>
      <c r="C32" s="146" t="str">
        <f>IF(D32&lt;&gt;"",'DATA TILL SLU'!$K$3,"")</f>
        <v/>
      </c>
      <c r="D32" s="2" t="str">
        <f>IF('DATA TILL SLU'!$D$7*1&lt;&gt;"",IF(COUNT(Beräkningshjälp!$AC$3:$AC$1082)&gt;=ROW(D31),'DATA TILL SLU'!$D$7*1,""),"")</f>
        <v/>
      </c>
      <c r="E32" s="136" t="str">
        <f>IF(D32&lt;&gt;"",VLOOKUP(ROW(E31),Beräkningshjälp!AC$2:AH$1082,COLUMN(Beräkningshjälp!AF$2)-COLUMN(Beräkningshjälp!AC$2)+1,FALSE),"")</f>
        <v/>
      </c>
      <c r="F32" s="352" t="str">
        <f t="shared" si="1"/>
        <v/>
      </c>
      <c r="G32" s="2" t="str">
        <f>IF(D32&lt;&gt;"",IF(VLOOKUP(VLOOKUP(E32,Beräkningshjälp!O$2:U$60,7,FALSE),Artuppgifter!$I$11:$P$22,8,FALSE)=TRUE,"Medelvikter!!","ALLA"),"")</f>
        <v/>
      </c>
      <c r="H32" s="2" t="str">
        <f>IF(D32&lt;&gt;"",VLOOKUP(ROW(H31),Beräkningshjälp!AC$2:AH$1082,COLUMN(Beräkningshjälp!AH$2)-COLUMN(Beräkningshjälp!AC$2)+1,FALSE),"")</f>
        <v/>
      </c>
      <c r="I32" s="116" t="str">
        <f>IF(D32&lt;&gt;"",VLOOKUP(ROW(E31),Beräkningshjälp!AC$2:AI$1082,COLUMN(Beräkningshjälp!AI$2)-COLUMN(Beräkningshjälp!AC$2)+1,FALSE),"")</f>
        <v/>
      </c>
    </row>
    <row r="33" spans="1:9" x14ac:dyDescent="0.25">
      <c r="A33" s="2" t="str">
        <f t="shared" si="0"/>
        <v/>
      </c>
      <c r="B33" s="136" t="str">
        <f>IF(D33&lt;&gt;"",'DATA TILL SLU'!$J$3,"")</f>
        <v/>
      </c>
      <c r="C33" s="146" t="str">
        <f>IF(D33&lt;&gt;"",'DATA TILL SLU'!$K$3,"")</f>
        <v/>
      </c>
      <c r="D33" s="2" t="str">
        <f>IF('DATA TILL SLU'!$D$7*1&lt;&gt;"",IF(COUNT(Beräkningshjälp!$AC$3:$AC$1082)&gt;=ROW(D32),'DATA TILL SLU'!$D$7*1,""),"")</f>
        <v/>
      </c>
      <c r="E33" s="136" t="str">
        <f>IF(D33&lt;&gt;"",VLOOKUP(ROW(E32),Beräkningshjälp!AC$2:AH$1082,COLUMN(Beräkningshjälp!AF$2)-COLUMN(Beräkningshjälp!AC$2)+1,FALSE),"")</f>
        <v/>
      </c>
      <c r="F33" s="352" t="str">
        <f t="shared" si="1"/>
        <v/>
      </c>
      <c r="G33" s="2" t="str">
        <f>IF(D33&lt;&gt;"",IF(VLOOKUP(VLOOKUP(E33,Beräkningshjälp!O$2:U$60,7,FALSE),Artuppgifter!$I$11:$P$22,8,FALSE)=TRUE,"Medelvikter!!","ALLA"),"")</f>
        <v/>
      </c>
      <c r="H33" s="2" t="str">
        <f>IF(D33&lt;&gt;"",VLOOKUP(ROW(H32),Beräkningshjälp!AC$2:AH$1082,COLUMN(Beräkningshjälp!AH$2)-COLUMN(Beräkningshjälp!AC$2)+1,FALSE),"")</f>
        <v/>
      </c>
      <c r="I33" s="116" t="str">
        <f>IF(D33&lt;&gt;"",VLOOKUP(ROW(E32),Beräkningshjälp!AC$2:AI$1082,COLUMN(Beräkningshjälp!AI$2)-COLUMN(Beräkningshjälp!AC$2)+1,FALSE),"")</f>
        <v/>
      </c>
    </row>
    <row r="34" spans="1:9" x14ac:dyDescent="0.25">
      <c r="A34" s="2" t="str">
        <f t="shared" si="0"/>
        <v/>
      </c>
      <c r="B34" s="136" t="str">
        <f>IF(D34&lt;&gt;"",'DATA TILL SLU'!$J$3,"")</f>
        <v/>
      </c>
      <c r="C34" s="146" t="str">
        <f>IF(D34&lt;&gt;"",'DATA TILL SLU'!$K$3,"")</f>
        <v/>
      </c>
      <c r="D34" s="2" t="str">
        <f>IF('DATA TILL SLU'!$D$7*1&lt;&gt;"",IF(COUNT(Beräkningshjälp!$AC$3:$AC$1082)&gt;=ROW(D33),'DATA TILL SLU'!$D$7*1,""),"")</f>
        <v/>
      </c>
      <c r="E34" s="136" t="str">
        <f>IF(D34&lt;&gt;"",VLOOKUP(ROW(E33),Beräkningshjälp!AC$2:AH$1082,COLUMN(Beräkningshjälp!AF$2)-COLUMN(Beräkningshjälp!AC$2)+1,FALSE),"")</f>
        <v/>
      </c>
      <c r="F34" s="352" t="str">
        <f t="shared" si="1"/>
        <v/>
      </c>
      <c r="G34" s="2" t="str">
        <f>IF(D34&lt;&gt;"",IF(VLOOKUP(VLOOKUP(E34,Beräkningshjälp!O$2:U$60,7,FALSE),Artuppgifter!$I$11:$P$22,8,FALSE)=TRUE,"Medelvikter!!","ALLA"),"")</f>
        <v/>
      </c>
      <c r="H34" s="2" t="str">
        <f>IF(D34&lt;&gt;"",VLOOKUP(ROW(H33),Beräkningshjälp!AC$2:AH$1082,COLUMN(Beräkningshjälp!AH$2)-COLUMN(Beräkningshjälp!AC$2)+1,FALSE),"")</f>
        <v/>
      </c>
      <c r="I34" s="116" t="str">
        <f>IF(D34&lt;&gt;"",VLOOKUP(ROW(E33),Beräkningshjälp!AC$2:AI$1082,COLUMN(Beräkningshjälp!AI$2)-COLUMN(Beräkningshjälp!AC$2)+1,FALSE),"")</f>
        <v/>
      </c>
    </row>
    <row r="35" spans="1:9" x14ac:dyDescent="0.25">
      <c r="A35" s="2" t="str">
        <f t="shared" si="0"/>
        <v/>
      </c>
      <c r="B35" s="136" t="str">
        <f>IF(D35&lt;&gt;"",'DATA TILL SLU'!$J$3,"")</f>
        <v/>
      </c>
      <c r="C35" s="146" t="str">
        <f>IF(D35&lt;&gt;"",'DATA TILL SLU'!$K$3,"")</f>
        <v/>
      </c>
      <c r="D35" s="2" t="str">
        <f>IF('DATA TILL SLU'!$D$7*1&lt;&gt;"",IF(COUNT(Beräkningshjälp!$AC$3:$AC$1082)&gt;=ROW(D34),'DATA TILL SLU'!$D$7*1,""),"")</f>
        <v/>
      </c>
      <c r="E35" s="136" t="str">
        <f>IF(D35&lt;&gt;"",VLOOKUP(ROW(E34),Beräkningshjälp!AC$2:AH$1082,COLUMN(Beräkningshjälp!AF$2)-COLUMN(Beräkningshjälp!AC$2)+1,FALSE),"")</f>
        <v/>
      </c>
      <c r="F35" s="352" t="str">
        <f t="shared" si="1"/>
        <v/>
      </c>
      <c r="G35" s="2" t="str">
        <f>IF(D35&lt;&gt;"",IF(VLOOKUP(VLOOKUP(E35,Beräkningshjälp!O$2:U$60,7,FALSE),Artuppgifter!$I$11:$P$22,8,FALSE)=TRUE,"Medelvikter!!","ALLA"),"")</f>
        <v/>
      </c>
      <c r="H35" s="2" t="str">
        <f>IF(D35&lt;&gt;"",VLOOKUP(ROW(H34),Beräkningshjälp!AC$2:AH$1082,COLUMN(Beräkningshjälp!AH$2)-COLUMN(Beräkningshjälp!AC$2)+1,FALSE),"")</f>
        <v/>
      </c>
      <c r="I35" s="116" t="str">
        <f>IF(D35&lt;&gt;"",VLOOKUP(ROW(E34),Beräkningshjälp!AC$2:AI$1082,COLUMN(Beräkningshjälp!AI$2)-COLUMN(Beräkningshjälp!AC$2)+1,FALSE),"")</f>
        <v/>
      </c>
    </row>
    <row r="36" spans="1:9" x14ac:dyDescent="0.25">
      <c r="A36" s="2" t="str">
        <f t="shared" si="0"/>
        <v/>
      </c>
      <c r="B36" s="136" t="str">
        <f>IF(D36&lt;&gt;"",'DATA TILL SLU'!$J$3,"")</f>
        <v/>
      </c>
      <c r="C36" s="146" t="str">
        <f>IF(D36&lt;&gt;"",'DATA TILL SLU'!$K$3,"")</f>
        <v/>
      </c>
      <c r="D36" s="2" t="str">
        <f>IF('DATA TILL SLU'!$D$7*1&lt;&gt;"",IF(COUNT(Beräkningshjälp!$AC$3:$AC$1082)&gt;=ROW(D35),'DATA TILL SLU'!$D$7*1,""),"")</f>
        <v/>
      </c>
      <c r="E36" s="136" t="str">
        <f>IF(D36&lt;&gt;"",VLOOKUP(ROW(E35),Beräkningshjälp!AC$2:AH$1082,COLUMN(Beräkningshjälp!AF$2)-COLUMN(Beräkningshjälp!AC$2)+1,FALSE),"")</f>
        <v/>
      </c>
      <c r="F36" s="352" t="str">
        <f t="shared" si="1"/>
        <v/>
      </c>
      <c r="G36" s="2" t="str">
        <f>IF(D36&lt;&gt;"",IF(VLOOKUP(VLOOKUP(E36,Beräkningshjälp!O$2:U$60,7,FALSE),Artuppgifter!$I$11:$P$22,8,FALSE)=TRUE,"Medelvikter!!","ALLA"),"")</f>
        <v/>
      </c>
      <c r="H36" s="2" t="str">
        <f>IF(D36&lt;&gt;"",VLOOKUP(ROW(H35),Beräkningshjälp!AC$2:AH$1082,COLUMN(Beräkningshjälp!AH$2)-COLUMN(Beräkningshjälp!AC$2)+1,FALSE),"")</f>
        <v/>
      </c>
      <c r="I36" s="116" t="str">
        <f>IF(D36&lt;&gt;"",VLOOKUP(ROW(E35),Beräkningshjälp!AC$2:AI$1082,COLUMN(Beräkningshjälp!AI$2)-COLUMN(Beräkningshjälp!AC$2)+1,FALSE),"")</f>
        <v/>
      </c>
    </row>
    <row r="37" spans="1:9" x14ac:dyDescent="0.25">
      <c r="A37" s="2" t="str">
        <f t="shared" si="0"/>
        <v/>
      </c>
      <c r="B37" s="136" t="str">
        <f>IF(D37&lt;&gt;"",'DATA TILL SLU'!$J$3,"")</f>
        <v/>
      </c>
      <c r="C37" s="146" t="str">
        <f>IF(D37&lt;&gt;"",'DATA TILL SLU'!$K$3,"")</f>
        <v/>
      </c>
      <c r="D37" s="2" t="str">
        <f>IF('DATA TILL SLU'!$D$7*1&lt;&gt;"",IF(COUNT(Beräkningshjälp!$AC$3:$AC$1082)&gt;=ROW(D36),'DATA TILL SLU'!$D$7*1,""),"")</f>
        <v/>
      </c>
      <c r="E37" s="136" t="str">
        <f>IF(D37&lt;&gt;"",VLOOKUP(ROW(E36),Beräkningshjälp!AC$2:AH$1082,COLUMN(Beräkningshjälp!AF$2)-COLUMN(Beräkningshjälp!AC$2)+1,FALSE),"")</f>
        <v/>
      </c>
      <c r="F37" s="352" t="str">
        <f t="shared" si="1"/>
        <v/>
      </c>
      <c r="G37" s="2" t="str">
        <f>IF(D37&lt;&gt;"",IF(VLOOKUP(VLOOKUP(E37,Beräkningshjälp!O$2:U$60,7,FALSE),Artuppgifter!$I$11:$P$22,8,FALSE)=TRUE,"Medelvikter!!","ALLA"),"")</f>
        <v/>
      </c>
      <c r="H37" s="2" t="str">
        <f>IF(D37&lt;&gt;"",VLOOKUP(ROW(H36),Beräkningshjälp!AC$2:AH$1082,COLUMN(Beräkningshjälp!AH$2)-COLUMN(Beräkningshjälp!AC$2)+1,FALSE),"")</f>
        <v/>
      </c>
      <c r="I37" s="116" t="str">
        <f>IF(D37&lt;&gt;"",VLOOKUP(ROW(E36),Beräkningshjälp!AC$2:AI$1082,COLUMN(Beräkningshjälp!AI$2)-COLUMN(Beräkningshjälp!AC$2)+1,FALSE),"")</f>
        <v/>
      </c>
    </row>
    <row r="38" spans="1:9" x14ac:dyDescent="0.25">
      <c r="A38" s="2" t="str">
        <f t="shared" si="0"/>
        <v/>
      </c>
      <c r="B38" s="136" t="str">
        <f>IF(D38&lt;&gt;"",'DATA TILL SLU'!$J$3,"")</f>
        <v/>
      </c>
      <c r="C38" s="146" t="str">
        <f>IF(D38&lt;&gt;"",'DATA TILL SLU'!$K$3,"")</f>
        <v/>
      </c>
      <c r="D38" s="2" t="str">
        <f>IF('DATA TILL SLU'!$D$7*1&lt;&gt;"",IF(COUNT(Beräkningshjälp!$AC$3:$AC$1082)&gt;=ROW(D37),'DATA TILL SLU'!$D$7*1,""),"")</f>
        <v/>
      </c>
      <c r="E38" s="136" t="str">
        <f>IF(D38&lt;&gt;"",VLOOKUP(ROW(E37),Beräkningshjälp!AC$2:AH$1082,COLUMN(Beräkningshjälp!AF$2)-COLUMN(Beräkningshjälp!AC$2)+1,FALSE),"")</f>
        <v/>
      </c>
      <c r="F38" s="352" t="str">
        <f t="shared" si="1"/>
        <v/>
      </c>
      <c r="G38" s="2" t="str">
        <f>IF(D38&lt;&gt;"",IF(VLOOKUP(VLOOKUP(E38,Beräkningshjälp!O$2:U$60,7,FALSE),Artuppgifter!$I$11:$P$22,8,FALSE)=TRUE,"Medelvikter!!","ALLA"),"")</f>
        <v/>
      </c>
      <c r="H38" s="2" t="str">
        <f>IF(D38&lt;&gt;"",VLOOKUP(ROW(H37),Beräkningshjälp!AC$2:AH$1082,COLUMN(Beräkningshjälp!AH$2)-COLUMN(Beräkningshjälp!AC$2)+1,FALSE),"")</f>
        <v/>
      </c>
      <c r="I38" s="116" t="str">
        <f>IF(D38&lt;&gt;"",VLOOKUP(ROW(E37),Beräkningshjälp!AC$2:AI$1082,COLUMN(Beräkningshjälp!AI$2)-COLUMN(Beräkningshjälp!AC$2)+1,FALSE),"")</f>
        <v/>
      </c>
    </row>
    <row r="39" spans="1:9" x14ac:dyDescent="0.25">
      <c r="A39" s="2" t="str">
        <f t="shared" si="0"/>
        <v/>
      </c>
      <c r="B39" s="136" t="str">
        <f>IF(D39&lt;&gt;"",'DATA TILL SLU'!$J$3,"")</f>
        <v/>
      </c>
      <c r="C39" s="146" t="str">
        <f>IF(D39&lt;&gt;"",'DATA TILL SLU'!$K$3,"")</f>
        <v/>
      </c>
      <c r="D39" s="2" t="str">
        <f>IF('DATA TILL SLU'!$D$7*1&lt;&gt;"",IF(COUNT(Beräkningshjälp!$AC$3:$AC$1082)&gt;=ROW(D38),'DATA TILL SLU'!$D$7*1,""),"")</f>
        <v/>
      </c>
      <c r="E39" s="136" t="str">
        <f>IF(D39&lt;&gt;"",VLOOKUP(ROW(E38),Beräkningshjälp!AC$2:AH$1082,COLUMN(Beräkningshjälp!AF$2)-COLUMN(Beräkningshjälp!AC$2)+1,FALSE),"")</f>
        <v/>
      </c>
      <c r="F39" s="352" t="str">
        <f t="shared" si="1"/>
        <v/>
      </c>
      <c r="G39" s="2" t="str">
        <f>IF(D39&lt;&gt;"",IF(VLOOKUP(VLOOKUP(E39,Beräkningshjälp!O$2:U$60,7,FALSE),Artuppgifter!$I$11:$P$22,8,FALSE)=TRUE,"Medelvikter!!","ALLA"),"")</f>
        <v/>
      </c>
      <c r="H39" s="2" t="str">
        <f>IF(D39&lt;&gt;"",VLOOKUP(ROW(H38),Beräkningshjälp!AC$2:AH$1082,COLUMN(Beräkningshjälp!AH$2)-COLUMN(Beräkningshjälp!AC$2)+1,FALSE),"")</f>
        <v/>
      </c>
      <c r="I39" s="116" t="str">
        <f>IF(D39&lt;&gt;"",VLOOKUP(ROW(E38),Beräkningshjälp!AC$2:AI$1082,COLUMN(Beräkningshjälp!AI$2)-COLUMN(Beräkningshjälp!AC$2)+1,FALSE),"")</f>
        <v/>
      </c>
    </row>
    <row r="40" spans="1:9" x14ac:dyDescent="0.25">
      <c r="A40" s="2" t="str">
        <f t="shared" si="0"/>
        <v/>
      </c>
      <c r="B40" s="136" t="str">
        <f>IF(D40&lt;&gt;"",'DATA TILL SLU'!$J$3,"")</f>
        <v/>
      </c>
      <c r="C40" s="146" t="str">
        <f>IF(D40&lt;&gt;"",'DATA TILL SLU'!$K$3,"")</f>
        <v/>
      </c>
      <c r="D40" s="2" t="str">
        <f>IF('DATA TILL SLU'!$D$7*1&lt;&gt;"",IF(COUNT(Beräkningshjälp!$AC$3:$AC$1082)&gt;=ROW(D39),'DATA TILL SLU'!$D$7*1,""),"")</f>
        <v/>
      </c>
      <c r="E40" s="136" t="str">
        <f>IF(D40&lt;&gt;"",VLOOKUP(ROW(E39),Beräkningshjälp!AC$2:AH$1082,COLUMN(Beräkningshjälp!AF$2)-COLUMN(Beräkningshjälp!AC$2)+1,FALSE),"")</f>
        <v/>
      </c>
      <c r="F40" s="352" t="str">
        <f t="shared" si="1"/>
        <v/>
      </c>
      <c r="G40" s="2" t="str">
        <f>IF(D40&lt;&gt;"",IF(VLOOKUP(VLOOKUP(E40,Beräkningshjälp!O$2:U$60,7,FALSE),Artuppgifter!$I$11:$P$22,8,FALSE)=TRUE,"Medelvikter!!","ALLA"),"")</f>
        <v/>
      </c>
      <c r="H40" s="2" t="str">
        <f>IF(D40&lt;&gt;"",VLOOKUP(ROW(H39),Beräkningshjälp!AC$2:AH$1082,COLUMN(Beräkningshjälp!AH$2)-COLUMN(Beräkningshjälp!AC$2)+1,FALSE),"")</f>
        <v/>
      </c>
      <c r="I40" s="116" t="str">
        <f>IF(D40&lt;&gt;"",VLOOKUP(ROW(E39),Beräkningshjälp!AC$2:AI$1082,COLUMN(Beräkningshjälp!AI$2)-COLUMN(Beräkningshjälp!AC$2)+1,FALSE),"")</f>
        <v/>
      </c>
    </row>
    <row r="41" spans="1:9" x14ac:dyDescent="0.25">
      <c r="A41" s="2" t="str">
        <f t="shared" si="0"/>
        <v/>
      </c>
      <c r="B41" s="136" t="str">
        <f>IF(D41&lt;&gt;"",'DATA TILL SLU'!$J$3,"")</f>
        <v/>
      </c>
      <c r="C41" s="146" t="str">
        <f>IF(D41&lt;&gt;"",'DATA TILL SLU'!$K$3,"")</f>
        <v/>
      </c>
      <c r="D41" s="2" t="str">
        <f>IF('DATA TILL SLU'!$D$7*1&lt;&gt;"",IF(COUNT(Beräkningshjälp!$AC$3:$AC$1082)&gt;=ROW(D40),'DATA TILL SLU'!$D$7*1,""),"")</f>
        <v/>
      </c>
      <c r="E41" s="136" t="str">
        <f>IF(D41&lt;&gt;"",VLOOKUP(ROW(E40),Beräkningshjälp!AC$2:AH$1082,COLUMN(Beräkningshjälp!AF$2)-COLUMN(Beräkningshjälp!AC$2)+1,FALSE),"")</f>
        <v/>
      </c>
      <c r="F41" s="352" t="str">
        <f t="shared" si="1"/>
        <v/>
      </c>
      <c r="G41" s="2" t="str">
        <f>IF(D41&lt;&gt;"",IF(VLOOKUP(VLOOKUP(E41,Beräkningshjälp!O$2:U$60,7,FALSE),Artuppgifter!$I$11:$P$22,8,FALSE)=TRUE,"Medelvikter!!","ALLA"),"")</f>
        <v/>
      </c>
      <c r="H41" s="2" t="str">
        <f>IF(D41&lt;&gt;"",VLOOKUP(ROW(H40),Beräkningshjälp!AC$2:AH$1082,COLUMN(Beräkningshjälp!AH$2)-COLUMN(Beräkningshjälp!AC$2)+1,FALSE),"")</f>
        <v/>
      </c>
      <c r="I41" s="116" t="str">
        <f>IF(D41&lt;&gt;"",VLOOKUP(ROW(E40),Beräkningshjälp!AC$2:AI$1082,COLUMN(Beräkningshjälp!AI$2)-COLUMN(Beräkningshjälp!AC$2)+1,FALSE),"")</f>
        <v/>
      </c>
    </row>
    <row r="42" spans="1:9" x14ac:dyDescent="0.25">
      <c r="A42" s="2" t="str">
        <f t="shared" si="0"/>
        <v/>
      </c>
      <c r="B42" s="136" t="str">
        <f>IF(D42&lt;&gt;"",'DATA TILL SLU'!$J$3,"")</f>
        <v/>
      </c>
      <c r="C42" s="146" t="str">
        <f>IF(D42&lt;&gt;"",'DATA TILL SLU'!$K$3,"")</f>
        <v/>
      </c>
      <c r="D42" s="2" t="str">
        <f>IF('DATA TILL SLU'!$D$7*1&lt;&gt;"",IF(COUNT(Beräkningshjälp!$AC$3:$AC$1082)&gt;=ROW(D41),'DATA TILL SLU'!$D$7*1,""),"")</f>
        <v/>
      </c>
      <c r="E42" s="136" t="str">
        <f>IF(D42&lt;&gt;"",VLOOKUP(ROW(E41),Beräkningshjälp!AC$2:AH$1082,COLUMN(Beräkningshjälp!AF$2)-COLUMN(Beräkningshjälp!AC$2)+1,FALSE),"")</f>
        <v/>
      </c>
      <c r="F42" s="352" t="str">
        <f t="shared" si="1"/>
        <v/>
      </c>
      <c r="G42" s="2" t="str">
        <f>IF(D42&lt;&gt;"",IF(VLOOKUP(VLOOKUP(E42,Beräkningshjälp!O$2:U$60,7,FALSE),Artuppgifter!$I$11:$P$22,8,FALSE)=TRUE,"Medelvikter!!","ALLA"),"")</f>
        <v/>
      </c>
      <c r="H42" s="2" t="str">
        <f>IF(D42&lt;&gt;"",VLOOKUP(ROW(H41),Beräkningshjälp!AC$2:AH$1082,COLUMN(Beräkningshjälp!AH$2)-COLUMN(Beräkningshjälp!AC$2)+1,FALSE),"")</f>
        <v/>
      </c>
      <c r="I42" s="116" t="str">
        <f>IF(D42&lt;&gt;"",VLOOKUP(ROW(E41),Beräkningshjälp!AC$2:AI$1082,COLUMN(Beräkningshjälp!AI$2)-COLUMN(Beräkningshjälp!AC$2)+1,FALSE),"")</f>
        <v/>
      </c>
    </row>
    <row r="43" spans="1:9" x14ac:dyDescent="0.25">
      <c r="A43" s="2" t="str">
        <f t="shared" si="0"/>
        <v/>
      </c>
      <c r="B43" s="136" t="str">
        <f>IF(D43&lt;&gt;"",'DATA TILL SLU'!$J$3,"")</f>
        <v/>
      </c>
      <c r="C43" s="146" t="str">
        <f>IF(D43&lt;&gt;"",'DATA TILL SLU'!$K$3,"")</f>
        <v/>
      </c>
      <c r="D43" s="2" t="str">
        <f>IF('DATA TILL SLU'!$D$7*1&lt;&gt;"",IF(COUNT(Beräkningshjälp!$AC$3:$AC$1082)&gt;=ROW(D42),'DATA TILL SLU'!$D$7*1,""),"")</f>
        <v/>
      </c>
      <c r="E43" s="136" t="str">
        <f>IF(D43&lt;&gt;"",VLOOKUP(ROW(E42),Beräkningshjälp!AC$2:AH$1082,COLUMN(Beräkningshjälp!AF$2)-COLUMN(Beräkningshjälp!AC$2)+1,FALSE),"")</f>
        <v/>
      </c>
      <c r="F43" s="352" t="str">
        <f t="shared" si="1"/>
        <v/>
      </c>
      <c r="G43" s="2" t="str">
        <f>IF(D43&lt;&gt;"",IF(VLOOKUP(VLOOKUP(E43,Beräkningshjälp!O$2:U$60,7,FALSE),Artuppgifter!$I$11:$P$22,8,FALSE)=TRUE,"Medelvikter!!","ALLA"),"")</f>
        <v/>
      </c>
      <c r="H43" s="2" t="str">
        <f>IF(D43&lt;&gt;"",VLOOKUP(ROW(H42),Beräkningshjälp!AC$2:AH$1082,COLUMN(Beräkningshjälp!AH$2)-COLUMN(Beräkningshjälp!AC$2)+1,FALSE),"")</f>
        <v/>
      </c>
      <c r="I43" s="116" t="str">
        <f>IF(D43&lt;&gt;"",VLOOKUP(ROW(E42),Beräkningshjälp!AC$2:AI$1082,COLUMN(Beräkningshjälp!AI$2)-COLUMN(Beräkningshjälp!AC$2)+1,FALSE),"")</f>
        <v/>
      </c>
    </row>
    <row r="44" spans="1:9" x14ac:dyDescent="0.25">
      <c r="A44" s="2" t="str">
        <f t="shared" si="0"/>
        <v/>
      </c>
      <c r="B44" s="136" t="str">
        <f>IF(D44&lt;&gt;"",'DATA TILL SLU'!$J$3,"")</f>
        <v/>
      </c>
      <c r="C44" s="146" t="str">
        <f>IF(D44&lt;&gt;"",'DATA TILL SLU'!$K$3,"")</f>
        <v/>
      </c>
      <c r="D44" s="2" t="str">
        <f>IF('DATA TILL SLU'!$D$7*1&lt;&gt;"",IF(COUNT(Beräkningshjälp!$AC$3:$AC$1082)&gt;=ROW(D43),'DATA TILL SLU'!$D$7*1,""),"")</f>
        <v/>
      </c>
      <c r="E44" s="136" t="str">
        <f>IF(D44&lt;&gt;"",VLOOKUP(ROW(E43),Beräkningshjälp!AC$2:AH$1082,COLUMN(Beräkningshjälp!AF$2)-COLUMN(Beräkningshjälp!AC$2)+1,FALSE),"")</f>
        <v/>
      </c>
      <c r="F44" s="352" t="str">
        <f t="shared" si="1"/>
        <v/>
      </c>
      <c r="G44" s="2" t="str">
        <f>IF(D44&lt;&gt;"",IF(VLOOKUP(VLOOKUP(E44,Beräkningshjälp!O$2:U$60,7,FALSE),Artuppgifter!$I$11:$P$22,8,FALSE)=TRUE,"Medelvikter!!","ALLA"),"")</f>
        <v/>
      </c>
      <c r="H44" s="2" t="str">
        <f>IF(D44&lt;&gt;"",VLOOKUP(ROW(H43),Beräkningshjälp!AC$2:AH$1082,COLUMN(Beräkningshjälp!AH$2)-COLUMN(Beräkningshjälp!AC$2)+1,FALSE),"")</f>
        <v/>
      </c>
      <c r="I44" s="116" t="str">
        <f>IF(D44&lt;&gt;"",VLOOKUP(ROW(E43),Beräkningshjälp!AC$2:AI$1082,COLUMN(Beräkningshjälp!AI$2)-COLUMN(Beräkningshjälp!AC$2)+1,FALSE),"")</f>
        <v/>
      </c>
    </row>
    <row r="45" spans="1:9" x14ac:dyDescent="0.25">
      <c r="A45" s="2" t="str">
        <f t="shared" si="0"/>
        <v/>
      </c>
      <c r="B45" s="136" t="str">
        <f>IF(D45&lt;&gt;"",'DATA TILL SLU'!$J$3,"")</f>
        <v/>
      </c>
      <c r="C45" s="146" t="str">
        <f>IF(D45&lt;&gt;"",'DATA TILL SLU'!$K$3,"")</f>
        <v/>
      </c>
      <c r="D45" s="2" t="str">
        <f>IF('DATA TILL SLU'!$D$7*1&lt;&gt;"",IF(COUNT(Beräkningshjälp!$AC$3:$AC$1082)&gt;=ROW(D44),'DATA TILL SLU'!$D$7*1,""),"")</f>
        <v/>
      </c>
      <c r="E45" s="136" t="str">
        <f>IF(D45&lt;&gt;"",VLOOKUP(ROW(E44),Beräkningshjälp!AC$2:AH$1082,COLUMN(Beräkningshjälp!AF$2)-COLUMN(Beräkningshjälp!AC$2)+1,FALSE),"")</f>
        <v/>
      </c>
      <c r="F45" s="352" t="str">
        <f t="shared" si="1"/>
        <v/>
      </c>
      <c r="G45" s="2" t="str">
        <f>IF(D45&lt;&gt;"",IF(VLOOKUP(VLOOKUP(E45,Beräkningshjälp!O$2:U$60,7,FALSE),Artuppgifter!$I$11:$P$22,8,FALSE)=TRUE,"Medelvikter!!","ALLA"),"")</f>
        <v/>
      </c>
      <c r="H45" s="2" t="str">
        <f>IF(D45&lt;&gt;"",VLOOKUP(ROW(H44),Beräkningshjälp!AC$2:AH$1082,COLUMN(Beräkningshjälp!AH$2)-COLUMN(Beräkningshjälp!AC$2)+1,FALSE),"")</f>
        <v/>
      </c>
      <c r="I45" s="116" t="str">
        <f>IF(D45&lt;&gt;"",VLOOKUP(ROW(E44),Beräkningshjälp!AC$2:AI$1082,COLUMN(Beräkningshjälp!AI$2)-COLUMN(Beräkningshjälp!AC$2)+1,FALSE),"")</f>
        <v/>
      </c>
    </row>
    <row r="46" spans="1:9" x14ac:dyDescent="0.25">
      <c r="A46" s="2" t="str">
        <f t="shared" si="0"/>
        <v/>
      </c>
      <c r="B46" s="136" t="str">
        <f>IF(D46&lt;&gt;"",'DATA TILL SLU'!$J$3,"")</f>
        <v/>
      </c>
      <c r="C46" s="146" t="str">
        <f>IF(D46&lt;&gt;"",'DATA TILL SLU'!$K$3,"")</f>
        <v/>
      </c>
      <c r="D46" s="2" t="str">
        <f>IF('DATA TILL SLU'!$D$7*1&lt;&gt;"",IF(COUNT(Beräkningshjälp!$AC$3:$AC$1082)&gt;=ROW(D45),'DATA TILL SLU'!$D$7*1,""),"")</f>
        <v/>
      </c>
      <c r="E46" s="136" t="str">
        <f>IF(D46&lt;&gt;"",VLOOKUP(ROW(E45),Beräkningshjälp!AC$2:AH$1082,COLUMN(Beräkningshjälp!AF$2)-COLUMN(Beräkningshjälp!AC$2)+1,FALSE),"")</f>
        <v/>
      </c>
      <c r="F46" s="352" t="str">
        <f t="shared" si="1"/>
        <v/>
      </c>
      <c r="G46" s="2" t="str">
        <f>IF(D46&lt;&gt;"",IF(VLOOKUP(VLOOKUP(E46,Beräkningshjälp!O$2:U$60,7,FALSE),Artuppgifter!$I$11:$P$22,8,FALSE)=TRUE,"Medelvikter!!","ALLA"),"")</f>
        <v/>
      </c>
      <c r="H46" s="2" t="str">
        <f>IF(D46&lt;&gt;"",VLOOKUP(ROW(H45),Beräkningshjälp!AC$2:AH$1082,COLUMN(Beräkningshjälp!AH$2)-COLUMN(Beräkningshjälp!AC$2)+1,FALSE),"")</f>
        <v/>
      </c>
      <c r="I46" s="116" t="str">
        <f>IF(D46&lt;&gt;"",VLOOKUP(ROW(E45),Beräkningshjälp!AC$2:AI$1082,COLUMN(Beräkningshjälp!AI$2)-COLUMN(Beräkningshjälp!AC$2)+1,FALSE),"")</f>
        <v/>
      </c>
    </row>
    <row r="47" spans="1:9" x14ac:dyDescent="0.25">
      <c r="A47" s="2" t="str">
        <f t="shared" si="0"/>
        <v/>
      </c>
      <c r="B47" s="136" t="str">
        <f>IF(D47&lt;&gt;"",'DATA TILL SLU'!$J$3,"")</f>
        <v/>
      </c>
      <c r="C47" s="146" t="str">
        <f>IF(D47&lt;&gt;"",'DATA TILL SLU'!$K$3,"")</f>
        <v/>
      </c>
      <c r="D47" s="2" t="str">
        <f>IF('DATA TILL SLU'!$D$7*1&lt;&gt;"",IF(COUNT(Beräkningshjälp!$AC$3:$AC$1082)&gt;=ROW(D46),'DATA TILL SLU'!$D$7*1,""),"")</f>
        <v/>
      </c>
      <c r="E47" s="136" t="str">
        <f>IF(D47&lt;&gt;"",VLOOKUP(ROW(E46),Beräkningshjälp!AC$2:AH$1082,COLUMN(Beräkningshjälp!AF$2)-COLUMN(Beräkningshjälp!AC$2)+1,FALSE),"")</f>
        <v/>
      </c>
      <c r="F47" s="352" t="str">
        <f t="shared" si="1"/>
        <v/>
      </c>
      <c r="G47" s="2" t="str">
        <f>IF(D47&lt;&gt;"",IF(VLOOKUP(VLOOKUP(E47,Beräkningshjälp!O$2:U$60,7,FALSE),Artuppgifter!$I$11:$P$22,8,FALSE)=TRUE,"Medelvikter!!","ALLA"),"")</f>
        <v/>
      </c>
      <c r="H47" s="2" t="str">
        <f>IF(D47&lt;&gt;"",VLOOKUP(ROW(H46),Beräkningshjälp!AC$2:AH$1082,COLUMN(Beräkningshjälp!AH$2)-COLUMN(Beräkningshjälp!AC$2)+1,FALSE),"")</f>
        <v/>
      </c>
      <c r="I47" s="116" t="str">
        <f>IF(D47&lt;&gt;"",VLOOKUP(ROW(E46),Beräkningshjälp!AC$2:AI$1082,COLUMN(Beräkningshjälp!AI$2)-COLUMN(Beräkningshjälp!AC$2)+1,FALSE),"")</f>
        <v/>
      </c>
    </row>
    <row r="48" spans="1:9" x14ac:dyDescent="0.25">
      <c r="A48" s="2" t="str">
        <f t="shared" si="0"/>
        <v/>
      </c>
      <c r="B48" s="136" t="str">
        <f>IF(D48&lt;&gt;"",'DATA TILL SLU'!$J$3,"")</f>
        <v/>
      </c>
      <c r="C48" s="146" t="str">
        <f>IF(D48&lt;&gt;"",'DATA TILL SLU'!$K$3,"")</f>
        <v/>
      </c>
      <c r="D48" s="2" t="str">
        <f>IF('DATA TILL SLU'!$D$7*1&lt;&gt;"",IF(COUNT(Beräkningshjälp!$AC$3:$AC$1082)&gt;=ROW(D47),'DATA TILL SLU'!$D$7*1,""),"")</f>
        <v/>
      </c>
      <c r="E48" s="136" t="str">
        <f>IF(D48&lt;&gt;"",VLOOKUP(ROW(E47),Beräkningshjälp!AC$2:AH$1082,COLUMN(Beräkningshjälp!AF$2)-COLUMN(Beräkningshjälp!AC$2)+1,FALSE),"")</f>
        <v/>
      </c>
      <c r="F48" s="352" t="str">
        <f t="shared" si="1"/>
        <v/>
      </c>
      <c r="G48" s="2" t="str">
        <f>IF(D48&lt;&gt;"",IF(VLOOKUP(VLOOKUP(E48,Beräkningshjälp!O$2:U$60,7,FALSE),Artuppgifter!$I$11:$P$22,8,FALSE)=TRUE,"Medelvikter!!","ALLA"),"")</f>
        <v/>
      </c>
      <c r="H48" s="2" t="str">
        <f>IF(D48&lt;&gt;"",VLOOKUP(ROW(H47),Beräkningshjälp!AC$2:AH$1082,COLUMN(Beräkningshjälp!AH$2)-COLUMN(Beräkningshjälp!AC$2)+1,FALSE),"")</f>
        <v/>
      </c>
      <c r="I48" s="116" t="str">
        <f>IF(D48&lt;&gt;"",VLOOKUP(ROW(E47),Beräkningshjälp!AC$2:AI$1082,COLUMN(Beräkningshjälp!AI$2)-COLUMN(Beräkningshjälp!AC$2)+1,FALSE),"")</f>
        <v/>
      </c>
    </row>
    <row r="49" spans="1:9" x14ac:dyDescent="0.25">
      <c r="A49" s="2" t="str">
        <f t="shared" si="0"/>
        <v/>
      </c>
      <c r="B49" s="136" t="str">
        <f>IF(D49&lt;&gt;"",'DATA TILL SLU'!$J$3,"")</f>
        <v/>
      </c>
      <c r="C49" s="146" t="str">
        <f>IF(D49&lt;&gt;"",'DATA TILL SLU'!$K$3,"")</f>
        <v/>
      </c>
      <c r="D49" s="2" t="str">
        <f>IF('DATA TILL SLU'!$D$7*1&lt;&gt;"",IF(COUNT(Beräkningshjälp!$AC$3:$AC$1082)&gt;=ROW(D48),'DATA TILL SLU'!$D$7*1,""),"")</f>
        <v/>
      </c>
      <c r="E49" s="136" t="str">
        <f>IF(D49&lt;&gt;"",VLOOKUP(ROW(E48),Beräkningshjälp!AC$2:AH$1082,COLUMN(Beräkningshjälp!AF$2)-COLUMN(Beräkningshjälp!AC$2)+1,FALSE),"")</f>
        <v/>
      </c>
      <c r="F49" s="352" t="str">
        <f t="shared" si="1"/>
        <v/>
      </c>
      <c r="G49" s="2" t="str">
        <f>IF(D49&lt;&gt;"",IF(VLOOKUP(VLOOKUP(E49,Beräkningshjälp!O$2:U$60,7,FALSE),Artuppgifter!$I$11:$P$22,8,FALSE)=TRUE,"Medelvikter!!","ALLA"),"")</f>
        <v/>
      </c>
      <c r="H49" s="2" t="str">
        <f>IF(D49&lt;&gt;"",VLOOKUP(ROW(H48),Beräkningshjälp!AC$2:AH$1082,COLUMN(Beräkningshjälp!AH$2)-COLUMN(Beräkningshjälp!AC$2)+1,FALSE),"")</f>
        <v/>
      </c>
      <c r="I49" s="116" t="str">
        <f>IF(D49&lt;&gt;"",VLOOKUP(ROW(E48),Beräkningshjälp!AC$2:AI$1082,COLUMN(Beräkningshjälp!AI$2)-COLUMN(Beräkningshjälp!AC$2)+1,FALSE),"")</f>
        <v/>
      </c>
    </row>
    <row r="50" spans="1:9" x14ac:dyDescent="0.25">
      <c r="A50" s="2" t="str">
        <f t="shared" si="0"/>
        <v/>
      </c>
      <c r="B50" s="136" t="str">
        <f>IF(D50&lt;&gt;"",'DATA TILL SLU'!$J$3,"")</f>
        <v/>
      </c>
      <c r="C50" s="146" t="str">
        <f>IF(D50&lt;&gt;"",'DATA TILL SLU'!$K$3,"")</f>
        <v/>
      </c>
      <c r="D50" s="2" t="str">
        <f>IF('DATA TILL SLU'!$D$7*1&lt;&gt;"",IF(COUNT(Beräkningshjälp!$AC$3:$AC$1082)&gt;=ROW(D49),'DATA TILL SLU'!$D$7*1,""),"")</f>
        <v/>
      </c>
      <c r="E50" s="136" t="str">
        <f>IF(D50&lt;&gt;"",VLOOKUP(ROW(E49),Beräkningshjälp!AC$2:AH$1082,COLUMN(Beräkningshjälp!AF$2)-COLUMN(Beräkningshjälp!AC$2)+1,FALSE),"")</f>
        <v/>
      </c>
      <c r="F50" s="352" t="str">
        <f t="shared" si="1"/>
        <v/>
      </c>
      <c r="G50" s="2" t="str">
        <f>IF(D50&lt;&gt;"",IF(VLOOKUP(VLOOKUP(E50,Beräkningshjälp!O$2:U$60,7,FALSE),Artuppgifter!$I$11:$P$22,8,FALSE)=TRUE,"Medelvikter!!","ALLA"),"")</f>
        <v/>
      </c>
      <c r="H50" s="2" t="str">
        <f>IF(D50&lt;&gt;"",VLOOKUP(ROW(H49),Beräkningshjälp!AC$2:AH$1082,COLUMN(Beräkningshjälp!AH$2)-COLUMN(Beräkningshjälp!AC$2)+1,FALSE),"")</f>
        <v/>
      </c>
      <c r="I50" s="116" t="str">
        <f>IF(D50&lt;&gt;"",VLOOKUP(ROW(E49),Beräkningshjälp!AC$2:AI$1082,COLUMN(Beräkningshjälp!AI$2)-COLUMN(Beräkningshjälp!AC$2)+1,FALSE),"")</f>
        <v/>
      </c>
    </row>
    <row r="51" spans="1:9" x14ac:dyDescent="0.25">
      <c r="A51" s="2" t="str">
        <f t="shared" si="0"/>
        <v/>
      </c>
      <c r="B51" s="136" t="str">
        <f>IF(D51&lt;&gt;"",'DATA TILL SLU'!$J$3,"")</f>
        <v/>
      </c>
      <c r="C51" s="146" t="str">
        <f>IF(D51&lt;&gt;"",'DATA TILL SLU'!$K$3,"")</f>
        <v/>
      </c>
      <c r="D51" s="2" t="str">
        <f>IF('DATA TILL SLU'!$D$7*1&lt;&gt;"",IF(COUNT(Beräkningshjälp!$AC$3:$AC$1082)&gt;=ROW(D50),'DATA TILL SLU'!$D$7*1,""),"")</f>
        <v/>
      </c>
      <c r="E51" s="136" t="str">
        <f>IF(D51&lt;&gt;"",VLOOKUP(ROW(E50),Beräkningshjälp!AC$2:AH$1082,COLUMN(Beräkningshjälp!AF$2)-COLUMN(Beräkningshjälp!AC$2)+1,FALSE),"")</f>
        <v/>
      </c>
      <c r="F51" s="352" t="str">
        <f t="shared" si="1"/>
        <v/>
      </c>
      <c r="G51" s="2" t="str">
        <f>IF(D51&lt;&gt;"",IF(VLOOKUP(VLOOKUP(E51,Beräkningshjälp!O$2:U$60,7,FALSE),Artuppgifter!$I$11:$P$22,8,FALSE)=TRUE,"Medelvikter!!","ALLA"),"")</f>
        <v/>
      </c>
      <c r="H51" s="2" t="str">
        <f>IF(D51&lt;&gt;"",VLOOKUP(ROW(H50),Beräkningshjälp!AC$2:AH$1082,COLUMN(Beräkningshjälp!AH$2)-COLUMN(Beräkningshjälp!AC$2)+1,FALSE),"")</f>
        <v/>
      </c>
      <c r="I51" s="116" t="str">
        <f>IF(D51&lt;&gt;"",VLOOKUP(ROW(E50),Beräkningshjälp!AC$2:AI$1082,COLUMN(Beräkningshjälp!AI$2)-COLUMN(Beräkningshjälp!AC$2)+1,FALSE),"")</f>
        <v/>
      </c>
    </row>
    <row r="52" spans="1:9" x14ac:dyDescent="0.25">
      <c r="A52" s="2" t="str">
        <f t="shared" si="0"/>
        <v/>
      </c>
      <c r="B52" s="136" t="str">
        <f>IF(D52&lt;&gt;"",'DATA TILL SLU'!$J$3,"")</f>
        <v/>
      </c>
      <c r="C52" s="146" t="str">
        <f>IF(D52&lt;&gt;"",'DATA TILL SLU'!$K$3,"")</f>
        <v/>
      </c>
      <c r="D52" s="2" t="str">
        <f>IF('DATA TILL SLU'!$D$7*1&lt;&gt;"",IF(COUNT(Beräkningshjälp!$AC$3:$AC$1082)&gt;=ROW(D51),'DATA TILL SLU'!$D$7*1,""),"")</f>
        <v/>
      </c>
      <c r="E52" s="136" t="str">
        <f>IF(D52&lt;&gt;"",VLOOKUP(ROW(E51),Beräkningshjälp!AC$2:AH$1082,COLUMN(Beräkningshjälp!AF$2)-COLUMN(Beräkningshjälp!AC$2)+1,FALSE),"")</f>
        <v/>
      </c>
      <c r="F52" s="352" t="str">
        <f t="shared" si="1"/>
        <v/>
      </c>
      <c r="G52" s="2" t="str">
        <f>IF(D52&lt;&gt;"",IF(VLOOKUP(VLOOKUP(E52,Beräkningshjälp!O$2:U$60,7,FALSE),Artuppgifter!$I$11:$P$22,8,FALSE)=TRUE,"Medelvikter!!","ALLA"),"")</f>
        <v/>
      </c>
      <c r="H52" s="2" t="str">
        <f>IF(D52&lt;&gt;"",VLOOKUP(ROW(H51),Beräkningshjälp!AC$2:AH$1082,COLUMN(Beräkningshjälp!AH$2)-COLUMN(Beräkningshjälp!AC$2)+1,FALSE),"")</f>
        <v/>
      </c>
      <c r="I52" s="116" t="str">
        <f>IF(D52&lt;&gt;"",VLOOKUP(ROW(E51),Beräkningshjälp!AC$2:AI$1082,COLUMN(Beräkningshjälp!AI$2)-COLUMN(Beräkningshjälp!AC$2)+1,FALSE),"")</f>
        <v/>
      </c>
    </row>
    <row r="53" spans="1:9" x14ac:dyDescent="0.25">
      <c r="A53" s="2" t="str">
        <f t="shared" si="0"/>
        <v/>
      </c>
      <c r="B53" s="136" t="str">
        <f>IF(D53&lt;&gt;"",'DATA TILL SLU'!$J$3,"")</f>
        <v/>
      </c>
      <c r="C53" s="146" t="str">
        <f>IF(D53&lt;&gt;"",'DATA TILL SLU'!$K$3,"")</f>
        <v/>
      </c>
      <c r="D53" s="2" t="str">
        <f>IF('DATA TILL SLU'!$D$7*1&lt;&gt;"",IF(COUNT(Beräkningshjälp!$AC$3:$AC$1082)&gt;=ROW(D52),'DATA TILL SLU'!$D$7*1,""),"")</f>
        <v/>
      </c>
      <c r="E53" s="136" t="str">
        <f>IF(D53&lt;&gt;"",VLOOKUP(ROW(E52),Beräkningshjälp!AC$2:AH$1082,COLUMN(Beräkningshjälp!AF$2)-COLUMN(Beräkningshjälp!AC$2)+1,FALSE),"")</f>
        <v/>
      </c>
      <c r="F53" s="352" t="str">
        <f t="shared" si="1"/>
        <v/>
      </c>
      <c r="G53" s="2" t="str">
        <f>IF(D53&lt;&gt;"",IF(VLOOKUP(VLOOKUP(E53,Beräkningshjälp!O$2:U$60,7,FALSE),Artuppgifter!$I$11:$P$22,8,FALSE)=TRUE,"Medelvikter!!","ALLA"),"")</f>
        <v/>
      </c>
      <c r="H53" s="2" t="str">
        <f>IF(D53&lt;&gt;"",VLOOKUP(ROW(H52),Beräkningshjälp!AC$2:AH$1082,COLUMN(Beräkningshjälp!AH$2)-COLUMN(Beräkningshjälp!AC$2)+1,FALSE),"")</f>
        <v/>
      </c>
      <c r="I53" s="116" t="str">
        <f>IF(D53&lt;&gt;"",VLOOKUP(ROW(E52),Beräkningshjälp!AC$2:AI$1082,COLUMN(Beräkningshjälp!AI$2)-COLUMN(Beräkningshjälp!AC$2)+1,FALSE),"")</f>
        <v/>
      </c>
    </row>
    <row r="54" spans="1:9" x14ac:dyDescent="0.25">
      <c r="A54" s="2" t="str">
        <f t="shared" si="0"/>
        <v/>
      </c>
      <c r="B54" s="136" t="str">
        <f>IF(D54&lt;&gt;"",'DATA TILL SLU'!$J$3,"")</f>
        <v/>
      </c>
      <c r="C54" s="146" t="str">
        <f>IF(D54&lt;&gt;"",'DATA TILL SLU'!$K$3,"")</f>
        <v/>
      </c>
      <c r="D54" s="2" t="str">
        <f>IF('DATA TILL SLU'!$D$7*1&lt;&gt;"",IF(COUNT(Beräkningshjälp!$AC$3:$AC$1082)&gt;=ROW(D53),'DATA TILL SLU'!$D$7*1,""),"")</f>
        <v/>
      </c>
      <c r="E54" s="136" t="str">
        <f>IF(D54&lt;&gt;"",VLOOKUP(ROW(E53),Beräkningshjälp!AC$2:AH$1082,COLUMN(Beräkningshjälp!AF$2)-COLUMN(Beräkningshjälp!AC$2)+1,FALSE),"")</f>
        <v/>
      </c>
      <c r="F54" s="352" t="str">
        <f t="shared" si="1"/>
        <v/>
      </c>
      <c r="G54" s="2" t="str">
        <f>IF(D54&lt;&gt;"",IF(VLOOKUP(VLOOKUP(E54,Beräkningshjälp!O$2:U$60,7,FALSE),Artuppgifter!$I$11:$P$22,8,FALSE)=TRUE,"Medelvikter!!","ALLA"),"")</f>
        <v/>
      </c>
      <c r="H54" s="2" t="str">
        <f>IF(D54&lt;&gt;"",VLOOKUP(ROW(H53),Beräkningshjälp!AC$2:AH$1082,COLUMN(Beräkningshjälp!AH$2)-COLUMN(Beräkningshjälp!AC$2)+1,FALSE),"")</f>
        <v/>
      </c>
      <c r="I54" s="116" t="str">
        <f>IF(D54&lt;&gt;"",VLOOKUP(ROW(E53),Beräkningshjälp!AC$2:AI$1082,COLUMN(Beräkningshjälp!AI$2)-COLUMN(Beräkningshjälp!AC$2)+1,FALSE),"")</f>
        <v/>
      </c>
    </row>
    <row r="55" spans="1:9" x14ac:dyDescent="0.25">
      <c r="A55" s="2" t="str">
        <f t="shared" si="0"/>
        <v/>
      </c>
      <c r="B55" s="136" t="str">
        <f>IF(D55&lt;&gt;"",'DATA TILL SLU'!$J$3,"")</f>
        <v/>
      </c>
      <c r="C55" s="146" t="str">
        <f>IF(D55&lt;&gt;"",'DATA TILL SLU'!$K$3,"")</f>
        <v/>
      </c>
      <c r="D55" s="2" t="str">
        <f>IF('DATA TILL SLU'!$D$7*1&lt;&gt;"",IF(COUNT(Beräkningshjälp!$AC$3:$AC$1082)&gt;=ROW(D54),'DATA TILL SLU'!$D$7*1,""),"")</f>
        <v/>
      </c>
      <c r="E55" s="136" t="str">
        <f>IF(D55&lt;&gt;"",VLOOKUP(ROW(E54),Beräkningshjälp!AC$2:AH$1082,COLUMN(Beräkningshjälp!AF$2)-COLUMN(Beräkningshjälp!AC$2)+1,FALSE),"")</f>
        <v/>
      </c>
      <c r="F55" s="352" t="str">
        <f t="shared" si="1"/>
        <v/>
      </c>
      <c r="G55" s="2" t="str">
        <f>IF(D55&lt;&gt;"",IF(VLOOKUP(VLOOKUP(E55,Beräkningshjälp!O$2:U$60,7,FALSE),Artuppgifter!$I$11:$P$22,8,FALSE)=TRUE,"Medelvikter!!","ALLA"),"")</f>
        <v/>
      </c>
      <c r="H55" s="2" t="str">
        <f>IF(D55&lt;&gt;"",VLOOKUP(ROW(H54),Beräkningshjälp!AC$2:AH$1082,COLUMN(Beräkningshjälp!AH$2)-COLUMN(Beräkningshjälp!AC$2)+1,FALSE),"")</f>
        <v/>
      </c>
      <c r="I55" s="116" t="str">
        <f>IF(D55&lt;&gt;"",VLOOKUP(ROW(E54),Beräkningshjälp!AC$2:AI$1082,COLUMN(Beräkningshjälp!AI$2)-COLUMN(Beräkningshjälp!AC$2)+1,FALSE),"")</f>
        <v/>
      </c>
    </row>
    <row r="56" spans="1:9" x14ac:dyDescent="0.25">
      <c r="A56" s="2" t="str">
        <f t="shared" si="0"/>
        <v/>
      </c>
      <c r="B56" s="136" t="str">
        <f>IF(D56&lt;&gt;"",'DATA TILL SLU'!$J$3,"")</f>
        <v/>
      </c>
      <c r="C56" s="146" t="str">
        <f>IF(D56&lt;&gt;"",'DATA TILL SLU'!$K$3,"")</f>
        <v/>
      </c>
      <c r="D56" s="2" t="str">
        <f>IF('DATA TILL SLU'!$D$7*1&lt;&gt;"",IF(COUNT(Beräkningshjälp!$AC$3:$AC$1082)&gt;=ROW(D55),'DATA TILL SLU'!$D$7*1,""),"")</f>
        <v/>
      </c>
      <c r="E56" s="136" t="str">
        <f>IF(D56&lt;&gt;"",VLOOKUP(ROW(E55),Beräkningshjälp!AC$2:AH$1082,COLUMN(Beräkningshjälp!AF$2)-COLUMN(Beräkningshjälp!AC$2)+1,FALSE),"")</f>
        <v/>
      </c>
      <c r="F56" s="352" t="str">
        <f t="shared" si="1"/>
        <v/>
      </c>
      <c r="G56" s="2" t="str">
        <f>IF(D56&lt;&gt;"",IF(VLOOKUP(VLOOKUP(E56,Beräkningshjälp!O$2:U$60,7,FALSE),Artuppgifter!$I$11:$P$22,8,FALSE)=TRUE,"Medelvikter!!","ALLA"),"")</f>
        <v/>
      </c>
      <c r="H56" s="2" t="str">
        <f>IF(D56&lt;&gt;"",VLOOKUP(ROW(H55),Beräkningshjälp!AC$2:AH$1082,COLUMN(Beräkningshjälp!AH$2)-COLUMN(Beräkningshjälp!AC$2)+1,FALSE),"")</f>
        <v/>
      </c>
      <c r="I56" s="116" t="str">
        <f>IF(D56&lt;&gt;"",VLOOKUP(ROW(E55),Beräkningshjälp!AC$2:AI$1082,COLUMN(Beräkningshjälp!AI$2)-COLUMN(Beräkningshjälp!AC$2)+1,FALSE),"")</f>
        <v/>
      </c>
    </row>
    <row r="57" spans="1:9" x14ac:dyDescent="0.25">
      <c r="A57" s="2" t="str">
        <f t="shared" si="0"/>
        <v/>
      </c>
      <c r="B57" s="136" t="str">
        <f>IF(D57&lt;&gt;"",'DATA TILL SLU'!$J$3,"")</f>
        <v/>
      </c>
      <c r="C57" s="146" t="str">
        <f>IF(D57&lt;&gt;"",'DATA TILL SLU'!$K$3,"")</f>
        <v/>
      </c>
      <c r="D57" s="2" t="str">
        <f>IF('DATA TILL SLU'!$D$7*1&lt;&gt;"",IF(COUNT(Beräkningshjälp!$AC$3:$AC$1082)&gt;=ROW(D56),'DATA TILL SLU'!$D$7*1,""),"")</f>
        <v/>
      </c>
      <c r="E57" s="136" t="str">
        <f>IF(D57&lt;&gt;"",VLOOKUP(ROW(E56),Beräkningshjälp!AC$2:AH$1082,COLUMN(Beräkningshjälp!AF$2)-COLUMN(Beräkningshjälp!AC$2)+1,FALSE),"")</f>
        <v/>
      </c>
      <c r="F57" s="352" t="str">
        <f t="shared" si="1"/>
        <v/>
      </c>
      <c r="G57" s="2" t="str">
        <f>IF(D57&lt;&gt;"",IF(VLOOKUP(VLOOKUP(E57,Beräkningshjälp!O$2:U$60,7,FALSE),Artuppgifter!$I$11:$P$22,8,FALSE)=TRUE,"Medelvikter!!","ALLA"),"")</f>
        <v/>
      </c>
      <c r="H57" s="2" t="str">
        <f>IF(D57&lt;&gt;"",VLOOKUP(ROW(H56),Beräkningshjälp!AC$2:AH$1082,COLUMN(Beräkningshjälp!AH$2)-COLUMN(Beräkningshjälp!AC$2)+1,FALSE),"")</f>
        <v/>
      </c>
      <c r="I57" s="116" t="str">
        <f>IF(D57&lt;&gt;"",VLOOKUP(ROW(E56),Beräkningshjälp!AC$2:AI$1082,COLUMN(Beräkningshjälp!AI$2)-COLUMN(Beräkningshjälp!AC$2)+1,FALSE),"")</f>
        <v/>
      </c>
    </row>
    <row r="58" spans="1:9" x14ac:dyDescent="0.25">
      <c r="A58" s="2" t="str">
        <f t="shared" si="0"/>
        <v/>
      </c>
      <c r="B58" s="136" t="str">
        <f>IF(D58&lt;&gt;"",'DATA TILL SLU'!$J$3,"")</f>
        <v/>
      </c>
      <c r="C58" s="146" t="str">
        <f>IF(D58&lt;&gt;"",'DATA TILL SLU'!$K$3,"")</f>
        <v/>
      </c>
      <c r="D58" s="2" t="str">
        <f>IF('DATA TILL SLU'!$D$7*1&lt;&gt;"",IF(COUNT(Beräkningshjälp!$AC$3:$AC$1082)&gt;=ROW(D57),'DATA TILL SLU'!$D$7*1,""),"")</f>
        <v/>
      </c>
      <c r="E58" s="136" t="str">
        <f>IF(D58&lt;&gt;"",VLOOKUP(ROW(E57),Beräkningshjälp!AC$2:AH$1082,COLUMN(Beräkningshjälp!AF$2)-COLUMN(Beräkningshjälp!AC$2)+1,FALSE),"")</f>
        <v/>
      </c>
      <c r="F58" s="352" t="str">
        <f t="shared" si="1"/>
        <v/>
      </c>
      <c r="G58" s="2" t="str">
        <f>IF(D58&lt;&gt;"",IF(VLOOKUP(VLOOKUP(E58,Beräkningshjälp!O$2:U$60,7,FALSE),Artuppgifter!$I$11:$P$22,8,FALSE)=TRUE,"Medelvikter!!","ALLA"),"")</f>
        <v/>
      </c>
      <c r="H58" s="2" t="str">
        <f>IF(D58&lt;&gt;"",VLOOKUP(ROW(H57),Beräkningshjälp!AC$2:AH$1082,COLUMN(Beräkningshjälp!AH$2)-COLUMN(Beräkningshjälp!AC$2)+1,FALSE),"")</f>
        <v/>
      </c>
      <c r="I58" s="116" t="str">
        <f>IF(D58&lt;&gt;"",VLOOKUP(ROW(E57),Beräkningshjälp!AC$2:AI$1082,COLUMN(Beräkningshjälp!AI$2)-COLUMN(Beräkningshjälp!AC$2)+1,FALSE),"")</f>
        <v/>
      </c>
    </row>
    <row r="59" spans="1:9" x14ac:dyDescent="0.25">
      <c r="A59" s="2" t="str">
        <f t="shared" si="0"/>
        <v/>
      </c>
      <c r="B59" s="136" t="str">
        <f>IF(D59&lt;&gt;"",'DATA TILL SLU'!$J$3,"")</f>
        <v/>
      </c>
      <c r="C59" s="146" t="str">
        <f>IF(D59&lt;&gt;"",'DATA TILL SLU'!$K$3,"")</f>
        <v/>
      </c>
      <c r="D59" s="2" t="str">
        <f>IF('DATA TILL SLU'!$D$7*1&lt;&gt;"",IF(COUNT(Beräkningshjälp!$AC$3:$AC$1082)&gt;=ROW(D58),'DATA TILL SLU'!$D$7*1,""),"")</f>
        <v/>
      </c>
      <c r="E59" s="136" t="str">
        <f>IF(D59&lt;&gt;"",VLOOKUP(ROW(E58),Beräkningshjälp!AC$2:AH$1082,COLUMN(Beräkningshjälp!AF$2)-COLUMN(Beräkningshjälp!AC$2)+1,FALSE),"")</f>
        <v/>
      </c>
      <c r="F59" s="352" t="str">
        <f t="shared" si="1"/>
        <v/>
      </c>
      <c r="G59" s="2" t="str">
        <f>IF(D59&lt;&gt;"",IF(VLOOKUP(VLOOKUP(E59,Beräkningshjälp!O$2:U$60,7,FALSE),Artuppgifter!$I$11:$P$22,8,FALSE)=TRUE,"Medelvikter!!","ALLA"),"")</f>
        <v/>
      </c>
      <c r="H59" s="2" t="str">
        <f>IF(D59&lt;&gt;"",VLOOKUP(ROW(H58),Beräkningshjälp!AC$2:AH$1082,COLUMN(Beräkningshjälp!AH$2)-COLUMN(Beräkningshjälp!AC$2)+1,FALSE),"")</f>
        <v/>
      </c>
      <c r="I59" s="116" t="str">
        <f>IF(D59&lt;&gt;"",VLOOKUP(ROW(E58),Beräkningshjälp!AC$2:AI$1082,COLUMN(Beräkningshjälp!AI$2)-COLUMN(Beräkningshjälp!AC$2)+1,FALSE),"")</f>
        <v/>
      </c>
    </row>
    <row r="60" spans="1:9" x14ac:dyDescent="0.25">
      <c r="A60" s="2" t="str">
        <f t="shared" si="0"/>
        <v/>
      </c>
      <c r="B60" s="136" t="str">
        <f>IF(D60&lt;&gt;"",'DATA TILL SLU'!$J$3,"")</f>
        <v/>
      </c>
      <c r="C60" s="146" t="str">
        <f>IF(D60&lt;&gt;"",'DATA TILL SLU'!$K$3,"")</f>
        <v/>
      </c>
      <c r="D60" s="2" t="str">
        <f>IF('DATA TILL SLU'!$D$7*1&lt;&gt;"",IF(COUNT(Beräkningshjälp!$AC$3:$AC$1082)&gt;=ROW(D59),'DATA TILL SLU'!$D$7*1,""),"")</f>
        <v/>
      </c>
      <c r="E60" s="136" t="str">
        <f>IF(D60&lt;&gt;"",VLOOKUP(ROW(E59),Beräkningshjälp!AC$2:AH$1082,COLUMN(Beräkningshjälp!AF$2)-COLUMN(Beräkningshjälp!AC$2)+1,FALSE),"")</f>
        <v/>
      </c>
      <c r="F60" s="352" t="str">
        <f t="shared" si="1"/>
        <v/>
      </c>
      <c r="G60" s="2" t="str">
        <f>IF(D60&lt;&gt;"",IF(VLOOKUP(VLOOKUP(E60,Beräkningshjälp!O$2:U$60,7,FALSE),Artuppgifter!$I$11:$P$22,8,FALSE)=TRUE,"Medelvikter!!","ALLA"),"")</f>
        <v/>
      </c>
      <c r="H60" s="2" t="str">
        <f>IF(D60&lt;&gt;"",VLOOKUP(ROW(H59),Beräkningshjälp!AC$2:AH$1082,COLUMN(Beräkningshjälp!AH$2)-COLUMN(Beräkningshjälp!AC$2)+1,FALSE),"")</f>
        <v/>
      </c>
      <c r="I60" s="116" t="str">
        <f>IF(D60&lt;&gt;"",VLOOKUP(ROW(E59),Beräkningshjälp!AC$2:AI$1082,COLUMN(Beräkningshjälp!AI$2)-COLUMN(Beräkningshjälp!AC$2)+1,FALSE),"")</f>
        <v/>
      </c>
    </row>
    <row r="61" spans="1:9" x14ac:dyDescent="0.25">
      <c r="A61" s="2" t="str">
        <f t="shared" si="0"/>
        <v/>
      </c>
      <c r="B61" s="136" t="str">
        <f>IF(D61&lt;&gt;"",'DATA TILL SLU'!$J$3,"")</f>
        <v/>
      </c>
      <c r="C61" s="146" t="str">
        <f>IF(D61&lt;&gt;"",'DATA TILL SLU'!$K$3,"")</f>
        <v/>
      </c>
      <c r="D61" s="2" t="str">
        <f>IF('DATA TILL SLU'!$D$7*1&lt;&gt;"",IF(COUNT(Beräkningshjälp!$AC$3:$AC$1082)&gt;=ROW(D60),'DATA TILL SLU'!$D$7*1,""),"")</f>
        <v/>
      </c>
      <c r="E61" s="136" t="str">
        <f>IF(D61&lt;&gt;"",VLOOKUP(ROW(E60),Beräkningshjälp!AC$2:AH$1082,COLUMN(Beräkningshjälp!AF$2)-COLUMN(Beräkningshjälp!AC$2)+1,FALSE),"")</f>
        <v/>
      </c>
      <c r="F61" s="352" t="str">
        <f t="shared" si="1"/>
        <v/>
      </c>
      <c r="G61" s="2" t="str">
        <f>IF(D61&lt;&gt;"",IF(VLOOKUP(VLOOKUP(E61,Beräkningshjälp!O$2:U$60,7,FALSE),Artuppgifter!$I$11:$P$22,8,FALSE)=TRUE,"Medelvikter!!","ALLA"),"")</f>
        <v/>
      </c>
      <c r="H61" s="2" t="str">
        <f>IF(D61&lt;&gt;"",VLOOKUP(ROW(H60),Beräkningshjälp!AC$2:AH$1082,COLUMN(Beräkningshjälp!AH$2)-COLUMN(Beräkningshjälp!AC$2)+1,FALSE),"")</f>
        <v/>
      </c>
      <c r="I61" s="116" t="str">
        <f>IF(D61&lt;&gt;"",VLOOKUP(ROW(E60),Beräkningshjälp!AC$2:AI$1082,COLUMN(Beräkningshjälp!AI$2)-COLUMN(Beräkningshjälp!AC$2)+1,FALSE),"")</f>
        <v/>
      </c>
    </row>
    <row r="62" spans="1:9" x14ac:dyDescent="0.25">
      <c r="A62" s="2" t="str">
        <f t="shared" si="0"/>
        <v/>
      </c>
      <c r="B62" s="136" t="str">
        <f>IF(D62&lt;&gt;"",'DATA TILL SLU'!$J$3,"")</f>
        <v/>
      </c>
      <c r="C62" s="146" t="str">
        <f>IF(D62&lt;&gt;"",'DATA TILL SLU'!$K$3,"")</f>
        <v/>
      </c>
      <c r="D62" s="2" t="str">
        <f>IF('DATA TILL SLU'!$D$7*1&lt;&gt;"",IF(COUNT(Beräkningshjälp!$AC$3:$AC$1082)&gt;=ROW(D61),'DATA TILL SLU'!$D$7*1,""),"")</f>
        <v/>
      </c>
      <c r="E62" s="136" t="str">
        <f>IF(D62&lt;&gt;"",VLOOKUP(ROW(E61),Beräkningshjälp!AC$2:AH$1082,COLUMN(Beräkningshjälp!AF$2)-COLUMN(Beräkningshjälp!AC$2)+1,FALSE),"")</f>
        <v/>
      </c>
      <c r="F62" s="352" t="str">
        <f t="shared" si="1"/>
        <v/>
      </c>
      <c r="G62" s="2" t="str">
        <f>IF(D62&lt;&gt;"",IF(VLOOKUP(VLOOKUP(E62,Beräkningshjälp!O$2:U$60,7,FALSE),Artuppgifter!$I$11:$P$22,8,FALSE)=TRUE,"Medelvikter!!","ALLA"),"")</f>
        <v/>
      </c>
      <c r="H62" s="2" t="str">
        <f>IF(D62&lt;&gt;"",VLOOKUP(ROW(H61),Beräkningshjälp!AC$2:AH$1082,COLUMN(Beräkningshjälp!AH$2)-COLUMN(Beräkningshjälp!AC$2)+1,FALSE),"")</f>
        <v/>
      </c>
      <c r="I62" s="116" t="str">
        <f>IF(D62&lt;&gt;"",VLOOKUP(ROW(E61),Beräkningshjälp!AC$2:AI$1082,COLUMN(Beräkningshjälp!AI$2)-COLUMN(Beräkningshjälp!AC$2)+1,FALSE),"")</f>
        <v/>
      </c>
    </row>
    <row r="63" spans="1:9" x14ac:dyDescent="0.25">
      <c r="A63" s="2" t="str">
        <f t="shared" si="0"/>
        <v/>
      </c>
      <c r="B63" s="136" t="str">
        <f>IF(D63&lt;&gt;"",'DATA TILL SLU'!$J$3,"")</f>
        <v/>
      </c>
      <c r="C63" s="146" t="str">
        <f>IF(D63&lt;&gt;"",'DATA TILL SLU'!$K$3,"")</f>
        <v/>
      </c>
      <c r="D63" s="2" t="str">
        <f>IF('DATA TILL SLU'!$D$7*1&lt;&gt;"",IF(COUNT(Beräkningshjälp!$AC$3:$AC$1082)&gt;=ROW(D62),'DATA TILL SLU'!$D$7*1,""),"")</f>
        <v/>
      </c>
      <c r="E63" s="136" t="str">
        <f>IF(D63&lt;&gt;"",VLOOKUP(ROW(E62),Beräkningshjälp!AC$2:AH$1082,COLUMN(Beräkningshjälp!AF$2)-COLUMN(Beräkningshjälp!AC$2)+1,FALSE),"")</f>
        <v/>
      </c>
      <c r="F63" s="352" t="str">
        <f t="shared" si="1"/>
        <v/>
      </c>
      <c r="G63" s="2" t="str">
        <f>IF(D63&lt;&gt;"",IF(VLOOKUP(VLOOKUP(E63,Beräkningshjälp!O$2:U$60,7,FALSE),Artuppgifter!$I$11:$P$22,8,FALSE)=TRUE,"Medelvikter!!","ALLA"),"")</f>
        <v/>
      </c>
      <c r="H63" s="2" t="str">
        <f>IF(D63&lt;&gt;"",VLOOKUP(ROW(H62),Beräkningshjälp!AC$2:AH$1082,COLUMN(Beräkningshjälp!AH$2)-COLUMN(Beräkningshjälp!AC$2)+1,FALSE),"")</f>
        <v/>
      </c>
      <c r="I63" s="116" t="str">
        <f>IF(D63&lt;&gt;"",VLOOKUP(ROW(E62),Beräkningshjälp!AC$2:AI$1082,COLUMN(Beräkningshjälp!AI$2)-COLUMN(Beräkningshjälp!AC$2)+1,FALSE),"")</f>
        <v/>
      </c>
    </row>
    <row r="64" spans="1:9" x14ac:dyDescent="0.25">
      <c r="A64" s="2" t="str">
        <f t="shared" si="0"/>
        <v/>
      </c>
      <c r="B64" s="136" t="str">
        <f>IF(D64&lt;&gt;"",'DATA TILL SLU'!$J$3,"")</f>
        <v/>
      </c>
      <c r="C64" s="146" t="str">
        <f>IF(D64&lt;&gt;"",'DATA TILL SLU'!$K$3,"")</f>
        <v/>
      </c>
      <c r="D64" s="2" t="str">
        <f>IF('DATA TILL SLU'!$D$7*1&lt;&gt;"",IF(COUNT(Beräkningshjälp!$AC$3:$AC$1082)&gt;=ROW(D63),'DATA TILL SLU'!$D$7*1,""),"")</f>
        <v/>
      </c>
      <c r="E64" s="136" t="str">
        <f>IF(D64&lt;&gt;"",VLOOKUP(ROW(E63),Beräkningshjälp!AC$2:AH$1082,COLUMN(Beräkningshjälp!AF$2)-COLUMN(Beräkningshjälp!AC$2)+1,FALSE),"")</f>
        <v/>
      </c>
      <c r="F64" s="352" t="str">
        <f t="shared" si="1"/>
        <v/>
      </c>
      <c r="G64" s="2" t="str">
        <f>IF(D64&lt;&gt;"",IF(VLOOKUP(VLOOKUP(E64,Beräkningshjälp!O$2:U$60,7,FALSE),Artuppgifter!$I$11:$P$22,8,FALSE)=TRUE,"Medelvikter!!","ALLA"),"")</f>
        <v/>
      </c>
      <c r="H64" s="2" t="str">
        <f>IF(D64&lt;&gt;"",VLOOKUP(ROW(H63),Beräkningshjälp!AC$2:AH$1082,COLUMN(Beräkningshjälp!AH$2)-COLUMN(Beräkningshjälp!AC$2)+1,FALSE),"")</f>
        <v/>
      </c>
      <c r="I64" s="116" t="str">
        <f>IF(D64&lt;&gt;"",VLOOKUP(ROW(E63),Beräkningshjälp!AC$2:AI$1082,COLUMN(Beräkningshjälp!AI$2)-COLUMN(Beräkningshjälp!AC$2)+1,FALSE),"")</f>
        <v/>
      </c>
    </row>
    <row r="65" spans="1:9" x14ac:dyDescent="0.25">
      <c r="A65" s="2" t="str">
        <f t="shared" si="0"/>
        <v/>
      </c>
      <c r="B65" s="136" t="str">
        <f>IF(D65&lt;&gt;"",'DATA TILL SLU'!$J$3,"")</f>
        <v/>
      </c>
      <c r="C65" s="146" t="str">
        <f>IF(D65&lt;&gt;"",'DATA TILL SLU'!$K$3,"")</f>
        <v/>
      </c>
      <c r="D65" s="2" t="str">
        <f>IF('DATA TILL SLU'!$D$7*1&lt;&gt;"",IF(COUNT(Beräkningshjälp!$AC$3:$AC$1082)&gt;=ROW(D64),'DATA TILL SLU'!$D$7*1,""),"")</f>
        <v/>
      </c>
      <c r="E65" s="136" t="str">
        <f>IF(D65&lt;&gt;"",VLOOKUP(ROW(E64),Beräkningshjälp!AC$2:AH$1082,COLUMN(Beräkningshjälp!AF$2)-COLUMN(Beräkningshjälp!AC$2)+1,FALSE),"")</f>
        <v/>
      </c>
      <c r="F65" s="352" t="str">
        <f t="shared" si="1"/>
        <v/>
      </c>
      <c r="G65" s="2" t="str">
        <f>IF(D65&lt;&gt;"",IF(VLOOKUP(VLOOKUP(E65,Beräkningshjälp!O$2:U$60,7,FALSE),Artuppgifter!$I$11:$P$22,8,FALSE)=TRUE,"Medelvikter!!","ALLA"),"")</f>
        <v/>
      </c>
      <c r="H65" s="2" t="str">
        <f>IF(D65&lt;&gt;"",VLOOKUP(ROW(H64),Beräkningshjälp!AC$2:AH$1082,COLUMN(Beräkningshjälp!AH$2)-COLUMN(Beräkningshjälp!AC$2)+1,FALSE),"")</f>
        <v/>
      </c>
      <c r="I65" s="116" t="str">
        <f>IF(D65&lt;&gt;"",VLOOKUP(ROW(E64),Beräkningshjälp!AC$2:AI$1082,COLUMN(Beräkningshjälp!AI$2)-COLUMN(Beräkningshjälp!AC$2)+1,FALSE),"")</f>
        <v/>
      </c>
    </row>
    <row r="66" spans="1:9" x14ac:dyDescent="0.25">
      <c r="A66" s="2" t="str">
        <f t="shared" si="0"/>
        <v/>
      </c>
      <c r="B66" s="136" t="str">
        <f>IF(D66&lt;&gt;"",'DATA TILL SLU'!$J$3,"")</f>
        <v/>
      </c>
      <c r="C66" s="146" t="str">
        <f>IF(D66&lt;&gt;"",'DATA TILL SLU'!$K$3,"")</f>
        <v/>
      </c>
      <c r="D66" s="2" t="str">
        <f>IF('DATA TILL SLU'!$D$7*1&lt;&gt;"",IF(COUNT(Beräkningshjälp!$AC$3:$AC$1082)&gt;=ROW(D65),'DATA TILL SLU'!$D$7*1,""),"")</f>
        <v/>
      </c>
      <c r="E66" s="136" t="str">
        <f>IF(D66&lt;&gt;"",VLOOKUP(ROW(E65),Beräkningshjälp!AC$2:AH$1082,COLUMN(Beräkningshjälp!AF$2)-COLUMN(Beräkningshjälp!AC$2)+1,FALSE),"")</f>
        <v/>
      </c>
      <c r="F66" s="352" t="str">
        <f t="shared" si="1"/>
        <v/>
      </c>
      <c r="G66" s="2" t="str">
        <f>IF(D66&lt;&gt;"",IF(VLOOKUP(VLOOKUP(E66,Beräkningshjälp!O$2:U$60,7,FALSE),Artuppgifter!$I$11:$P$22,8,FALSE)=TRUE,"Medelvikter!!","ALLA"),"")</f>
        <v/>
      </c>
      <c r="H66" s="2" t="str">
        <f>IF(D66&lt;&gt;"",VLOOKUP(ROW(H65),Beräkningshjälp!AC$2:AH$1082,COLUMN(Beräkningshjälp!AH$2)-COLUMN(Beräkningshjälp!AC$2)+1,FALSE),"")</f>
        <v/>
      </c>
      <c r="I66" s="116" t="str">
        <f>IF(D66&lt;&gt;"",VLOOKUP(ROW(E65),Beräkningshjälp!AC$2:AI$1082,COLUMN(Beräkningshjälp!AI$2)-COLUMN(Beräkningshjälp!AC$2)+1,FALSE),"")</f>
        <v/>
      </c>
    </row>
    <row r="67" spans="1:9" x14ac:dyDescent="0.25">
      <c r="A67" s="2" t="str">
        <f t="shared" ref="A67:A130" si="2">IF(D67&lt;&gt;"","LANGDVIKTER","")</f>
        <v/>
      </c>
      <c r="B67" s="136" t="str">
        <f>IF(D67&lt;&gt;"",'DATA TILL SLU'!$J$3,"")</f>
        <v/>
      </c>
      <c r="C67" s="146" t="str">
        <f>IF(D67&lt;&gt;"",'DATA TILL SLU'!$K$3,"")</f>
        <v/>
      </c>
      <c r="D67" s="2" t="str">
        <f>IF('DATA TILL SLU'!$D$7*1&lt;&gt;"",IF(COUNT(Beräkningshjälp!$AC$3:$AC$1082)&gt;=ROW(D66),'DATA TILL SLU'!$D$7*1,""),"")</f>
        <v/>
      </c>
      <c r="E67" s="136" t="str">
        <f>IF(D67&lt;&gt;"",VLOOKUP(ROW(E66),Beräkningshjälp!AC$2:AH$1082,COLUMN(Beräkningshjälp!AF$2)-COLUMN(Beräkningshjälp!AC$2)+1,FALSE),"")</f>
        <v/>
      </c>
      <c r="F67" s="352" t="str">
        <f t="shared" ref="F67:F130" si="3">IF(D67&lt;&gt;"","IND","")</f>
        <v/>
      </c>
      <c r="G67" s="2" t="str">
        <f>IF(D67&lt;&gt;"",IF(VLOOKUP(VLOOKUP(E67,Beräkningshjälp!O$2:U$60,7,FALSE),Artuppgifter!$I$11:$P$22,8,FALSE)=TRUE,"Medelvikter!!","ALLA"),"")</f>
        <v/>
      </c>
      <c r="H67" s="2" t="str">
        <f>IF(D67&lt;&gt;"",VLOOKUP(ROW(H66),Beräkningshjälp!AC$2:AH$1082,COLUMN(Beräkningshjälp!AH$2)-COLUMN(Beräkningshjälp!AC$2)+1,FALSE),"")</f>
        <v/>
      </c>
      <c r="I67" s="116" t="str">
        <f>IF(D67&lt;&gt;"",VLOOKUP(ROW(E66),Beräkningshjälp!AC$2:AI$1082,COLUMN(Beräkningshjälp!AI$2)-COLUMN(Beräkningshjälp!AC$2)+1,FALSE),"")</f>
        <v/>
      </c>
    </row>
    <row r="68" spans="1:9" x14ac:dyDescent="0.25">
      <c r="A68" s="2" t="str">
        <f t="shared" si="2"/>
        <v/>
      </c>
      <c r="B68" s="136" t="str">
        <f>IF(D68&lt;&gt;"",'DATA TILL SLU'!$J$3,"")</f>
        <v/>
      </c>
      <c r="C68" s="146" t="str">
        <f>IF(D68&lt;&gt;"",'DATA TILL SLU'!$K$3,"")</f>
        <v/>
      </c>
      <c r="D68" s="2" t="str">
        <f>IF('DATA TILL SLU'!$D$7*1&lt;&gt;"",IF(COUNT(Beräkningshjälp!$AC$3:$AC$1082)&gt;=ROW(D67),'DATA TILL SLU'!$D$7*1,""),"")</f>
        <v/>
      </c>
      <c r="E68" s="136" t="str">
        <f>IF(D68&lt;&gt;"",VLOOKUP(ROW(E67),Beräkningshjälp!AC$2:AH$1082,COLUMN(Beräkningshjälp!AF$2)-COLUMN(Beräkningshjälp!AC$2)+1,FALSE),"")</f>
        <v/>
      </c>
      <c r="F68" s="352" t="str">
        <f t="shared" si="3"/>
        <v/>
      </c>
      <c r="G68" s="2" t="str">
        <f>IF(D68&lt;&gt;"",IF(VLOOKUP(VLOOKUP(E68,Beräkningshjälp!O$2:U$60,7,FALSE),Artuppgifter!$I$11:$P$22,8,FALSE)=TRUE,"Medelvikter!!","ALLA"),"")</f>
        <v/>
      </c>
      <c r="H68" s="2" t="str">
        <f>IF(D68&lt;&gt;"",VLOOKUP(ROW(H67),Beräkningshjälp!AC$2:AH$1082,COLUMN(Beräkningshjälp!AH$2)-COLUMN(Beräkningshjälp!AC$2)+1,FALSE),"")</f>
        <v/>
      </c>
      <c r="I68" s="116" t="str">
        <f>IF(D68&lt;&gt;"",VLOOKUP(ROW(E67),Beräkningshjälp!AC$2:AI$1082,COLUMN(Beräkningshjälp!AI$2)-COLUMN(Beräkningshjälp!AC$2)+1,FALSE),"")</f>
        <v/>
      </c>
    </row>
    <row r="69" spans="1:9" x14ac:dyDescent="0.25">
      <c r="A69" s="2" t="str">
        <f t="shared" si="2"/>
        <v/>
      </c>
      <c r="B69" s="136" t="str">
        <f>IF(D69&lt;&gt;"",'DATA TILL SLU'!$J$3,"")</f>
        <v/>
      </c>
      <c r="C69" s="146" t="str">
        <f>IF(D69&lt;&gt;"",'DATA TILL SLU'!$K$3,"")</f>
        <v/>
      </c>
      <c r="D69" s="2" t="str">
        <f>IF('DATA TILL SLU'!$D$7*1&lt;&gt;"",IF(COUNT(Beräkningshjälp!$AC$3:$AC$1082)&gt;=ROW(D68),'DATA TILL SLU'!$D$7*1,""),"")</f>
        <v/>
      </c>
      <c r="E69" s="136" t="str">
        <f>IF(D69&lt;&gt;"",VLOOKUP(ROW(E68),Beräkningshjälp!AC$2:AH$1082,COLUMN(Beräkningshjälp!AF$2)-COLUMN(Beräkningshjälp!AC$2)+1,FALSE),"")</f>
        <v/>
      </c>
      <c r="F69" s="352" t="str">
        <f t="shared" si="3"/>
        <v/>
      </c>
      <c r="G69" s="2" t="str">
        <f>IF(D69&lt;&gt;"",IF(VLOOKUP(VLOOKUP(E69,Beräkningshjälp!O$2:U$60,7,FALSE),Artuppgifter!$I$11:$P$22,8,FALSE)=TRUE,"Medelvikter!!","ALLA"),"")</f>
        <v/>
      </c>
      <c r="H69" s="2" t="str">
        <f>IF(D69&lt;&gt;"",VLOOKUP(ROW(H68),Beräkningshjälp!AC$2:AH$1082,COLUMN(Beräkningshjälp!AH$2)-COLUMN(Beräkningshjälp!AC$2)+1,FALSE),"")</f>
        <v/>
      </c>
      <c r="I69" s="116" t="str">
        <f>IF(D69&lt;&gt;"",VLOOKUP(ROW(E68),Beräkningshjälp!AC$2:AI$1082,COLUMN(Beräkningshjälp!AI$2)-COLUMN(Beräkningshjälp!AC$2)+1,FALSE),"")</f>
        <v/>
      </c>
    </row>
    <row r="70" spans="1:9" x14ac:dyDescent="0.25">
      <c r="A70" s="2" t="str">
        <f t="shared" si="2"/>
        <v/>
      </c>
      <c r="B70" s="136" t="str">
        <f>IF(D70&lt;&gt;"",'DATA TILL SLU'!$J$3,"")</f>
        <v/>
      </c>
      <c r="C70" s="146" t="str">
        <f>IF(D70&lt;&gt;"",'DATA TILL SLU'!$K$3,"")</f>
        <v/>
      </c>
      <c r="D70" s="2" t="str">
        <f>IF('DATA TILL SLU'!$D$7*1&lt;&gt;"",IF(COUNT(Beräkningshjälp!$AC$3:$AC$1082)&gt;=ROW(D69),'DATA TILL SLU'!$D$7*1,""),"")</f>
        <v/>
      </c>
      <c r="E70" s="136" t="str">
        <f>IF(D70&lt;&gt;"",VLOOKUP(ROW(E69),Beräkningshjälp!AC$2:AH$1082,COLUMN(Beräkningshjälp!AF$2)-COLUMN(Beräkningshjälp!AC$2)+1,FALSE),"")</f>
        <v/>
      </c>
      <c r="F70" s="352" t="str">
        <f t="shared" si="3"/>
        <v/>
      </c>
      <c r="G70" s="2" t="str">
        <f>IF(D70&lt;&gt;"",IF(VLOOKUP(VLOOKUP(E70,Beräkningshjälp!O$2:U$60,7,FALSE),Artuppgifter!$I$11:$P$22,8,FALSE)=TRUE,"Medelvikter!!","ALLA"),"")</f>
        <v/>
      </c>
      <c r="H70" s="2" t="str">
        <f>IF(D70&lt;&gt;"",VLOOKUP(ROW(H69),Beräkningshjälp!AC$2:AH$1082,COLUMN(Beräkningshjälp!AH$2)-COLUMN(Beräkningshjälp!AC$2)+1,FALSE),"")</f>
        <v/>
      </c>
      <c r="I70" s="116" t="str">
        <f>IF(D70&lt;&gt;"",VLOOKUP(ROW(E69),Beräkningshjälp!AC$2:AI$1082,COLUMN(Beräkningshjälp!AI$2)-COLUMN(Beräkningshjälp!AC$2)+1,FALSE),"")</f>
        <v/>
      </c>
    </row>
    <row r="71" spans="1:9" x14ac:dyDescent="0.25">
      <c r="A71" s="2" t="str">
        <f t="shared" si="2"/>
        <v/>
      </c>
      <c r="B71" s="136" t="str">
        <f>IF(D71&lt;&gt;"",'DATA TILL SLU'!$J$3,"")</f>
        <v/>
      </c>
      <c r="C71" s="146" t="str">
        <f>IF(D71&lt;&gt;"",'DATA TILL SLU'!$K$3,"")</f>
        <v/>
      </c>
      <c r="D71" s="2" t="str">
        <f>IF('DATA TILL SLU'!$D$7*1&lt;&gt;"",IF(COUNT(Beräkningshjälp!$AC$3:$AC$1082)&gt;=ROW(D70),'DATA TILL SLU'!$D$7*1,""),"")</f>
        <v/>
      </c>
      <c r="E71" s="136" t="str">
        <f>IF(D71&lt;&gt;"",VLOOKUP(ROW(E70),Beräkningshjälp!AC$2:AH$1082,COLUMN(Beräkningshjälp!AF$2)-COLUMN(Beräkningshjälp!AC$2)+1,FALSE),"")</f>
        <v/>
      </c>
      <c r="F71" s="352" t="str">
        <f t="shared" si="3"/>
        <v/>
      </c>
      <c r="G71" s="2" t="str">
        <f>IF(D71&lt;&gt;"",IF(VLOOKUP(VLOOKUP(E71,Beräkningshjälp!O$2:U$60,7,FALSE),Artuppgifter!$I$11:$P$22,8,FALSE)=TRUE,"Medelvikter!!","ALLA"),"")</f>
        <v/>
      </c>
      <c r="H71" s="2" t="str">
        <f>IF(D71&lt;&gt;"",VLOOKUP(ROW(H70),Beräkningshjälp!AC$2:AH$1082,COLUMN(Beräkningshjälp!AH$2)-COLUMN(Beräkningshjälp!AC$2)+1,FALSE),"")</f>
        <v/>
      </c>
      <c r="I71" s="116" t="str">
        <f>IF(D71&lt;&gt;"",VLOOKUP(ROW(E70),Beräkningshjälp!AC$2:AI$1082,COLUMN(Beräkningshjälp!AI$2)-COLUMN(Beräkningshjälp!AC$2)+1,FALSE),"")</f>
        <v/>
      </c>
    </row>
    <row r="72" spans="1:9" x14ac:dyDescent="0.25">
      <c r="A72" s="2" t="str">
        <f t="shared" si="2"/>
        <v/>
      </c>
      <c r="B72" s="136" t="str">
        <f>IF(D72&lt;&gt;"",'DATA TILL SLU'!$J$3,"")</f>
        <v/>
      </c>
      <c r="C72" s="146" t="str">
        <f>IF(D72&lt;&gt;"",'DATA TILL SLU'!$K$3,"")</f>
        <v/>
      </c>
      <c r="D72" s="2" t="str">
        <f>IF('DATA TILL SLU'!$D$7*1&lt;&gt;"",IF(COUNT(Beräkningshjälp!$AC$3:$AC$1082)&gt;=ROW(D71),'DATA TILL SLU'!$D$7*1,""),"")</f>
        <v/>
      </c>
      <c r="E72" s="136" t="str">
        <f>IF(D72&lt;&gt;"",VLOOKUP(ROW(E71),Beräkningshjälp!AC$2:AH$1082,COLUMN(Beräkningshjälp!AF$2)-COLUMN(Beräkningshjälp!AC$2)+1,FALSE),"")</f>
        <v/>
      </c>
      <c r="F72" s="352" t="str">
        <f t="shared" si="3"/>
        <v/>
      </c>
      <c r="G72" s="2" t="str">
        <f>IF(D72&lt;&gt;"",IF(VLOOKUP(VLOOKUP(E72,Beräkningshjälp!O$2:U$60,7,FALSE),Artuppgifter!$I$11:$P$22,8,FALSE)=TRUE,"Medelvikter!!","ALLA"),"")</f>
        <v/>
      </c>
      <c r="H72" s="2" t="str">
        <f>IF(D72&lt;&gt;"",VLOOKUP(ROW(H71),Beräkningshjälp!AC$2:AH$1082,COLUMN(Beräkningshjälp!AH$2)-COLUMN(Beräkningshjälp!AC$2)+1,FALSE),"")</f>
        <v/>
      </c>
      <c r="I72" s="116" t="str">
        <f>IF(D72&lt;&gt;"",VLOOKUP(ROW(E71),Beräkningshjälp!AC$2:AI$1082,COLUMN(Beräkningshjälp!AI$2)-COLUMN(Beräkningshjälp!AC$2)+1,FALSE),"")</f>
        <v/>
      </c>
    </row>
    <row r="73" spans="1:9" x14ac:dyDescent="0.25">
      <c r="A73" s="2" t="str">
        <f t="shared" si="2"/>
        <v/>
      </c>
      <c r="B73" s="136" t="str">
        <f>IF(D73&lt;&gt;"",'DATA TILL SLU'!$J$3,"")</f>
        <v/>
      </c>
      <c r="C73" s="146" t="str">
        <f>IF(D73&lt;&gt;"",'DATA TILL SLU'!$K$3,"")</f>
        <v/>
      </c>
      <c r="D73" s="2" t="str">
        <f>IF('DATA TILL SLU'!$D$7*1&lt;&gt;"",IF(COUNT(Beräkningshjälp!$AC$3:$AC$1082)&gt;=ROW(D72),'DATA TILL SLU'!$D$7*1,""),"")</f>
        <v/>
      </c>
      <c r="E73" s="136" t="str">
        <f>IF(D73&lt;&gt;"",VLOOKUP(ROW(E72),Beräkningshjälp!AC$2:AH$1082,COLUMN(Beräkningshjälp!AF$2)-COLUMN(Beräkningshjälp!AC$2)+1,FALSE),"")</f>
        <v/>
      </c>
      <c r="F73" s="352" t="str">
        <f t="shared" si="3"/>
        <v/>
      </c>
      <c r="G73" s="2" t="str">
        <f>IF(D73&lt;&gt;"",IF(VLOOKUP(VLOOKUP(E73,Beräkningshjälp!O$2:U$60,7,FALSE),Artuppgifter!$I$11:$P$22,8,FALSE)=TRUE,"Medelvikter!!","ALLA"),"")</f>
        <v/>
      </c>
      <c r="H73" s="2" t="str">
        <f>IF(D73&lt;&gt;"",VLOOKUP(ROW(H72),Beräkningshjälp!AC$2:AH$1082,COLUMN(Beräkningshjälp!AH$2)-COLUMN(Beräkningshjälp!AC$2)+1,FALSE),"")</f>
        <v/>
      </c>
      <c r="I73" s="116" t="str">
        <f>IF(D73&lt;&gt;"",VLOOKUP(ROW(E72),Beräkningshjälp!AC$2:AI$1082,COLUMN(Beräkningshjälp!AI$2)-COLUMN(Beräkningshjälp!AC$2)+1,FALSE),"")</f>
        <v/>
      </c>
    </row>
    <row r="74" spans="1:9" x14ac:dyDescent="0.25">
      <c r="A74" s="2" t="str">
        <f t="shared" si="2"/>
        <v/>
      </c>
      <c r="B74" s="136" t="str">
        <f>IF(D74&lt;&gt;"",'DATA TILL SLU'!$J$3,"")</f>
        <v/>
      </c>
      <c r="C74" s="146" t="str">
        <f>IF(D74&lt;&gt;"",'DATA TILL SLU'!$K$3,"")</f>
        <v/>
      </c>
      <c r="D74" s="2" t="str">
        <f>IF('DATA TILL SLU'!$D$7*1&lt;&gt;"",IF(COUNT(Beräkningshjälp!$AC$3:$AC$1082)&gt;=ROW(D73),'DATA TILL SLU'!$D$7*1,""),"")</f>
        <v/>
      </c>
      <c r="E74" s="136" t="str">
        <f>IF(D74&lt;&gt;"",VLOOKUP(ROW(E73),Beräkningshjälp!AC$2:AH$1082,COLUMN(Beräkningshjälp!AF$2)-COLUMN(Beräkningshjälp!AC$2)+1,FALSE),"")</f>
        <v/>
      </c>
      <c r="F74" s="352" t="str">
        <f t="shared" si="3"/>
        <v/>
      </c>
      <c r="G74" s="2" t="str">
        <f>IF(D74&lt;&gt;"",IF(VLOOKUP(VLOOKUP(E74,Beräkningshjälp!O$2:U$60,7,FALSE),Artuppgifter!$I$11:$P$22,8,FALSE)=TRUE,"Medelvikter!!","ALLA"),"")</f>
        <v/>
      </c>
      <c r="H74" s="2" t="str">
        <f>IF(D74&lt;&gt;"",VLOOKUP(ROW(H73),Beräkningshjälp!AC$2:AH$1082,COLUMN(Beräkningshjälp!AH$2)-COLUMN(Beräkningshjälp!AC$2)+1,FALSE),"")</f>
        <v/>
      </c>
      <c r="I74" s="116" t="str">
        <f>IF(D74&lt;&gt;"",VLOOKUP(ROW(E73),Beräkningshjälp!AC$2:AI$1082,COLUMN(Beräkningshjälp!AI$2)-COLUMN(Beräkningshjälp!AC$2)+1,FALSE),"")</f>
        <v/>
      </c>
    </row>
    <row r="75" spans="1:9" x14ac:dyDescent="0.25">
      <c r="A75" s="2" t="str">
        <f t="shared" si="2"/>
        <v/>
      </c>
      <c r="B75" s="136" t="str">
        <f>IF(D75&lt;&gt;"",'DATA TILL SLU'!$J$3,"")</f>
        <v/>
      </c>
      <c r="C75" s="146" t="str">
        <f>IF(D75&lt;&gt;"",'DATA TILL SLU'!$K$3,"")</f>
        <v/>
      </c>
      <c r="D75" s="2" t="str">
        <f>IF('DATA TILL SLU'!$D$7*1&lt;&gt;"",IF(COUNT(Beräkningshjälp!$AC$3:$AC$1082)&gt;=ROW(D74),'DATA TILL SLU'!$D$7*1,""),"")</f>
        <v/>
      </c>
      <c r="E75" s="136" t="str">
        <f>IF(D75&lt;&gt;"",VLOOKUP(ROW(E74),Beräkningshjälp!AC$2:AH$1082,COLUMN(Beräkningshjälp!AF$2)-COLUMN(Beräkningshjälp!AC$2)+1,FALSE),"")</f>
        <v/>
      </c>
      <c r="F75" s="352" t="str">
        <f t="shared" si="3"/>
        <v/>
      </c>
      <c r="G75" s="2" t="str">
        <f>IF(D75&lt;&gt;"",IF(VLOOKUP(VLOOKUP(E75,Beräkningshjälp!O$2:U$60,7,FALSE),Artuppgifter!$I$11:$P$22,8,FALSE)=TRUE,"Medelvikter!!","ALLA"),"")</f>
        <v/>
      </c>
      <c r="H75" s="2" t="str">
        <f>IF(D75&lt;&gt;"",VLOOKUP(ROW(H74),Beräkningshjälp!AC$2:AH$1082,COLUMN(Beräkningshjälp!AH$2)-COLUMN(Beräkningshjälp!AC$2)+1,FALSE),"")</f>
        <v/>
      </c>
      <c r="I75" s="116" t="str">
        <f>IF(D75&lt;&gt;"",VLOOKUP(ROW(E74),Beräkningshjälp!AC$2:AI$1082,COLUMN(Beräkningshjälp!AI$2)-COLUMN(Beräkningshjälp!AC$2)+1,FALSE),"")</f>
        <v/>
      </c>
    </row>
    <row r="76" spans="1:9" x14ac:dyDescent="0.25">
      <c r="A76" s="2" t="str">
        <f t="shared" si="2"/>
        <v/>
      </c>
      <c r="B76" s="136" t="str">
        <f>IF(D76&lt;&gt;"",'DATA TILL SLU'!$J$3,"")</f>
        <v/>
      </c>
      <c r="C76" s="146" t="str">
        <f>IF(D76&lt;&gt;"",'DATA TILL SLU'!$K$3,"")</f>
        <v/>
      </c>
      <c r="D76" s="2" t="str">
        <f>IF('DATA TILL SLU'!$D$7*1&lt;&gt;"",IF(COUNT(Beräkningshjälp!$AC$3:$AC$1082)&gt;=ROW(D75),'DATA TILL SLU'!$D$7*1,""),"")</f>
        <v/>
      </c>
      <c r="E76" s="136" t="str">
        <f>IF(D76&lt;&gt;"",VLOOKUP(ROW(E75),Beräkningshjälp!AC$2:AH$1082,COLUMN(Beräkningshjälp!AF$2)-COLUMN(Beräkningshjälp!AC$2)+1,FALSE),"")</f>
        <v/>
      </c>
      <c r="F76" s="352" t="str">
        <f t="shared" si="3"/>
        <v/>
      </c>
      <c r="G76" s="2" t="str">
        <f>IF(D76&lt;&gt;"",IF(VLOOKUP(VLOOKUP(E76,Beräkningshjälp!O$2:U$60,7,FALSE),Artuppgifter!$I$11:$P$22,8,FALSE)=TRUE,"Medelvikter!!","ALLA"),"")</f>
        <v/>
      </c>
      <c r="H76" s="2" t="str">
        <f>IF(D76&lt;&gt;"",VLOOKUP(ROW(H75),Beräkningshjälp!AC$2:AH$1082,COLUMN(Beräkningshjälp!AH$2)-COLUMN(Beräkningshjälp!AC$2)+1,FALSE),"")</f>
        <v/>
      </c>
      <c r="I76" s="116" t="str">
        <f>IF(D76&lt;&gt;"",VLOOKUP(ROW(E75),Beräkningshjälp!AC$2:AI$1082,COLUMN(Beräkningshjälp!AI$2)-COLUMN(Beräkningshjälp!AC$2)+1,FALSE),"")</f>
        <v/>
      </c>
    </row>
    <row r="77" spans="1:9" x14ac:dyDescent="0.25">
      <c r="A77" s="2" t="str">
        <f t="shared" si="2"/>
        <v/>
      </c>
      <c r="B77" s="136" t="str">
        <f>IF(D77&lt;&gt;"",'DATA TILL SLU'!$J$3,"")</f>
        <v/>
      </c>
      <c r="C77" s="146" t="str">
        <f>IF(D77&lt;&gt;"",'DATA TILL SLU'!$K$3,"")</f>
        <v/>
      </c>
      <c r="D77" s="2" t="str">
        <f>IF('DATA TILL SLU'!$D$7*1&lt;&gt;"",IF(COUNT(Beräkningshjälp!$AC$3:$AC$1082)&gt;=ROW(D76),'DATA TILL SLU'!$D$7*1,""),"")</f>
        <v/>
      </c>
      <c r="E77" s="136" t="str">
        <f>IF(D77&lt;&gt;"",VLOOKUP(ROW(E76),Beräkningshjälp!AC$2:AH$1082,COLUMN(Beräkningshjälp!AF$2)-COLUMN(Beräkningshjälp!AC$2)+1,FALSE),"")</f>
        <v/>
      </c>
      <c r="F77" s="352" t="str">
        <f t="shared" si="3"/>
        <v/>
      </c>
      <c r="G77" s="2" t="str">
        <f>IF(D77&lt;&gt;"",IF(VLOOKUP(VLOOKUP(E77,Beräkningshjälp!O$2:U$60,7,FALSE),Artuppgifter!$I$11:$P$22,8,FALSE)=TRUE,"Medelvikter!!","ALLA"),"")</f>
        <v/>
      </c>
      <c r="H77" s="2" t="str">
        <f>IF(D77&lt;&gt;"",VLOOKUP(ROW(H76),Beräkningshjälp!AC$2:AH$1082,COLUMN(Beräkningshjälp!AH$2)-COLUMN(Beräkningshjälp!AC$2)+1,FALSE),"")</f>
        <v/>
      </c>
      <c r="I77" s="116" t="str">
        <f>IF(D77&lt;&gt;"",VLOOKUP(ROW(E76),Beräkningshjälp!AC$2:AI$1082,COLUMN(Beräkningshjälp!AI$2)-COLUMN(Beräkningshjälp!AC$2)+1,FALSE),"")</f>
        <v/>
      </c>
    </row>
    <row r="78" spans="1:9" x14ac:dyDescent="0.25">
      <c r="A78" s="2" t="str">
        <f t="shared" si="2"/>
        <v/>
      </c>
      <c r="B78" s="136" t="str">
        <f>IF(D78&lt;&gt;"",'DATA TILL SLU'!$J$3,"")</f>
        <v/>
      </c>
      <c r="C78" s="146" t="str">
        <f>IF(D78&lt;&gt;"",'DATA TILL SLU'!$K$3,"")</f>
        <v/>
      </c>
      <c r="D78" s="2" t="str">
        <f>IF('DATA TILL SLU'!$D$7*1&lt;&gt;"",IF(COUNT(Beräkningshjälp!$AC$3:$AC$1082)&gt;=ROW(D77),'DATA TILL SLU'!$D$7*1,""),"")</f>
        <v/>
      </c>
      <c r="E78" s="136" t="str">
        <f>IF(D78&lt;&gt;"",VLOOKUP(ROW(E77),Beräkningshjälp!AC$2:AH$1082,COLUMN(Beräkningshjälp!AF$2)-COLUMN(Beräkningshjälp!AC$2)+1,FALSE),"")</f>
        <v/>
      </c>
      <c r="F78" s="352" t="str">
        <f t="shared" si="3"/>
        <v/>
      </c>
      <c r="G78" s="2" t="str">
        <f>IF(D78&lt;&gt;"",IF(VLOOKUP(VLOOKUP(E78,Beräkningshjälp!O$2:U$60,7,FALSE),Artuppgifter!$I$11:$P$22,8,FALSE)=TRUE,"Medelvikter!!","ALLA"),"")</f>
        <v/>
      </c>
      <c r="H78" s="2" t="str">
        <f>IF(D78&lt;&gt;"",VLOOKUP(ROW(H77),Beräkningshjälp!AC$2:AH$1082,COLUMN(Beräkningshjälp!AH$2)-COLUMN(Beräkningshjälp!AC$2)+1,FALSE),"")</f>
        <v/>
      </c>
      <c r="I78" s="116" t="str">
        <f>IF(D78&lt;&gt;"",VLOOKUP(ROW(E77),Beräkningshjälp!AC$2:AI$1082,COLUMN(Beräkningshjälp!AI$2)-COLUMN(Beräkningshjälp!AC$2)+1,FALSE),"")</f>
        <v/>
      </c>
    </row>
    <row r="79" spans="1:9" x14ac:dyDescent="0.25">
      <c r="A79" s="2" t="str">
        <f t="shared" si="2"/>
        <v/>
      </c>
      <c r="B79" s="136" t="str">
        <f>IF(D79&lt;&gt;"",'DATA TILL SLU'!$J$3,"")</f>
        <v/>
      </c>
      <c r="C79" s="146" t="str">
        <f>IF(D79&lt;&gt;"",'DATA TILL SLU'!$K$3,"")</f>
        <v/>
      </c>
      <c r="D79" s="2" t="str">
        <f>IF('DATA TILL SLU'!$D$7*1&lt;&gt;"",IF(COUNT(Beräkningshjälp!$AC$3:$AC$1082)&gt;=ROW(D78),'DATA TILL SLU'!$D$7*1,""),"")</f>
        <v/>
      </c>
      <c r="E79" s="136" t="str">
        <f>IF(D79&lt;&gt;"",VLOOKUP(ROW(E78),Beräkningshjälp!AC$2:AH$1082,COLUMN(Beräkningshjälp!AF$2)-COLUMN(Beräkningshjälp!AC$2)+1,FALSE),"")</f>
        <v/>
      </c>
      <c r="F79" s="352" t="str">
        <f t="shared" si="3"/>
        <v/>
      </c>
      <c r="G79" s="2" t="str">
        <f>IF(D79&lt;&gt;"",IF(VLOOKUP(VLOOKUP(E79,Beräkningshjälp!O$2:U$60,7,FALSE),Artuppgifter!$I$11:$P$22,8,FALSE)=TRUE,"Medelvikter!!","ALLA"),"")</f>
        <v/>
      </c>
      <c r="H79" s="2" t="str">
        <f>IF(D79&lt;&gt;"",VLOOKUP(ROW(H78),Beräkningshjälp!AC$2:AH$1082,COLUMN(Beräkningshjälp!AH$2)-COLUMN(Beräkningshjälp!AC$2)+1,FALSE),"")</f>
        <v/>
      </c>
      <c r="I79" s="116" t="str">
        <f>IF(D79&lt;&gt;"",VLOOKUP(ROW(E78),Beräkningshjälp!AC$2:AI$1082,COLUMN(Beräkningshjälp!AI$2)-COLUMN(Beräkningshjälp!AC$2)+1,FALSE),"")</f>
        <v/>
      </c>
    </row>
    <row r="80" spans="1:9" x14ac:dyDescent="0.25">
      <c r="A80" s="2" t="str">
        <f t="shared" si="2"/>
        <v/>
      </c>
      <c r="B80" s="136" t="str">
        <f>IF(D80&lt;&gt;"",'DATA TILL SLU'!$J$3,"")</f>
        <v/>
      </c>
      <c r="C80" s="146" t="str">
        <f>IF(D80&lt;&gt;"",'DATA TILL SLU'!$K$3,"")</f>
        <v/>
      </c>
      <c r="D80" s="2" t="str">
        <f>IF('DATA TILL SLU'!$D$7*1&lt;&gt;"",IF(COUNT(Beräkningshjälp!$AC$3:$AC$1082)&gt;=ROW(D79),'DATA TILL SLU'!$D$7*1,""),"")</f>
        <v/>
      </c>
      <c r="E80" s="136" t="str">
        <f>IF(D80&lt;&gt;"",VLOOKUP(ROW(E79),Beräkningshjälp!AC$2:AH$1082,COLUMN(Beräkningshjälp!AF$2)-COLUMN(Beräkningshjälp!AC$2)+1,FALSE),"")</f>
        <v/>
      </c>
      <c r="F80" s="352" t="str">
        <f t="shared" si="3"/>
        <v/>
      </c>
      <c r="G80" s="2" t="str">
        <f>IF(D80&lt;&gt;"",IF(VLOOKUP(VLOOKUP(E80,Beräkningshjälp!O$2:U$60,7,FALSE),Artuppgifter!$I$11:$P$22,8,FALSE)=TRUE,"Medelvikter!!","ALLA"),"")</f>
        <v/>
      </c>
      <c r="H80" s="2" t="str">
        <f>IF(D80&lt;&gt;"",VLOOKUP(ROW(H79),Beräkningshjälp!AC$2:AH$1082,COLUMN(Beräkningshjälp!AH$2)-COLUMN(Beräkningshjälp!AC$2)+1,FALSE),"")</f>
        <v/>
      </c>
      <c r="I80" s="116" t="str">
        <f>IF(D80&lt;&gt;"",VLOOKUP(ROW(E79),Beräkningshjälp!AC$2:AI$1082,COLUMN(Beräkningshjälp!AI$2)-COLUMN(Beräkningshjälp!AC$2)+1,FALSE),"")</f>
        <v/>
      </c>
    </row>
    <row r="81" spans="1:9" x14ac:dyDescent="0.25">
      <c r="A81" s="2" t="str">
        <f t="shared" si="2"/>
        <v/>
      </c>
      <c r="B81" s="136" t="str">
        <f>IF(D81&lt;&gt;"",'DATA TILL SLU'!$J$3,"")</f>
        <v/>
      </c>
      <c r="C81" s="146" t="str">
        <f>IF(D81&lt;&gt;"",'DATA TILL SLU'!$K$3,"")</f>
        <v/>
      </c>
      <c r="D81" s="2" t="str">
        <f>IF('DATA TILL SLU'!$D$7*1&lt;&gt;"",IF(COUNT(Beräkningshjälp!$AC$3:$AC$1082)&gt;=ROW(D80),'DATA TILL SLU'!$D$7*1,""),"")</f>
        <v/>
      </c>
      <c r="E81" s="136" t="str">
        <f>IF(D81&lt;&gt;"",VLOOKUP(ROW(E80),Beräkningshjälp!AC$2:AH$1082,COLUMN(Beräkningshjälp!AF$2)-COLUMN(Beräkningshjälp!AC$2)+1,FALSE),"")</f>
        <v/>
      </c>
      <c r="F81" s="352" t="str">
        <f t="shared" si="3"/>
        <v/>
      </c>
      <c r="G81" s="2" t="str">
        <f>IF(D81&lt;&gt;"",IF(VLOOKUP(VLOOKUP(E81,Beräkningshjälp!O$2:U$60,7,FALSE),Artuppgifter!$I$11:$P$22,8,FALSE)=TRUE,"Medelvikter!!","ALLA"),"")</f>
        <v/>
      </c>
      <c r="H81" s="2" t="str">
        <f>IF(D81&lt;&gt;"",VLOOKUP(ROW(H80),Beräkningshjälp!AC$2:AH$1082,COLUMN(Beräkningshjälp!AH$2)-COLUMN(Beräkningshjälp!AC$2)+1,FALSE),"")</f>
        <v/>
      </c>
      <c r="I81" s="116" t="str">
        <f>IF(D81&lt;&gt;"",VLOOKUP(ROW(E80),Beräkningshjälp!AC$2:AI$1082,COLUMN(Beräkningshjälp!AI$2)-COLUMN(Beräkningshjälp!AC$2)+1,FALSE),"")</f>
        <v/>
      </c>
    </row>
    <row r="82" spans="1:9" x14ac:dyDescent="0.25">
      <c r="A82" s="2" t="str">
        <f t="shared" si="2"/>
        <v/>
      </c>
      <c r="B82" s="136" t="str">
        <f>IF(D82&lt;&gt;"",'DATA TILL SLU'!$J$3,"")</f>
        <v/>
      </c>
      <c r="C82" s="146" t="str">
        <f>IF(D82&lt;&gt;"",'DATA TILL SLU'!$K$3,"")</f>
        <v/>
      </c>
      <c r="D82" s="2" t="str">
        <f>IF('DATA TILL SLU'!$D$7*1&lt;&gt;"",IF(COUNT(Beräkningshjälp!$AC$3:$AC$1082)&gt;=ROW(D81),'DATA TILL SLU'!$D$7*1,""),"")</f>
        <v/>
      </c>
      <c r="E82" s="136" t="str">
        <f>IF(D82&lt;&gt;"",VLOOKUP(ROW(E81),Beräkningshjälp!AC$2:AH$1082,COLUMN(Beräkningshjälp!AF$2)-COLUMN(Beräkningshjälp!AC$2)+1,FALSE),"")</f>
        <v/>
      </c>
      <c r="F82" s="352" t="str">
        <f t="shared" si="3"/>
        <v/>
      </c>
      <c r="G82" s="2" t="str">
        <f>IF(D82&lt;&gt;"",IF(VLOOKUP(VLOOKUP(E82,Beräkningshjälp!O$2:U$60,7,FALSE),Artuppgifter!$I$11:$P$22,8,FALSE)=TRUE,"Medelvikter!!","ALLA"),"")</f>
        <v/>
      </c>
      <c r="H82" s="2" t="str">
        <f>IF(D82&lt;&gt;"",VLOOKUP(ROW(H81),Beräkningshjälp!AC$2:AH$1082,COLUMN(Beräkningshjälp!AH$2)-COLUMN(Beräkningshjälp!AC$2)+1,FALSE),"")</f>
        <v/>
      </c>
      <c r="I82" s="116" t="str">
        <f>IF(D82&lt;&gt;"",VLOOKUP(ROW(E81),Beräkningshjälp!AC$2:AI$1082,COLUMN(Beräkningshjälp!AI$2)-COLUMN(Beräkningshjälp!AC$2)+1,FALSE),"")</f>
        <v/>
      </c>
    </row>
    <row r="83" spans="1:9" x14ac:dyDescent="0.25">
      <c r="A83" s="2" t="str">
        <f t="shared" si="2"/>
        <v/>
      </c>
      <c r="B83" s="136" t="str">
        <f>IF(D83&lt;&gt;"",'DATA TILL SLU'!$J$3,"")</f>
        <v/>
      </c>
      <c r="C83" s="146" t="str">
        <f>IF(D83&lt;&gt;"",'DATA TILL SLU'!$K$3,"")</f>
        <v/>
      </c>
      <c r="D83" s="2" t="str">
        <f>IF('DATA TILL SLU'!$D$7*1&lt;&gt;"",IF(COUNT(Beräkningshjälp!$AC$3:$AC$1082)&gt;=ROW(D82),'DATA TILL SLU'!$D$7*1,""),"")</f>
        <v/>
      </c>
      <c r="E83" s="136" t="str">
        <f>IF(D83&lt;&gt;"",VLOOKUP(ROW(E82),Beräkningshjälp!AC$2:AH$1082,COLUMN(Beräkningshjälp!AF$2)-COLUMN(Beräkningshjälp!AC$2)+1,FALSE),"")</f>
        <v/>
      </c>
      <c r="F83" s="352" t="str">
        <f t="shared" si="3"/>
        <v/>
      </c>
      <c r="G83" s="2" t="str">
        <f>IF(D83&lt;&gt;"",IF(VLOOKUP(VLOOKUP(E83,Beräkningshjälp!O$2:U$60,7,FALSE),Artuppgifter!$I$11:$P$22,8,FALSE)=TRUE,"Medelvikter!!","ALLA"),"")</f>
        <v/>
      </c>
      <c r="H83" s="2" t="str">
        <f>IF(D83&lt;&gt;"",VLOOKUP(ROW(H82),Beräkningshjälp!AC$2:AH$1082,COLUMN(Beräkningshjälp!AH$2)-COLUMN(Beräkningshjälp!AC$2)+1,FALSE),"")</f>
        <v/>
      </c>
      <c r="I83" s="116" t="str">
        <f>IF(D83&lt;&gt;"",VLOOKUP(ROW(E82),Beräkningshjälp!AC$2:AI$1082,COLUMN(Beräkningshjälp!AI$2)-COLUMN(Beräkningshjälp!AC$2)+1,FALSE),"")</f>
        <v/>
      </c>
    </row>
    <row r="84" spans="1:9" x14ac:dyDescent="0.25">
      <c r="A84" s="2" t="str">
        <f t="shared" si="2"/>
        <v/>
      </c>
      <c r="B84" s="136" t="str">
        <f>IF(D84&lt;&gt;"",'DATA TILL SLU'!$J$3,"")</f>
        <v/>
      </c>
      <c r="C84" s="146" t="str">
        <f>IF(D84&lt;&gt;"",'DATA TILL SLU'!$K$3,"")</f>
        <v/>
      </c>
      <c r="D84" s="2" t="str">
        <f>IF('DATA TILL SLU'!$D$7*1&lt;&gt;"",IF(COUNT(Beräkningshjälp!$AC$3:$AC$1082)&gt;=ROW(D83),'DATA TILL SLU'!$D$7*1,""),"")</f>
        <v/>
      </c>
      <c r="E84" s="136" t="str">
        <f>IF(D84&lt;&gt;"",VLOOKUP(ROW(E83),Beräkningshjälp!AC$2:AH$1082,COLUMN(Beräkningshjälp!AF$2)-COLUMN(Beräkningshjälp!AC$2)+1,FALSE),"")</f>
        <v/>
      </c>
      <c r="F84" s="352" t="str">
        <f t="shared" si="3"/>
        <v/>
      </c>
      <c r="G84" s="2" t="str">
        <f>IF(D84&lt;&gt;"",IF(VLOOKUP(VLOOKUP(E84,Beräkningshjälp!O$2:U$60,7,FALSE),Artuppgifter!$I$11:$P$22,8,FALSE)=TRUE,"Medelvikter!!","ALLA"),"")</f>
        <v/>
      </c>
      <c r="H84" s="2" t="str">
        <f>IF(D84&lt;&gt;"",VLOOKUP(ROW(H83),Beräkningshjälp!AC$2:AH$1082,COLUMN(Beräkningshjälp!AH$2)-COLUMN(Beräkningshjälp!AC$2)+1,FALSE),"")</f>
        <v/>
      </c>
      <c r="I84" s="116" t="str">
        <f>IF(D84&lt;&gt;"",VLOOKUP(ROW(E83),Beräkningshjälp!AC$2:AI$1082,COLUMN(Beräkningshjälp!AI$2)-COLUMN(Beräkningshjälp!AC$2)+1,FALSE),"")</f>
        <v/>
      </c>
    </row>
    <row r="85" spans="1:9" x14ac:dyDescent="0.25">
      <c r="A85" s="2" t="str">
        <f t="shared" si="2"/>
        <v/>
      </c>
      <c r="B85" s="136" t="str">
        <f>IF(D85&lt;&gt;"",'DATA TILL SLU'!$J$3,"")</f>
        <v/>
      </c>
      <c r="C85" s="146" t="str">
        <f>IF(D85&lt;&gt;"",'DATA TILL SLU'!$K$3,"")</f>
        <v/>
      </c>
      <c r="D85" s="2" t="str">
        <f>IF('DATA TILL SLU'!$D$7*1&lt;&gt;"",IF(COUNT(Beräkningshjälp!$AC$3:$AC$1082)&gt;=ROW(D84),'DATA TILL SLU'!$D$7*1,""),"")</f>
        <v/>
      </c>
      <c r="E85" s="136" t="str">
        <f>IF(D85&lt;&gt;"",VLOOKUP(ROW(E84),Beräkningshjälp!AC$2:AH$1082,COLUMN(Beräkningshjälp!AF$2)-COLUMN(Beräkningshjälp!AC$2)+1,FALSE),"")</f>
        <v/>
      </c>
      <c r="F85" s="352" t="str">
        <f t="shared" si="3"/>
        <v/>
      </c>
      <c r="G85" s="2" t="str">
        <f>IF(D85&lt;&gt;"",IF(VLOOKUP(VLOOKUP(E85,Beräkningshjälp!O$2:U$60,7,FALSE),Artuppgifter!$I$11:$P$22,8,FALSE)=TRUE,"Medelvikter!!","ALLA"),"")</f>
        <v/>
      </c>
      <c r="H85" s="2" t="str">
        <f>IF(D85&lt;&gt;"",VLOOKUP(ROW(H84),Beräkningshjälp!AC$2:AH$1082,COLUMN(Beräkningshjälp!AH$2)-COLUMN(Beräkningshjälp!AC$2)+1,FALSE),"")</f>
        <v/>
      </c>
      <c r="I85" s="116" t="str">
        <f>IF(D85&lt;&gt;"",VLOOKUP(ROW(E84),Beräkningshjälp!AC$2:AI$1082,COLUMN(Beräkningshjälp!AI$2)-COLUMN(Beräkningshjälp!AC$2)+1,FALSE),"")</f>
        <v/>
      </c>
    </row>
    <row r="86" spans="1:9" x14ac:dyDescent="0.25">
      <c r="A86" s="2" t="str">
        <f t="shared" si="2"/>
        <v/>
      </c>
      <c r="B86" s="136" t="str">
        <f>IF(D86&lt;&gt;"",'DATA TILL SLU'!$J$3,"")</f>
        <v/>
      </c>
      <c r="C86" s="146" t="str">
        <f>IF(D86&lt;&gt;"",'DATA TILL SLU'!$K$3,"")</f>
        <v/>
      </c>
      <c r="D86" s="2" t="str">
        <f>IF('DATA TILL SLU'!$D$7*1&lt;&gt;"",IF(COUNT(Beräkningshjälp!$AC$3:$AC$1082)&gt;=ROW(D85),'DATA TILL SLU'!$D$7*1,""),"")</f>
        <v/>
      </c>
      <c r="E86" s="136" t="str">
        <f>IF(D86&lt;&gt;"",VLOOKUP(ROW(E85),Beräkningshjälp!AC$2:AH$1082,COLUMN(Beräkningshjälp!AF$2)-COLUMN(Beräkningshjälp!AC$2)+1,FALSE),"")</f>
        <v/>
      </c>
      <c r="F86" s="352" t="str">
        <f t="shared" si="3"/>
        <v/>
      </c>
      <c r="G86" s="2" t="str">
        <f>IF(D86&lt;&gt;"",IF(VLOOKUP(VLOOKUP(E86,Beräkningshjälp!O$2:U$60,7,FALSE),Artuppgifter!$I$11:$P$22,8,FALSE)=TRUE,"Medelvikter!!","ALLA"),"")</f>
        <v/>
      </c>
      <c r="H86" s="2" t="str">
        <f>IF(D86&lt;&gt;"",VLOOKUP(ROW(H85),Beräkningshjälp!AC$2:AH$1082,COLUMN(Beräkningshjälp!AH$2)-COLUMN(Beräkningshjälp!AC$2)+1,FALSE),"")</f>
        <v/>
      </c>
      <c r="I86" s="116" t="str">
        <f>IF(D86&lt;&gt;"",VLOOKUP(ROW(E85),Beräkningshjälp!AC$2:AI$1082,COLUMN(Beräkningshjälp!AI$2)-COLUMN(Beräkningshjälp!AC$2)+1,FALSE),"")</f>
        <v/>
      </c>
    </row>
    <row r="87" spans="1:9" x14ac:dyDescent="0.25">
      <c r="A87" s="2" t="str">
        <f t="shared" si="2"/>
        <v/>
      </c>
      <c r="B87" s="136" t="str">
        <f>IF(D87&lt;&gt;"",'DATA TILL SLU'!$J$3,"")</f>
        <v/>
      </c>
      <c r="C87" s="146" t="str">
        <f>IF(D87&lt;&gt;"",'DATA TILL SLU'!$K$3,"")</f>
        <v/>
      </c>
      <c r="D87" s="2" t="str">
        <f>IF('DATA TILL SLU'!$D$7*1&lt;&gt;"",IF(COUNT(Beräkningshjälp!$AC$3:$AC$1082)&gt;=ROW(D86),'DATA TILL SLU'!$D$7*1,""),"")</f>
        <v/>
      </c>
      <c r="E87" s="136" t="str">
        <f>IF(D87&lt;&gt;"",VLOOKUP(ROW(E86),Beräkningshjälp!AC$2:AH$1082,COLUMN(Beräkningshjälp!AF$2)-COLUMN(Beräkningshjälp!AC$2)+1,FALSE),"")</f>
        <v/>
      </c>
      <c r="F87" s="352" t="str">
        <f t="shared" si="3"/>
        <v/>
      </c>
      <c r="G87" s="2" t="str">
        <f>IF(D87&lt;&gt;"",IF(VLOOKUP(VLOOKUP(E87,Beräkningshjälp!O$2:U$60,7,FALSE),Artuppgifter!$I$11:$P$22,8,FALSE)=TRUE,"Medelvikter!!","ALLA"),"")</f>
        <v/>
      </c>
      <c r="H87" s="2" t="str">
        <f>IF(D87&lt;&gt;"",VLOOKUP(ROW(H86),Beräkningshjälp!AC$2:AH$1082,COLUMN(Beräkningshjälp!AH$2)-COLUMN(Beräkningshjälp!AC$2)+1,FALSE),"")</f>
        <v/>
      </c>
      <c r="I87" s="116" t="str">
        <f>IF(D87&lt;&gt;"",VLOOKUP(ROW(E86),Beräkningshjälp!AC$2:AI$1082,COLUMN(Beräkningshjälp!AI$2)-COLUMN(Beräkningshjälp!AC$2)+1,FALSE),"")</f>
        <v/>
      </c>
    </row>
    <row r="88" spans="1:9" x14ac:dyDescent="0.25">
      <c r="A88" s="2" t="str">
        <f t="shared" si="2"/>
        <v/>
      </c>
      <c r="B88" s="136" t="str">
        <f>IF(D88&lt;&gt;"",'DATA TILL SLU'!$J$3,"")</f>
        <v/>
      </c>
      <c r="C88" s="146" t="str">
        <f>IF(D88&lt;&gt;"",'DATA TILL SLU'!$K$3,"")</f>
        <v/>
      </c>
      <c r="D88" s="2" t="str">
        <f>IF('DATA TILL SLU'!$D$7*1&lt;&gt;"",IF(COUNT(Beräkningshjälp!$AC$3:$AC$1082)&gt;=ROW(D87),'DATA TILL SLU'!$D$7*1,""),"")</f>
        <v/>
      </c>
      <c r="E88" s="136" t="str">
        <f>IF(D88&lt;&gt;"",VLOOKUP(ROW(E87),Beräkningshjälp!AC$2:AH$1082,COLUMN(Beräkningshjälp!AF$2)-COLUMN(Beräkningshjälp!AC$2)+1,FALSE),"")</f>
        <v/>
      </c>
      <c r="F88" s="352" t="str">
        <f t="shared" si="3"/>
        <v/>
      </c>
      <c r="G88" s="2" t="str">
        <f>IF(D88&lt;&gt;"",IF(VLOOKUP(VLOOKUP(E88,Beräkningshjälp!O$2:U$60,7,FALSE),Artuppgifter!$I$11:$P$22,8,FALSE)=TRUE,"Medelvikter!!","ALLA"),"")</f>
        <v/>
      </c>
      <c r="H88" s="2" t="str">
        <f>IF(D88&lt;&gt;"",VLOOKUP(ROW(H87),Beräkningshjälp!AC$2:AH$1082,COLUMN(Beräkningshjälp!AH$2)-COLUMN(Beräkningshjälp!AC$2)+1,FALSE),"")</f>
        <v/>
      </c>
      <c r="I88" s="116" t="str">
        <f>IF(D88&lt;&gt;"",VLOOKUP(ROW(E87),Beräkningshjälp!AC$2:AI$1082,COLUMN(Beräkningshjälp!AI$2)-COLUMN(Beräkningshjälp!AC$2)+1,FALSE),"")</f>
        <v/>
      </c>
    </row>
    <row r="89" spans="1:9" x14ac:dyDescent="0.25">
      <c r="A89" s="2" t="str">
        <f t="shared" si="2"/>
        <v/>
      </c>
      <c r="B89" s="136" t="str">
        <f>IF(D89&lt;&gt;"",'DATA TILL SLU'!$J$3,"")</f>
        <v/>
      </c>
      <c r="C89" s="146" t="str">
        <f>IF(D89&lt;&gt;"",'DATA TILL SLU'!$K$3,"")</f>
        <v/>
      </c>
      <c r="D89" s="2" t="str">
        <f>IF('DATA TILL SLU'!$D$7*1&lt;&gt;"",IF(COUNT(Beräkningshjälp!$AC$3:$AC$1082)&gt;=ROW(D88),'DATA TILL SLU'!$D$7*1,""),"")</f>
        <v/>
      </c>
      <c r="E89" s="136" t="str">
        <f>IF(D89&lt;&gt;"",VLOOKUP(ROW(E88),Beräkningshjälp!AC$2:AH$1082,COLUMN(Beräkningshjälp!AF$2)-COLUMN(Beräkningshjälp!AC$2)+1,FALSE),"")</f>
        <v/>
      </c>
      <c r="F89" s="352" t="str">
        <f t="shared" si="3"/>
        <v/>
      </c>
      <c r="G89" s="2" t="str">
        <f>IF(D89&lt;&gt;"",IF(VLOOKUP(VLOOKUP(E89,Beräkningshjälp!O$2:U$60,7,FALSE),Artuppgifter!$I$11:$P$22,8,FALSE)=TRUE,"Medelvikter!!","ALLA"),"")</f>
        <v/>
      </c>
      <c r="H89" s="2" t="str">
        <f>IF(D89&lt;&gt;"",VLOOKUP(ROW(H88),Beräkningshjälp!AC$2:AH$1082,COLUMN(Beräkningshjälp!AH$2)-COLUMN(Beräkningshjälp!AC$2)+1,FALSE),"")</f>
        <v/>
      </c>
      <c r="I89" s="116" t="str">
        <f>IF(D89&lt;&gt;"",VLOOKUP(ROW(E88),Beräkningshjälp!AC$2:AI$1082,COLUMN(Beräkningshjälp!AI$2)-COLUMN(Beräkningshjälp!AC$2)+1,FALSE),"")</f>
        <v/>
      </c>
    </row>
    <row r="90" spans="1:9" x14ac:dyDescent="0.25">
      <c r="A90" s="2" t="str">
        <f t="shared" si="2"/>
        <v/>
      </c>
      <c r="B90" s="136" t="str">
        <f>IF(D90&lt;&gt;"",'DATA TILL SLU'!$J$3,"")</f>
        <v/>
      </c>
      <c r="C90" s="146" t="str">
        <f>IF(D90&lt;&gt;"",'DATA TILL SLU'!$K$3,"")</f>
        <v/>
      </c>
      <c r="D90" s="2" t="str">
        <f>IF('DATA TILL SLU'!$D$7*1&lt;&gt;"",IF(COUNT(Beräkningshjälp!$AC$3:$AC$1082)&gt;=ROW(D89),'DATA TILL SLU'!$D$7*1,""),"")</f>
        <v/>
      </c>
      <c r="E90" s="136" t="str">
        <f>IF(D90&lt;&gt;"",VLOOKUP(ROW(E89),Beräkningshjälp!AC$2:AH$1082,COLUMN(Beräkningshjälp!AF$2)-COLUMN(Beräkningshjälp!AC$2)+1,FALSE),"")</f>
        <v/>
      </c>
      <c r="F90" s="352" t="str">
        <f t="shared" si="3"/>
        <v/>
      </c>
      <c r="G90" s="2" t="str">
        <f>IF(D90&lt;&gt;"",IF(VLOOKUP(VLOOKUP(E90,Beräkningshjälp!O$2:U$60,7,FALSE),Artuppgifter!$I$11:$P$22,8,FALSE)=TRUE,"Medelvikter!!","ALLA"),"")</f>
        <v/>
      </c>
      <c r="H90" s="2" t="str">
        <f>IF(D90&lt;&gt;"",VLOOKUP(ROW(H89),Beräkningshjälp!AC$2:AH$1082,COLUMN(Beräkningshjälp!AH$2)-COLUMN(Beräkningshjälp!AC$2)+1,FALSE),"")</f>
        <v/>
      </c>
      <c r="I90" s="116" t="str">
        <f>IF(D90&lt;&gt;"",VLOOKUP(ROW(E89),Beräkningshjälp!AC$2:AI$1082,COLUMN(Beräkningshjälp!AI$2)-COLUMN(Beräkningshjälp!AC$2)+1,FALSE),"")</f>
        <v/>
      </c>
    </row>
    <row r="91" spans="1:9" x14ac:dyDescent="0.25">
      <c r="A91" s="2" t="str">
        <f t="shared" si="2"/>
        <v/>
      </c>
      <c r="B91" s="136" t="str">
        <f>IF(D91&lt;&gt;"",'DATA TILL SLU'!$J$3,"")</f>
        <v/>
      </c>
      <c r="C91" s="146" t="str">
        <f>IF(D91&lt;&gt;"",'DATA TILL SLU'!$K$3,"")</f>
        <v/>
      </c>
      <c r="D91" s="2" t="str">
        <f>IF('DATA TILL SLU'!$D$7*1&lt;&gt;"",IF(COUNT(Beräkningshjälp!$AC$3:$AC$1082)&gt;=ROW(D90),'DATA TILL SLU'!$D$7*1,""),"")</f>
        <v/>
      </c>
      <c r="E91" s="136" t="str">
        <f>IF(D91&lt;&gt;"",VLOOKUP(ROW(E90),Beräkningshjälp!AC$2:AH$1082,COLUMN(Beräkningshjälp!AF$2)-COLUMN(Beräkningshjälp!AC$2)+1,FALSE),"")</f>
        <v/>
      </c>
      <c r="F91" s="352" t="str">
        <f t="shared" si="3"/>
        <v/>
      </c>
      <c r="G91" s="2" t="str">
        <f>IF(D91&lt;&gt;"",IF(VLOOKUP(VLOOKUP(E91,Beräkningshjälp!O$2:U$60,7,FALSE),Artuppgifter!$I$11:$P$22,8,FALSE)=TRUE,"Medelvikter!!","ALLA"),"")</f>
        <v/>
      </c>
      <c r="H91" s="2" t="str">
        <f>IF(D91&lt;&gt;"",VLOOKUP(ROW(H90),Beräkningshjälp!AC$2:AH$1082,COLUMN(Beräkningshjälp!AH$2)-COLUMN(Beräkningshjälp!AC$2)+1,FALSE),"")</f>
        <v/>
      </c>
      <c r="I91" s="116" t="str">
        <f>IF(D91&lt;&gt;"",VLOOKUP(ROW(E90),Beräkningshjälp!AC$2:AI$1082,COLUMN(Beräkningshjälp!AI$2)-COLUMN(Beräkningshjälp!AC$2)+1,FALSE),"")</f>
        <v/>
      </c>
    </row>
    <row r="92" spans="1:9" x14ac:dyDescent="0.25">
      <c r="A92" s="2" t="str">
        <f t="shared" si="2"/>
        <v/>
      </c>
      <c r="B92" s="136" t="str">
        <f>IF(D92&lt;&gt;"",'DATA TILL SLU'!$J$3,"")</f>
        <v/>
      </c>
      <c r="C92" s="146" t="str">
        <f>IF(D92&lt;&gt;"",'DATA TILL SLU'!$K$3,"")</f>
        <v/>
      </c>
      <c r="D92" s="2" t="str">
        <f>IF('DATA TILL SLU'!$D$7*1&lt;&gt;"",IF(COUNT(Beräkningshjälp!$AC$3:$AC$1082)&gt;=ROW(D91),'DATA TILL SLU'!$D$7*1,""),"")</f>
        <v/>
      </c>
      <c r="E92" s="136" t="str">
        <f>IF(D92&lt;&gt;"",VLOOKUP(ROW(E91),Beräkningshjälp!AC$2:AH$1082,COLUMN(Beräkningshjälp!AF$2)-COLUMN(Beräkningshjälp!AC$2)+1,FALSE),"")</f>
        <v/>
      </c>
      <c r="F92" s="352" t="str">
        <f t="shared" si="3"/>
        <v/>
      </c>
      <c r="G92" s="2" t="str">
        <f>IF(D92&lt;&gt;"",IF(VLOOKUP(VLOOKUP(E92,Beräkningshjälp!O$2:U$60,7,FALSE),Artuppgifter!$I$11:$P$22,8,FALSE)=TRUE,"Medelvikter!!","ALLA"),"")</f>
        <v/>
      </c>
      <c r="H92" s="2" t="str">
        <f>IF(D92&lt;&gt;"",VLOOKUP(ROW(H91),Beräkningshjälp!AC$2:AH$1082,COLUMN(Beräkningshjälp!AH$2)-COLUMN(Beräkningshjälp!AC$2)+1,FALSE),"")</f>
        <v/>
      </c>
      <c r="I92" s="116" t="str">
        <f>IF(D92&lt;&gt;"",VLOOKUP(ROW(E91),Beräkningshjälp!AC$2:AI$1082,COLUMN(Beräkningshjälp!AI$2)-COLUMN(Beräkningshjälp!AC$2)+1,FALSE),"")</f>
        <v/>
      </c>
    </row>
    <row r="93" spans="1:9" x14ac:dyDescent="0.25">
      <c r="A93" s="2" t="str">
        <f t="shared" si="2"/>
        <v/>
      </c>
      <c r="B93" s="136" t="str">
        <f>IF(D93&lt;&gt;"",'DATA TILL SLU'!$J$3,"")</f>
        <v/>
      </c>
      <c r="C93" s="146" t="str">
        <f>IF(D93&lt;&gt;"",'DATA TILL SLU'!$K$3,"")</f>
        <v/>
      </c>
      <c r="D93" s="2" t="str">
        <f>IF('DATA TILL SLU'!$D$7*1&lt;&gt;"",IF(COUNT(Beräkningshjälp!$AC$3:$AC$1082)&gt;=ROW(D92),'DATA TILL SLU'!$D$7*1,""),"")</f>
        <v/>
      </c>
      <c r="E93" s="136" t="str">
        <f>IF(D93&lt;&gt;"",VLOOKUP(ROW(E92),Beräkningshjälp!AC$2:AH$1082,COLUMN(Beräkningshjälp!AF$2)-COLUMN(Beräkningshjälp!AC$2)+1,FALSE),"")</f>
        <v/>
      </c>
      <c r="F93" s="352" t="str">
        <f t="shared" si="3"/>
        <v/>
      </c>
      <c r="G93" s="2" t="str">
        <f>IF(D93&lt;&gt;"",IF(VLOOKUP(VLOOKUP(E93,Beräkningshjälp!O$2:U$60,7,FALSE),Artuppgifter!$I$11:$P$22,8,FALSE)=TRUE,"Medelvikter!!","ALLA"),"")</f>
        <v/>
      </c>
      <c r="H93" s="2" t="str">
        <f>IF(D93&lt;&gt;"",VLOOKUP(ROW(H92),Beräkningshjälp!AC$2:AH$1082,COLUMN(Beräkningshjälp!AH$2)-COLUMN(Beräkningshjälp!AC$2)+1,FALSE),"")</f>
        <v/>
      </c>
      <c r="I93" s="116" t="str">
        <f>IF(D93&lt;&gt;"",VLOOKUP(ROW(E92),Beräkningshjälp!AC$2:AI$1082,COLUMN(Beräkningshjälp!AI$2)-COLUMN(Beräkningshjälp!AC$2)+1,FALSE),"")</f>
        <v/>
      </c>
    </row>
    <row r="94" spans="1:9" x14ac:dyDescent="0.25">
      <c r="A94" s="2" t="str">
        <f t="shared" si="2"/>
        <v/>
      </c>
      <c r="B94" s="136" t="str">
        <f>IF(D94&lt;&gt;"",'DATA TILL SLU'!$J$3,"")</f>
        <v/>
      </c>
      <c r="C94" s="146" t="str">
        <f>IF(D94&lt;&gt;"",'DATA TILL SLU'!$K$3,"")</f>
        <v/>
      </c>
      <c r="D94" s="2" t="str">
        <f>IF('DATA TILL SLU'!$D$7*1&lt;&gt;"",IF(COUNT(Beräkningshjälp!$AC$3:$AC$1082)&gt;=ROW(D93),'DATA TILL SLU'!$D$7*1,""),"")</f>
        <v/>
      </c>
      <c r="E94" s="136" t="str">
        <f>IF(D94&lt;&gt;"",VLOOKUP(ROW(E93),Beräkningshjälp!AC$2:AH$1082,COLUMN(Beräkningshjälp!AF$2)-COLUMN(Beräkningshjälp!AC$2)+1,FALSE),"")</f>
        <v/>
      </c>
      <c r="F94" s="352" t="str">
        <f t="shared" si="3"/>
        <v/>
      </c>
      <c r="G94" s="2" t="str">
        <f>IF(D94&lt;&gt;"",IF(VLOOKUP(VLOOKUP(E94,Beräkningshjälp!O$2:U$60,7,FALSE),Artuppgifter!$I$11:$P$22,8,FALSE)=TRUE,"Medelvikter!!","ALLA"),"")</f>
        <v/>
      </c>
      <c r="H94" s="2" t="str">
        <f>IF(D94&lt;&gt;"",VLOOKUP(ROW(H93),Beräkningshjälp!AC$2:AH$1082,COLUMN(Beräkningshjälp!AH$2)-COLUMN(Beräkningshjälp!AC$2)+1,FALSE),"")</f>
        <v/>
      </c>
      <c r="I94" s="116" t="str">
        <f>IF(D94&lt;&gt;"",VLOOKUP(ROW(E93),Beräkningshjälp!AC$2:AI$1082,COLUMN(Beräkningshjälp!AI$2)-COLUMN(Beräkningshjälp!AC$2)+1,FALSE),"")</f>
        <v/>
      </c>
    </row>
    <row r="95" spans="1:9" x14ac:dyDescent="0.25">
      <c r="A95" s="2" t="str">
        <f t="shared" si="2"/>
        <v/>
      </c>
      <c r="B95" s="136" t="str">
        <f>IF(D95&lt;&gt;"",'DATA TILL SLU'!$J$3,"")</f>
        <v/>
      </c>
      <c r="C95" s="146" t="str">
        <f>IF(D95&lt;&gt;"",'DATA TILL SLU'!$K$3,"")</f>
        <v/>
      </c>
      <c r="D95" s="2" t="str">
        <f>IF('DATA TILL SLU'!$D$7*1&lt;&gt;"",IF(COUNT(Beräkningshjälp!$AC$3:$AC$1082)&gt;=ROW(D94),'DATA TILL SLU'!$D$7*1,""),"")</f>
        <v/>
      </c>
      <c r="E95" s="136" t="str">
        <f>IF(D95&lt;&gt;"",VLOOKUP(ROW(E94),Beräkningshjälp!AC$2:AH$1082,COLUMN(Beräkningshjälp!AF$2)-COLUMN(Beräkningshjälp!AC$2)+1,FALSE),"")</f>
        <v/>
      </c>
      <c r="F95" s="352" t="str">
        <f t="shared" si="3"/>
        <v/>
      </c>
      <c r="G95" s="2" t="str">
        <f>IF(D95&lt;&gt;"",IF(VLOOKUP(VLOOKUP(E95,Beräkningshjälp!O$2:U$60,7,FALSE),Artuppgifter!$I$11:$P$22,8,FALSE)=TRUE,"Medelvikter!!","ALLA"),"")</f>
        <v/>
      </c>
      <c r="H95" s="2" t="str">
        <f>IF(D95&lt;&gt;"",VLOOKUP(ROW(H94),Beräkningshjälp!AC$2:AH$1082,COLUMN(Beräkningshjälp!AH$2)-COLUMN(Beräkningshjälp!AC$2)+1,FALSE),"")</f>
        <v/>
      </c>
      <c r="I95" s="116" t="str">
        <f>IF(D95&lt;&gt;"",VLOOKUP(ROW(E94),Beräkningshjälp!AC$2:AI$1082,COLUMN(Beräkningshjälp!AI$2)-COLUMN(Beräkningshjälp!AC$2)+1,FALSE),"")</f>
        <v/>
      </c>
    </row>
    <row r="96" spans="1:9" x14ac:dyDescent="0.25">
      <c r="A96" s="2" t="str">
        <f t="shared" si="2"/>
        <v/>
      </c>
      <c r="B96" s="136" t="str">
        <f>IF(D96&lt;&gt;"",'DATA TILL SLU'!$J$3,"")</f>
        <v/>
      </c>
      <c r="C96" s="146" t="str">
        <f>IF(D96&lt;&gt;"",'DATA TILL SLU'!$K$3,"")</f>
        <v/>
      </c>
      <c r="D96" s="2" t="str">
        <f>IF('DATA TILL SLU'!$D$7*1&lt;&gt;"",IF(COUNT(Beräkningshjälp!$AC$3:$AC$1082)&gt;=ROW(D95),'DATA TILL SLU'!$D$7*1,""),"")</f>
        <v/>
      </c>
      <c r="E96" s="136" t="str">
        <f>IF(D96&lt;&gt;"",VLOOKUP(ROW(E95),Beräkningshjälp!AC$2:AH$1082,COLUMN(Beräkningshjälp!AF$2)-COLUMN(Beräkningshjälp!AC$2)+1,FALSE),"")</f>
        <v/>
      </c>
      <c r="F96" s="352" t="str">
        <f t="shared" si="3"/>
        <v/>
      </c>
      <c r="G96" s="2" t="str">
        <f>IF(D96&lt;&gt;"",IF(VLOOKUP(VLOOKUP(E96,Beräkningshjälp!O$2:U$60,7,FALSE),Artuppgifter!$I$11:$P$22,8,FALSE)=TRUE,"Medelvikter!!","ALLA"),"")</f>
        <v/>
      </c>
      <c r="H96" s="2" t="str">
        <f>IF(D96&lt;&gt;"",VLOOKUP(ROW(H95),Beräkningshjälp!AC$2:AH$1082,COLUMN(Beräkningshjälp!AH$2)-COLUMN(Beräkningshjälp!AC$2)+1,FALSE),"")</f>
        <v/>
      </c>
      <c r="I96" s="116" t="str">
        <f>IF(D96&lt;&gt;"",VLOOKUP(ROW(E95),Beräkningshjälp!AC$2:AI$1082,COLUMN(Beräkningshjälp!AI$2)-COLUMN(Beräkningshjälp!AC$2)+1,FALSE),"")</f>
        <v/>
      </c>
    </row>
    <row r="97" spans="1:9" x14ac:dyDescent="0.25">
      <c r="A97" s="2" t="str">
        <f t="shared" si="2"/>
        <v/>
      </c>
      <c r="B97" s="136" t="str">
        <f>IF(D97&lt;&gt;"",'DATA TILL SLU'!$J$3,"")</f>
        <v/>
      </c>
      <c r="C97" s="146" t="str">
        <f>IF(D97&lt;&gt;"",'DATA TILL SLU'!$K$3,"")</f>
        <v/>
      </c>
      <c r="D97" s="2" t="str">
        <f>IF('DATA TILL SLU'!$D$7*1&lt;&gt;"",IF(COUNT(Beräkningshjälp!$AC$3:$AC$1082)&gt;=ROW(D96),'DATA TILL SLU'!$D$7*1,""),"")</f>
        <v/>
      </c>
      <c r="E97" s="136" t="str">
        <f>IF(D97&lt;&gt;"",VLOOKUP(ROW(E96),Beräkningshjälp!AC$2:AH$1082,COLUMN(Beräkningshjälp!AF$2)-COLUMN(Beräkningshjälp!AC$2)+1,FALSE),"")</f>
        <v/>
      </c>
      <c r="F97" s="352" t="str">
        <f t="shared" si="3"/>
        <v/>
      </c>
      <c r="G97" s="2" t="str">
        <f>IF(D97&lt;&gt;"",IF(VLOOKUP(VLOOKUP(E97,Beräkningshjälp!O$2:U$60,7,FALSE),Artuppgifter!$I$11:$P$22,8,FALSE)=TRUE,"Medelvikter!!","ALLA"),"")</f>
        <v/>
      </c>
      <c r="H97" s="2" t="str">
        <f>IF(D97&lt;&gt;"",VLOOKUP(ROW(H96),Beräkningshjälp!AC$2:AH$1082,COLUMN(Beräkningshjälp!AH$2)-COLUMN(Beräkningshjälp!AC$2)+1,FALSE),"")</f>
        <v/>
      </c>
      <c r="I97" s="116" t="str">
        <f>IF(D97&lt;&gt;"",VLOOKUP(ROW(E96),Beräkningshjälp!AC$2:AI$1082,COLUMN(Beräkningshjälp!AI$2)-COLUMN(Beräkningshjälp!AC$2)+1,FALSE),"")</f>
        <v/>
      </c>
    </row>
    <row r="98" spans="1:9" x14ac:dyDescent="0.25">
      <c r="A98" s="2" t="str">
        <f t="shared" si="2"/>
        <v/>
      </c>
      <c r="B98" s="136" t="str">
        <f>IF(D98&lt;&gt;"",'DATA TILL SLU'!$J$3,"")</f>
        <v/>
      </c>
      <c r="C98" s="146" t="str">
        <f>IF(D98&lt;&gt;"",'DATA TILL SLU'!$K$3,"")</f>
        <v/>
      </c>
      <c r="D98" s="2" t="str">
        <f>IF('DATA TILL SLU'!$D$7*1&lt;&gt;"",IF(COUNT(Beräkningshjälp!$AC$3:$AC$1082)&gt;=ROW(D97),'DATA TILL SLU'!$D$7*1,""),"")</f>
        <v/>
      </c>
      <c r="E98" s="136" t="str">
        <f>IF(D98&lt;&gt;"",VLOOKUP(ROW(E97),Beräkningshjälp!AC$2:AH$1082,COLUMN(Beräkningshjälp!AF$2)-COLUMN(Beräkningshjälp!AC$2)+1,FALSE),"")</f>
        <v/>
      </c>
      <c r="F98" s="352" t="str">
        <f t="shared" si="3"/>
        <v/>
      </c>
      <c r="G98" s="2" t="str">
        <f>IF(D98&lt;&gt;"",IF(VLOOKUP(VLOOKUP(E98,Beräkningshjälp!O$2:U$60,7,FALSE),Artuppgifter!$I$11:$P$22,8,FALSE)=TRUE,"Medelvikter!!","ALLA"),"")</f>
        <v/>
      </c>
      <c r="H98" s="2" t="str">
        <f>IF(D98&lt;&gt;"",VLOOKUP(ROW(H97),Beräkningshjälp!AC$2:AH$1082,COLUMN(Beräkningshjälp!AH$2)-COLUMN(Beräkningshjälp!AC$2)+1,FALSE),"")</f>
        <v/>
      </c>
      <c r="I98" s="116" t="str">
        <f>IF(D98&lt;&gt;"",VLOOKUP(ROW(E97),Beräkningshjälp!AC$2:AI$1082,COLUMN(Beräkningshjälp!AI$2)-COLUMN(Beräkningshjälp!AC$2)+1,FALSE),"")</f>
        <v/>
      </c>
    </row>
    <row r="99" spans="1:9" x14ac:dyDescent="0.25">
      <c r="A99" s="2" t="str">
        <f t="shared" si="2"/>
        <v/>
      </c>
      <c r="B99" s="136" t="str">
        <f>IF(D99&lt;&gt;"",'DATA TILL SLU'!$J$3,"")</f>
        <v/>
      </c>
      <c r="C99" s="146" t="str">
        <f>IF(D99&lt;&gt;"",'DATA TILL SLU'!$K$3,"")</f>
        <v/>
      </c>
      <c r="D99" s="2" t="str">
        <f>IF('DATA TILL SLU'!$D$7*1&lt;&gt;"",IF(COUNT(Beräkningshjälp!$AC$3:$AC$1082)&gt;=ROW(D98),'DATA TILL SLU'!$D$7*1,""),"")</f>
        <v/>
      </c>
      <c r="E99" s="136" t="str">
        <f>IF(D99&lt;&gt;"",VLOOKUP(ROW(E98),Beräkningshjälp!AC$2:AH$1082,COLUMN(Beräkningshjälp!AF$2)-COLUMN(Beräkningshjälp!AC$2)+1,FALSE),"")</f>
        <v/>
      </c>
      <c r="F99" s="352" t="str">
        <f t="shared" si="3"/>
        <v/>
      </c>
      <c r="G99" s="2" t="str">
        <f>IF(D99&lt;&gt;"",IF(VLOOKUP(VLOOKUP(E99,Beräkningshjälp!O$2:U$60,7,FALSE),Artuppgifter!$I$11:$P$22,8,FALSE)=TRUE,"Medelvikter!!","ALLA"),"")</f>
        <v/>
      </c>
      <c r="H99" s="2" t="str">
        <f>IF(D99&lt;&gt;"",VLOOKUP(ROW(H98),Beräkningshjälp!AC$2:AH$1082,COLUMN(Beräkningshjälp!AH$2)-COLUMN(Beräkningshjälp!AC$2)+1,FALSE),"")</f>
        <v/>
      </c>
      <c r="I99" s="116" t="str">
        <f>IF(D99&lt;&gt;"",VLOOKUP(ROW(E98),Beräkningshjälp!AC$2:AI$1082,COLUMN(Beräkningshjälp!AI$2)-COLUMN(Beräkningshjälp!AC$2)+1,FALSE),"")</f>
        <v/>
      </c>
    </row>
    <row r="100" spans="1:9" x14ac:dyDescent="0.25">
      <c r="A100" s="2" t="str">
        <f t="shared" si="2"/>
        <v/>
      </c>
      <c r="B100" s="136" t="str">
        <f>IF(D100&lt;&gt;"",'DATA TILL SLU'!$J$3,"")</f>
        <v/>
      </c>
      <c r="C100" s="146" t="str">
        <f>IF(D100&lt;&gt;"",'DATA TILL SLU'!$K$3,"")</f>
        <v/>
      </c>
      <c r="D100" s="2" t="str">
        <f>IF('DATA TILL SLU'!$D$7*1&lt;&gt;"",IF(COUNT(Beräkningshjälp!$AC$3:$AC$1082)&gt;=ROW(D99),'DATA TILL SLU'!$D$7*1,""),"")</f>
        <v/>
      </c>
      <c r="E100" s="136" t="str">
        <f>IF(D100&lt;&gt;"",VLOOKUP(ROW(E99),Beräkningshjälp!AC$2:AH$1082,COLUMN(Beräkningshjälp!AF$2)-COLUMN(Beräkningshjälp!AC$2)+1,FALSE),"")</f>
        <v/>
      </c>
      <c r="F100" s="352" t="str">
        <f t="shared" si="3"/>
        <v/>
      </c>
      <c r="G100" s="2" t="str">
        <f>IF(D100&lt;&gt;"",IF(VLOOKUP(VLOOKUP(E100,Beräkningshjälp!O$2:U$60,7,FALSE),Artuppgifter!$I$11:$P$22,8,FALSE)=TRUE,"Medelvikter!!","ALLA"),"")</f>
        <v/>
      </c>
      <c r="H100" s="2" t="str">
        <f>IF(D100&lt;&gt;"",VLOOKUP(ROW(H99),Beräkningshjälp!AC$2:AH$1082,COLUMN(Beräkningshjälp!AH$2)-COLUMN(Beräkningshjälp!AC$2)+1,FALSE),"")</f>
        <v/>
      </c>
      <c r="I100" s="116" t="str">
        <f>IF(D100&lt;&gt;"",VLOOKUP(ROW(E99),Beräkningshjälp!AC$2:AI$1082,COLUMN(Beräkningshjälp!AI$2)-COLUMN(Beräkningshjälp!AC$2)+1,FALSE),"")</f>
        <v/>
      </c>
    </row>
    <row r="101" spans="1:9" x14ac:dyDescent="0.25">
      <c r="A101" s="2" t="str">
        <f t="shared" si="2"/>
        <v/>
      </c>
      <c r="B101" s="136" t="str">
        <f>IF(D101&lt;&gt;"",'DATA TILL SLU'!$J$3,"")</f>
        <v/>
      </c>
      <c r="C101" s="146" t="str">
        <f>IF(D101&lt;&gt;"",'DATA TILL SLU'!$K$3,"")</f>
        <v/>
      </c>
      <c r="D101" s="2" t="str">
        <f>IF('DATA TILL SLU'!$D$7*1&lt;&gt;"",IF(COUNT(Beräkningshjälp!$AC$3:$AC$1082)&gt;=ROW(D100),'DATA TILL SLU'!$D$7*1,""),"")</f>
        <v/>
      </c>
      <c r="E101" s="136" t="str">
        <f>IF(D101&lt;&gt;"",VLOOKUP(ROW(E100),Beräkningshjälp!AC$2:AH$1082,COLUMN(Beräkningshjälp!AF$2)-COLUMN(Beräkningshjälp!AC$2)+1,FALSE),"")</f>
        <v/>
      </c>
      <c r="F101" s="352" t="str">
        <f t="shared" si="3"/>
        <v/>
      </c>
      <c r="G101" s="2" t="str">
        <f>IF(D101&lt;&gt;"",IF(VLOOKUP(VLOOKUP(E101,Beräkningshjälp!O$2:U$60,7,FALSE),Artuppgifter!$I$11:$P$22,8,FALSE)=TRUE,"Medelvikter!!","ALLA"),"")</f>
        <v/>
      </c>
      <c r="H101" s="2" t="str">
        <f>IF(D101&lt;&gt;"",VLOOKUP(ROW(H100),Beräkningshjälp!AC$2:AH$1082,COLUMN(Beräkningshjälp!AH$2)-COLUMN(Beräkningshjälp!AC$2)+1,FALSE),"")</f>
        <v/>
      </c>
      <c r="I101" s="116" t="str">
        <f>IF(D101&lt;&gt;"",VLOOKUP(ROW(E100),Beräkningshjälp!AC$2:AI$1082,COLUMN(Beräkningshjälp!AI$2)-COLUMN(Beräkningshjälp!AC$2)+1,FALSE),"")</f>
        <v/>
      </c>
    </row>
    <row r="102" spans="1:9" x14ac:dyDescent="0.25">
      <c r="A102" s="2" t="str">
        <f t="shared" si="2"/>
        <v/>
      </c>
      <c r="B102" s="136" t="str">
        <f>IF(D102&lt;&gt;"",'DATA TILL SLU'!$J$3,"")</f>
        <v/>
      </c>
      <c r="C102" s="146" t="str">
        <f>IF(D102&lt;&gt;"",'DATA TILL SLU'!$K$3,"")</f>
        <v/>
      </c>
      <c r="D102" s="2" t="str">
        <f>IF('DATA TILL SLU'!$D$7*1&lt;&gt;"",IF(COUNT(Beräkningshjälp!$AC$3:$AC$1082)&gt;=ROW(D101),'DATA TILL SLU'!$D$7*1,""),"")</f>
        <v/>
      </c>
      <c r="E102" s="136" t="str">
        <f>IF(D102&lt;&gt;"",VLOOKUP(ROW(E101),Beräkningshjälp!AC$2:AH$1082,COLUMN(Beräkningshjälp!AF$2)-COLUMN(Beräkningshjälp!AC$2)+1,FALSE),"")</f>
        <v/>
      </c>
      <c r="F102" s="352" t="str">
        <f t="shared" si="3"/>
        <v/>
      </c>
      <c r="G102" s="2" t="str">
        <f>IF(D102&lt;&gt;"",IF(VLOOKUP(VLOOKUP(E102,Beräkningshjälp!O$2:U$60,7,FALSE),Artuppgifter!$I$11:$P$22,8,FALSE)=TRUE,"Medelvikter!!","ALLA"),"")</f>
        <v/>
      </c>
      <c r="H102" s="2" t="str">
        <f>IF(D102&lt;&gt;"",VLOOKUP(ROW(H101),Beräkningshjälp!AC$2:AH$1082,COLUMN(Beräkningshjälp!AH$2)-COLUMN(Beräkningshjälp!AC$2)+1,FALSE),"")</f>
        <v/>
      </c>
      <c r="I102" s="116" t="str">
        <f>IF(D102&lt;&gt;"",VLOOKUP(ROW(E101),Beräkningshjälp!AC$2:AI$1082,COLUMN(Beräkningshjälp!AI$2)-COLUMN(Beräkningshjälp!AC$2)+1,FALSE),"")</f>
        <v/>
      </c>
    </row>
    <row r="103" spans="1:9" x14ac:dyDescent="0.25">
      <c r="A103" s="2" t="str">
        <f t="shared" si="2"/>
        <v/>
      </c>
      <c r="B103" s="136" t="str">
        <f>IF(D103&lt;&gt;"",'DATA TILL SLU'!$J$3,"")</f>
        <v/>
      </c>
      <c r="C103" s="146" t="str">
        <f>IF(D103&lt;&gt;"",'DATA TILL SLU'!$K$3,"")</f>
        <v/>
      </c>
      <c r="D103" s="2" t="str">
        <f>IF('DATA TILL SLU'!$D$7*1&lt;&gt;"",IF(COUNT(Beräkningshjälp!$AC$3:$AC$1082)&gt;=ROW(D102),'DATA TILL SLU'!$D$7*1,""),"")</f>
        <v/>
      </c>
      <c r="E103" s="136" t="str">
        <f>IF(D103&lt;&gt;"",VLOOKUP(ROW(E102),Beräkningshjälp!AC$2:AH$1082,COLUMN(Beräkningshjälp!AF$2)-COLUMN(Beräkningshjälp!AC$2)+1,FALSE),"")</f>
        <v/>
      </c>
      <c r="F103" s="352" t="str">
        <f t="shared" si="3"/>
        <v/>
      </c>
      <c r="G103" s="2" t="str">
        <f>IF(D103&lt;&gt;"",IF(VLOOKUP(VLOOKUP(E103,Beräkningshjälp!O$2:U$60,7,FALSE),Artuppgifter!$I$11:$P$22,8,FALSE)=TRUE,"Medelvikter!!","ALLA"),"")</f>
        <v/>
      </c>
      <c r="H103" s="2" t="str">
        <f>IF(D103&lt;&gt;"",VLOOKUP(ROW(H102),Beräkningshjälp!AC$2:AH$1082,COLUMN(Beräkningshjälp!AH$2)-COLUMN(Beräkningshjälp!AC$2)+1,FALSE),"")</f>
        <v/>
      </c>
      <c r="I103" s="116" t="str">
        <f>IF(D103&lt;&gt;"",VLOOKUP(ROW(E102),Beräkningshjälp!AC$2:AI$1082,COLUMN(Beräkningshjälp!AI$2)-COLUMN(Beräkningshjälp!AC$2)+1,FALSE),"")</f>
        <v/>
      </c>
    </row>
    <row r="104" spans="1:9" x14ac:dyDescent="0.25">
      <c r="A104" s="2" t="str">
        <f t="shared" si="2"/>
        <v/>
      </c>
      <c r="B104" s="136" t="str">
        <f>IF(D104&lt;&gt;"",'DATA TILL SLU'!$J$3,"")</f>
        <v/>
      </c>
      <c r="C104" s="146" t="str">
        <f>IF(D104&lt;&gt;"",'DATA TILL SLU'!$K$3,"")</f>
        <v/>
      </c>
      <c r="D104" s="2" t="str">
        <f>IF('DATA TILL SLU'!$D$7*1&lt;&gt;"",IF(COUNT(Beräkningshjälp!$AC$3:$AC$1082)&gt;=ROW(D103),'DATA TILL SLU'!$D$7*1,""),"")</f>
        <v/>
      </c>
      <c r="E104" s="136" t="str">
        <f>IF(D104&lt;&gt;"",VLOOKUP(ROW(E103),Beräkningshjälp!AC$2:AH$1082,COLUMN(Beräkningshjälp!AF$2)-COLUMN(Beräkningshjälp!AC$2)+1,FALSE),"")</f>
        <v/>
      </c>
      <c r="F104" s="352" t="str">
        <f t="shared" si="3"/>
        <v/>
      </c>
      <c r="G104" s="2" t="str">
        <f>IF(D104&lt;&gt;"",IF(VLOOKUP(VLOOKUP(E104,Beräkningshjälp!O$2:U$60,7,FALSE),Artuppgifter!$I$11:$P$22,8,FALSE)=TRUE,"Medelvikter!!","ALLA"),"")</f>
        <v/>
      </c>
      <c r="H104" s="2" t="str">
        <f>IF(D104&lt;&gt;"",VLOOKUP(ROW(H103),Beräkningshjälp!AC$2:AH$1082,COLUMN(Beräkningshjälp!AH$2)-COLUMN(Beräkningshjälp!AC$2)+1,FALSE),"")</f>
        <v/>
      </c>
      <c r="I104" s="116" t="str">
        <f>IF(D104&lt;&gt;"",VLOOKUP(ROW(E103),Beräkningshjälp!AC$2:AI$1082,COLUMN(Beräkningshjälp!AI$2)-COLUMN(Beräkningshjälp!AC$2)+1,FALSE),"")</f>
        <v/>
      </c>
    </row>
    <row r="105" spans="1:9" x14ac:dyDescent="0.25">
      <c r="A105" s="2" t="str">
        <f t="shared" si="2"/>
        <v/>
      </c>
      <c r="B105" s="136" t="str">
        <f>IF(D105&lt;&gt;"",'DATA TILL SLU'!$J$3,"")</f>
        <v/>
      </c>
      <c r="C105" s="146" t="str">
        <f>IF(D105&lt;&gt;"",'DATA TILL SLU'!$K$3,"")</f>
        <v/>
      </c>
      <c r="D105" s="2" t="str">
        <f>IF('DATA TILL SLU'!$D$7*1&lt;&gt;"",IF(COUNT(Beräkningshjälp!$AC$3:$AC$1082)&gt;=ROW(D104),'DATA TILL SLU'!$D$7*1,""),"")</f>
        <v/>
      </c>
      <c r="E105" s="136" t="str">
        <f>IF(D105&lt;&gt;"",VLOOKUP(ROW(E104),Beräkningshjälp!AC$2:AH$1082,COLUMN(Beräkningshjälp!AF$2)-COLUMN(Beräkningshjälp!AC$2)+1,FALSE),"")</f>
        <v/>
      </c>
      <c r="F105" s="352" t="str">
        <f t="shared" si="3"/>
        <v/>
      </c>
      <c r="G105" s="2" t="str">
        <f>IF(D105&lt;&gt;"",IF(VLOOKUP(VLOOKUP(E105,Beräkningshjälp!O$2:U$60,7,FALSE),Artuppgifter!$I$11:$P$22,8,FALSE)=TRUE,"Medelvikter!!","ALLA"),"")</f>
        <v/>
      </c>
      <c r="H105" s="2" t="str">
        <f>IF(D105&lt;&gt;"",VLOOKUP(ROW(H104),Beräkningshjälp!AC$2:AH$1082,COLUMN(Beräkningshjälp!AH$2)-COLUMN(Beräkningshjälp!AC$2)+1,FALSE),"")</f>
        <v/>
      </c>
      <c r="I105" s="116" t="str">
        <f>IF(D105&lt;&gt;"",VLOOKUP(ROW(E104),Beräkningshjälp!AC$2:AI$1082,COLUMN(Beräkningshjälp!AI$2)-COLUMN(Beräkningshjälp!AC$2)+1,FALSE),"")</f>
        <v/>
      </c>
    </row>
    <row r="106" spans="1:9" x14ac:dyDescent="0.25">
      <c r="A106" s="2" t="str">
        <f t="shared" si="2"/>
        <v/>
      </c>
      <c r="B106" s="136" t="str">
        <f>IF(D106&lt;&gt;"",'DATA TILL SLU'!$J$3,"")</f>
        <v/>
      </c>
      <c r="C106" s="146" t="str">
        <f>IF(D106&lt;&gt;"",'DATA TILL SLU'!$K$3,"")</f>
        <v/>
      </c>
      <c r="D106" s="2" t="str">
        <f>IF('DATA TILL SLU'!$D$7*1&lt;&gt;"",IF(COUNT(Beräkningshjälp!$AC$3:$AC$1082)&gt;=ROW(D105),'DATA TILL SLU'!$D$7*1,""),"")</f>
        <v/>
      </c>
      <c r="E106" s="136" t="str">
        <f>IF(D106&lt;&gt;"",VLOOKUP(ROW(E105),Beräkningshjälp!AC$2:AH$1082,COLUMN(Beräkningshjälp!AF$2)-COLUMN(Beräkningshjälp!AC$2)+1,FALSE),"")</f>
        <v/>
      </c>
      <c r="F106" s="352" t="str">
        <f t="shared" si="3"/>
        <v/>
      </c>
      <c r="G106" s="2" t="str">
        <f>IF(D106&lt;&gt;"",IF(VLOOKUP(VLOOKUP(E106,Beräkningshjälp!O$2:U$60,7,FALSE),Artuppgifter!$I$11:$P$22,8,FALSE)=TRUE,"Medelvikter!!","ALLA"),"")</f>
        <v/>
      </c>
      <c r="H106" s="2" t="str">
        <f>IF(D106&lt;&gt;"",VLOOKUP(ROW(H105),Beräkningshjälp!AC$2:AH$1082,COLUMN(Beräkningshjälp!AH$2)-COLUMN(Beräkningshjälp!AC$2)+1,FALSE),"")</f>
        <v/>
      </c>
      <c r="I106" s="116" t="str">
        <f>IF(D106&lt;&gt;"",VLOOKUP(ROW(E105),Beräkningshjälp!AC$2:AI$1082,COLUMN(Beräkningshjälp!AI$2)-COLUMN(Beräkningshjälp!AC$2)+1,FALSE),"")</f>
        <v/>
      </c>
    </row>
    <row r="107" spans="1:9" x14ac:dyDescent="0.25">
      <c r="A107" s="2" t="str">
        <f t="shared" si="2"/>
        <v/>
      </c>
      <c r="B107" s="136" t="str">
        <f>IF(D107&lt;&gt;"",'DATA TILL SLU'!$J$3,"")</f>
        <v/>
      </c>
      <c r="C107" s="146" t="str">
        <f>IF(D107&lt;&gt;"",'DATA TILL SLU'!$K$3,"")</f>
        <v/>
      </c>
      <c r="D107" s="2" t="str">
        <f>IF('DATA TILL SLU'!$D$7*1&lt;&gt;"",IF(COUNT(Beräkningshjälp!$AC$3:$AC$1082)&gt;=ROW(D106),'DATA TILL SLU'!$D$7*1,""),"")</f>
        <v/>
      </c>
      <c r="E107" s="136" t="str">
        <f>IF(D107&lt;&gt;"",VLOOKUP(ROW(E106),Beräkningshjälp!AC$2:AH$1082,COLUMN(Beräkningshjälp!AF$2)-COLUMN(Beräkningshjälp!AC$2)+1,FALSE),"")</f>
        <v/>
      </c>
      <c r="F107" s="352" t="str">
        <f t="shared" si="3"/>
        <v/>
      </c>
      <c r="G107" s="2" t="str">
        <f>IF(D107&lt;&gt;"",IF(VLOOKUP(VLOOKUP(E107,Beräkningshjälp!O$2:U$60,7,FALSE),Artuppgifter!$I$11:$P$22,8,FALSE)=TRUE,"Medelvikter!!","ALLA"),"")</f>
        <v/>
      </c>
      <c r="H107" s="2" t="str">
        <f>IF(D107&lt;&gt;"",VLOOKUP(ROW(H106),Beräkningshjälp!AC$2:AH$1082,COLUMN(Beräkningshjälp!AH$2)-COLUMN(Beräkningshjälp!AC$2)+1,FALSE),"")</f>
        <v/>
      </c>
      <c r="I107" s="116" t="str">
        <f>IF(D107&lt;&gt;"",VLOOKUP(ROW(E106),Beräkningshjälp!AC$2:AI$1082,COLUMN(Beräkningshjälp!AI$2)-COLUMN(Beräkningshjälp!AC$2)+1,FALSE),"")</f>
        <v/>
      </c>
    </row>
    <row r="108" spans="1:9" x14ac:dyDescent="0.25">
      <c r="A108" s="2" t="str">
        <f t="shared" si="2"/>
        <v/>
      </c>
      <c r="B108" s="136" t="str">
        <f>IF(D108&lt;&gt;"",'DATA TILL SLU'!$J$3,"")</f>
        <v/>
      </c>
      <c r="C108" s="146" t="str">
        <f>IF(D108&lt;&gt;"",'DATA TILL SLU'!$K$3,"")</f>
        <v/>
      </c>
      <c r="D108" s="2" t="str">
        <f>IF('DATA TILL SLU'!$D$7*1&lt;&gt;"",IF(COUNT(Beräkningshjälp!$AC$3:$AC$1082)&gt;=ROW(D107),'DATA TILL SLU'!$D$7*1,""),"")</f>
        <v/>
      </c>
      <c r="E108" s="136" t="str">
        <f>IF(D108&lt;&gt;"",VLOOKUP(ROW(E107),Beräkningshjälp!AC$2:AH$1082,COLUMN(Beräkningshjälp!AF$2)-COLUMN(Beräkningshjälp!AC$2)+1,FALSE),"")</f>
        <v/>
      </c>
      <c r="F108" s="352" t="str">
        <f t="shared" si="3"/>
        <v/>
      </c>
      <c r="G108" s="2" t="str">
        <f>IF(D108&lt;&gt;"",IF(VLOOKUP(VLOOKUP(E108,Beräkningshjälp!O$2:U$60,7,FALSE),Artuppgifter!$I$11:$P$22,8,FALSE)=TRUE,"Medelvikter!!","ALLA"),"")</f>
        <v/>
      </c>
      <c r="H108" s="2" t="str">
        <f>IF(D108&lt;&gt;"",VLOOKUP(ROW(H107),Beräkningshjälp!AC$2:AH$1082,COLUMN(Beräkningshjälp!AH$2)-COLUMN(Beräkningshjälp!AC$2)+1,FALSE),"")</f>
        <v/>
      </c>
      <c r="I108" s="116" t="str">
        <f>IF(D108&lt;&gt;"",VLOOKUP(ROW(E107),Beräkningshjälp!AC$2:AI$1082,COLUMN(Beräkningshjälp!AI$2)-COLUMN(Beräkningshjälp!AC$2)+1,FALSE),"")</f>
        <v/>
      </c>
    </row>
    <row r="109" spans="1:9" x14ac:dyDescent="0.25">
      <c r="A109" s="2" t="str">
        <f t="shared" si="2"/>
        <v/>
      </c>
      <c r="B109" s="136" t="str">
        <f>IF(D109&lt;&gt;"",'DATA TILL SLU'!$J$3,"")</f>
        <v/>
      </c>
      <c r="C109" s="146" t="str">
        <f>IF(D109&lt;&gt;"",'DATA TILL SLU'!$K$3,"")</f>
        <v/>
      </c>
      <c r="D109" s="2" t="str">
        <f>IF('DATA TILL SLU'!$D$7*1&lt;&gt;"",IF(COUNT(Beräkningshjälp!$AC$3:$AC$1082)&gt;=ROW(D108),'DATA TILL SLU'!$D$7*1,""),"")</f>
        <v/>
      </c>
      <c r="E109" s="136" t="str">
        <f>IF(D109&lt;&gt;"",VLOOKUP(ROW(E108),Beräkningshjälp!AC$2:AH$1082,COLUMN(Beräkningshjälp!AF$2)-COLUMN(Beräkningshjälp!AC$2)+1,FALSE),"")</f>
        <v/>
      </c>
      <c r="F109" s="352" t="str">
        <f t="shared" si="3"/>
        <v/>
      </c>
      <c r="G109" s="2" t="str">
        <f>IF(D109&lt;&gt;"",IF(VLOOKUP(VLOOKUP(E109,Beräkningshjälp!O$2:U$60,7,FALSE),Artuppgifter!$I$11:$P$22,8,FALSE)=TRUE,"Medelvikter!!","ALLA"),"")</f>
        <v/>
      </c>
      <c r="H109" s="2" t="str">
        <f>IF(D109&lt;&gt;"",VLOOKUP(ROW(H108),Beräkningshjälp!AC$2:AH$1082,COLUMN(Beräkningshjälp!AH$2)-COLUMN(Beräkningshjälp!AC$2)+1,FALSE),"")</f>
        <v/>
      </c>
      <c r="I109" s="116" t="str">
        <f>IF(D109&lt;&gt;"",VLOOKUP(ROW(E108),Beräkningshjälp!AC$2:AI$1082,COLUMN(Beräkningshjälp!AI$2)-COLUMN(Beräkningshjälp!AC$2)+1,FALSE),"")</f>
        <v/>
      </c>
    </row>
    <row r="110" spans="1:9" x14ac:dyDescent="0.25">
      <c r="A110" s="2" t="str">
        <f t="shared" si="2"/>
        <v/>
      </c>
      <c r="B110" s="136" t="str">
        <f>IF(D110&lt;&gt;"",'DATA TILL SLU'!$J$3,"")</f>
        <v/>
      </c>
      <c r="C110" s="146" t="str">
        <f>IF(D110&lt;&gt;"",'DATA TILL SLU'!$K$3,"")</f>
        <v/>
      </c>
      <c r="D110" s="2" t="str">
        <f>IF('DATA TILL SLU'!$D$7*1&lt;&gt;"",IF(COUNT(Beräkningshjälp!$AC$3:$AC$1082)&gt;=ROW(D109),'DATA TILL SLU'!$D$7*1,""),"")</f>
        <v/>
      </c>
      <c r="E110" s="136" t="str">
        <f>IF(D110&lt;&gt;"",VLOOKUP(ROW(E109),Beräkningshjälp!AC$2:AH$1082,COLUMN(Beräkningshjälp!AF$2)-COLUMN(Beräkningshjälp!AC$2)+1,FALSE),"")</f>
        <v/>
      </c>
      <c r="F110" s="352" t="str">
        <f t="shared" si="3"/>
        <v/>
      </c>
      <c r="G110" s="2" t="str">
        <f>IF(D110&lt;&gt;"",IF(VLOOKUP(VLOOKUP(E110,Beräkningshjälp!O$2:U$60,7,FALSE),Artuppgifter!$I$11:$P$22,8,FALSE)=TRUE,"Medelvikter!!","ALLA"),"")</f>
        <v/>
      </c>
      <c r="H110" s="2" t="str">
        <f>IF(D110&lt;&gt;"",VLOOKUP(ROW(H109),Beräkningshjälp!AC$2:AH$1082,COLUMN(Beräkningshjälp!AH$2)-COLUMN(Beräkningshjälp!AC$2)+1,FALSE),"")</f>
        <v/>
      </c>
      <c r="I110" s="116" t="str">
        <f>IF(D110&lt;&gt;"",VLOOKUP(ROW(E109),Beräkningshjälp!AC$2:AI$1082,COLUMN(Beräkningshjälp!AI$2)-COLUMN(Beräkningshjälp!AC$2)+1,FALSE),"")</f>
        <v/>
      </c>
    </row>
    <row r="111" spans="1:9" x14ac:dyDescent="0.25">
      <c r="A111" s="2" t="str">
        <f t="shared" si="2"/>
        <v/>
      </c>
      <c r="B111" s="136" t="str">
        <f>IF(D111&lt;&gt;"",'DATA TILL SLU'!$J$3,"")</f>
        <v/>
      </c>
      <c r="C111" s="146" t="str">
        <f>IF(D111&lt;&gt;"",'DATA TILL SLU'!$K$3,"")</f>
        <v/>
      </c>
      <c r="D111" s="2" t="str">
        <f>IF('DATA TILL SLU'!$D$7*1&lt;&gt;"",IF(COUNT(Beräkningshjälp!$AC$3:$AC$1082)&gt;=ROW(D110),'DATA TILL SLU'!$D$7*1,""),"")</f>
        <v/>
      </c>
      <c r="E111" s="136" t="str">
        <f>IF(D111&lt;&gt;"",VLOOKUP(ROW(E110),Beräkningshjälp!AC$2:AH$1082,COLUMN(Beräkningshjälp!AF$2)-COLUMN(Beräkningshjälp!AC$2)+1,FALSE),"")</f>
        <v/>
      </c>
      <c r="F111" s="352" t="str">
        <f t="shared" si="3"/>
        <v/>
      </c>
      <c r="G111" s="2" t="str">
        <f>IF(D111&lt;&gt;"",IF(VLOOKUP(VLOOKUP(E111,Beräkningshjälp!O$2:U$60,7,FALSE),Artuppgifter!$I$11:$P$22,8,FALSE)=TRUE,"Medelvikter!!","ALLA"),"")</f>
        <v/>
      </c>
      <c r="H111" s="2" t="str">
        <f>IF(D111&lt;&gt;"",VLOOKUP(ROW(H110),Beräkningshjälp!AC$2:AH$1082,COLUMN(Beräkningshjälp!AH$2)-COLUMN(Beräkningshjälp!AC$2)+1,FALSE),"")</f>
        <v/>
      </c>
      <c r="I111" s="116" t="str">
        <f>IF(D111&lt;&gt;"",VLOOKUP(ROW(E110),Beräkningshjälp!AC$2:AI$1082,COLUMN(Beräkningshjälp!AI$2)-COLUMN(Beräkningshjälp!AC$2)+1,FALSE),"")</f>
        <v/>
      </c>
    </row>
    <row r="112" spans="1:9" x14ac:dyDescent="0.25">
      <c r="A112" s="2" t="str">
        <f t="shared" si="2"/>
        <v/>
      </c>
      <c r="B112" s="136" t="str">
        <f>IF(D112&lt;&gt;"",'DATA TILL SLU'!$J$3,"")</f>
        <v/>
      </c>
      <c r="C112" s="146" t="str">
        <f>IF(D112&lt;&gt;"",'DATA TILL SLU'!$K$3,"")</f>
        <v/>
      </c>
      <c r="D112" s="2" t="str">
        <f>IF('DATA TILL SLU'!$D$7*1&lt;&gt;"",IF(COUNT(Beräkningshjälp!$AC$3:$AC$1082)&gt;=ROW(D111),'DATA TILL SLU'!$D$7*1,""),"")</f>
        <v/>
      </c>
      <c r="E112" s="136" t="str">
        <f>IF(D112&lt;&gt;"",VLOOKUP(ROW(E111),Beräkningshjälp!AC$2:AH$1082,COLUMN(Beräkningshjälp!AF$2)-COLUMN(Beräkningshjälp!AC$2)+1,FALSE),"")</f>
        <v/>
      </c>
      <c r="F112" s="352" t="str">
        <f t="shared" si="3"/>
        <v/>
      </c>
      <c r="G112" s="2" t="str">
        <f>IF(D112&lt;&gt;"",IF(VLOOKUP(VLOOKUP(E112,Beräkningshjälp!O$2:U$60,7,FALSE),Artuppgifter!$I$11:$P$22,8,FALSE)=TRUE,"Medelvikter!!","ALLA"),"")</f>
        <v/>
      </c>
      <c r="H112" s="2" t="str">
        <f>IF(D112&lt;&gt;"",VLOOKUP(ROW(H111),Beräkningshjälp!AC$2:AH$1082,COLUMN(Beräkningshjälp!AH$2)-COLUMN(Beräkningshjälp!AC$2)+1,FALSE),"")</f>
        <v/>
      </c>
      <c r="I112" s="116" t="str">
        <f>IF(D112&lt;&gt;"",VLOOKUP(ROW(E111),Beräkningshjälp!AC$2:AI$1082,COLUMN(Beräkningshjälp!AI$2)-COLUMN(Beräkningshjälp!AC$2)+1,FALSE),"")</f>
        <v/>
      </c>
    </row>
    <row r="113" spans="1:9" x14ac:dyDescent="0.25">
      <c r="A113" s="2" t="str">
        <f t="shared" si="2"/>
        <v/>
      </c>
      <c r="B113" s="136" t="str">
        <f>IF(D113&lt;&gt;"",'DATA TILL SLU'!$J$3,"")</f>
        <v/>
      </c>
      <c r="C113" s="146" t="str">
        <f>IF(D113&lt;&gt;"",'DATA TILL SLU'!$K$3,"")</f>
        <v/>
      </c>
      <c r="D113" s="2" t="str">
        <f>IF('DATA TILL SLU'!$D$7*1&lt;&gt;"",IF(COUNT(Beräkningshjälp!$AC$3:$AC$1082)&gt;=ROW(D112),'DATA TILL SLU'!$D$7*1,""),"")</f>
        <v/>
      </c>
      <c r="E113" s="136" t="str">
        <f>IF(D113&lt;&gt;"",VLOOKUP(ROW(E112),Beräkningshjälp!AC$2:AH$1082,COLUMN(Beräkningshjälp!AF$2)-COLUMN(Beräkningshjälp!AC$2)+1,FALSE),"")</f>
        <v/>
      </c>
      <c r="F113" s="352" t="str">
        <f t="shared" si="3"/>
        <v/>
      </c>
      <c r="G113" s="2" t="str">
        <f>IF(D113&lt;&gt;"",IF(VLOOKUP(VLOOKUP(E113,Beräkningshjälp!O$2:U$60,7,FALSE),Artuppgifter!$I$11:$P$22,8,FALSE)=TRUE,"Medelvikter!!","ALLA"),"")</f>
        <v/>
      </c>
      <c r="H113" s="2" t="str">
        <f>IF(D113&lt;&gt;"",VLOOKUP(ROW(H112),Beräkningshjälp!AC$2:AH$1082,COLUMN(Beräkningshjälp!AH$2)-COLUMN(Beräkningshjälp!AC$2)+1,FALSE),"")</f>
        <v/>
      </c>
      <c r="I113" s="116" t="str">
        <f>IF(D113&lt;&gt;"",VLOOKUP(ROW(E112),Beräkningshjälp!AC$2:AI$1082,COLUMN(Beräkningshjälp!AI$2)-COLUMN(Beräkningshjälp!AC$2)+1,FALSE),"")</f>
        <v/>
      </c>
    </row>
    <row r="114" spans="1:9" x14ac:dyDescent="0.25">
      <c r="A114" s="2" t="str">
        <f t="shared" si="2"/>
        <v/>
      </c>
      <c r="B114" s="136" t="str">
        <f>IF(D114&lt;&gt;"",'DATA TILL SLU'!$J$3,"")</f>
        <v/>
      </c>
      <c r="C114" s="146" t="str">
        <f>IF(D114&lt;&gt;"",'DATA TILL SLU'!$K$3,"")</f>
        <v/>
      </c>
      <c r="D114" s="2" t="str">
        <f>IF('DATA TILL SLU'!$D$7*1&lt;&gt;"",IF(COUNT(Beräkningshjälp!$AC$3:$AC$1082)&gt;=ROW(D113),'DATA TILL SLU'!$D$7*1,""),"")</f>
        <v/>
      </c>
      <c r="E114" s="136" t="str">
        <f>IF(D114&lt;&gt;"",VLOOKUP(ROW(E113),Beräkningshjälp!AC$2:AH$1082,COLUMN(Beräkningshjälp!AF$2)-COLUMN(Beräkningshjälp!AC$2)+1,FALSE),"")</f>
        <v/>
      </c>
      <c r="F114" s="352" t="str">
        <f t="shared" si="3"/>
        <v/>
      </c>
      <c r="G114" s="2" t="str">
        <f>IF(D114&lt;&gt;"",IF(VLOOKUP(VLOOKUP(E114,Beräkningshjälp!O$2:U$60,7,FALSE),Artuppgifter!$I$11:$P$22,8,FALSE)=TRUE,"Medelvikter!!","ALLA"),"")</f>
        <v/>
      </c>
      <c r="H114" s="2" t="str">
        <f>IF(D114&lt;&gt;"",VLOOKUP(ROW(H113),Beräkningshjälp!AC$2:AH$1082,COLUMN(Beräkningshjälp!AH$2)-COLUMN(Beräkningshjälp!AC$2)+1,FALSE),"")</f>
        <v/>
      </c>
      <c r="I114" s="116" t="str">
        <f>IF(D114&lt;&gt;"",VLOOKUP(ROW(E113),Beräkningshjälp!AC$2:AI$1082,COLUMN(Beräkningshjälp!AI$2)-COLUMN(Beräkningshjälp!AC$2)+1,FALSE),"")</f>
        <v/>
      </c>
    </row>
    <row r="115" spans="1:9" x14ac:dyDescent="0.25">
      <c r="A115" s="2" t="str">
        <f t="shared" si="2"/>
        <v/>
      </c>
      <c r="B115" s="136" t="str">
        <f>IF(D115&lt;&gt;"",'DATA TILL SLU'!$J$3,"")</f>
        <v/>
      </c>
      <c r="C115" s="146" t="str">
        <f>IF(D115&lt;&gt;"",'DATA TILL SLU'!$K$3,"")</f>
        <v/>
      </c>
      <c r="D115" s="2" t="str">
        <f>IF('DATA TILL SLU'!$D$7*1&lt;&gt;"",IF(COUNT(Beräkningshjälp!$AC$3:$AC$1082)&gt;=ROW(D114),'DATA TILL SLU'!$D$7*1,""),"")</f>
        <v/>
      </c>
      <c r="E115" s="136" t="str">
        <f>IF(D115&lt;&gt;"",VLOOKUP(ROW(E114),Beräkningshjälp!AC$2:AH$1082,COLUMN(Beräkningshjälp!AF$2)-COLUMN(Beräkningshjälp!AC$2)+1,FALSE),"")</f>
        <v/>
      </c>
      <c r="F115" s="352" t="str">
        <f t="shared" si="3"/>
        <v/>
      </c>
      <c r="G115" s="2" t="str">
        <f>IF(D115&lt;&gt;"",IF(VLOOKUP(VLOOKUP(E115,Beräkningshjälp!O$2:U$60,7,FALSE),Artuppgifter!$I$11:$P$22,8,FALSE)=TRUE,"Medelvikter!!","ALLA"),"")</f>
        <v/>
      </c>
      <c r="H115" s="2" t="str">
        <f>IF(D115&lt;&gt;"",VLOOKUP(ROW(H114),Beräkningshjälp!AC$2:AH$1082,COLUMN(Beräkningshjälp!AH$2)-COLUMN(Beräkningshjälp!AC$2)+1,FALSE),"")</f>
        <v/>
      </c>
      <c r="I115" s="116" t="str">
        <f>IF(D115&lt;&gt;"",VLOOKUP(ROW(E114),Beräkningshjälp!AC$2:AI$1082,COLUMN(Beräkningshjälp!AI$2)-COLUMN(Beräkningshjälp!AC$2)+1,FALSE),"")</f>
        <v/>
      </c>
    </row>
    <row r="116" spans="1:9" x14ac:dyDescent="0.25">
      <c r="A116" s="2" t="str">
        <f t="shared" si="2"/>
        <v/>
      </c>
      <c r="B116" s="136" t="str">
        <f>IF(D116&lt;&gt;"",'DATA TILL SLU'!$J$3,"")</f>
        <v/>
      </c>
      <c r="C116" s="146" t="str">
        <f>IF(D116&lt;&gt;"",'DATA TILL SLU'!$K$3,"")</f>
        <v/>
      </c>
      <c r="D116" s="2" t="str">
        <f>IF('DATA TILL SLU'!$D$7*1&lt;&gt;"",IF(COUNT(Beräkningshjälp!$AC$3:$AC$1082)&gt;=ROW(D115),'DATA TILL SLU'!$D$7*1,""),"")</f>
        <v/>
      </c>
      <c r="E116" s="136" t="str">
        <f>IF(D116&lt;&gt;"",VLOOKUP(ROW(E115),Beräkningshjälp!AC$2:AH$1082,COLUMN(Beräkningshjälp!AF$2)-COLUMN(Beräkningshjälp!AC$2)+1,FALSE),"")</f>
        <v/>
      </c>
      <c r="F116" s="352" t="str">
        <f t="shared" si="3"/>
        <v/>
      </c>
      <c r="G116" s="2" t="str">
        <f>IF(D116&lt;&gt;"",IF(VLOOKUP(VLOOKUP(E116,Beräkningshjälp!O$2:U$60,7,FALSE),Artuppgifter!$I$11:$P$22,8,FALSE)=TRUE,"Medelvikter!!","ALLA"),"")</f>
        <v/>
      </c>
      <c r="H116" s="2" t="str">
        <f>IF(D116&lt;&gt;"",VLOOKUP(ROW(H115),Beräkningshjälp!AC$2:AH$1082,COLUMN(Beräkningshjälp!AH$2)-COLUMN(Beräkningshjälp!AC$2)+1,FALSE),"")</f>
        <v/>
      </c>
      <c r="I116" s="116" t="str">
        <f>IF(D116&lt;&gt;"",VLOOKUP(ROW(E115),Beräkningshjälp!AC$2:AI$1082,COLUMN(Beräkningshjälp!AI$2)-COLUMN(Beräkningshjälp!AC$2)+1,FALSE),"")</f>
        <v/>
      </c>
    </row>
    <row r="117" spans="1:9" x14ac:dyDescent="0.25">
      <c r="A117" s="2" t="str">
        <f t="shared" si="2"/>
        <v/>
      </c>
      <c r="B117" s="136" t="str">
        <f>IF(D117&lt;&gt;"",'DATA TILL SLU'!$J$3,"")</f>
        <v/>
      </c>
      <c r="C117" s="146" t="str">
        <f>IF(D117&lt;&gt;"",'DATA TILL SLU'!$K$3,"")</f>
        <v/>
      </c>
      <c r="D117" s="2" t="str">
        <f>IF('DATA TILL SLU'!$D$7*1&lt;&gt;"",IF(COUNT(Beräkningshjälp!$AC$3:$AC$1082)&gt;=ROW(D116),'DATA TILL SLU'!$D$7*1,""),"")</f>
        <v/>
      </c>
      <c r="E117" s="136" t="str">
        <f>IF(D117&lt;&gt;"",VLOOKUP(ROW(E116),Beräkningshjälp!AC$2:AH$1082,COLUMN(Beräkningshjälp!AF$2)-COLUMN(Beräkningshjälp!AC$2)+1,FALSE),"")</f>
        <v/>
      </c>
      <c r="F117" s="352" t="str">
        <f t="shared" si="3"/>
        <v/>
      </c>
      <c r="G117" s="2" t="str">
        <f>IF(D117&lt;&gt;"",IF(VLOOKUP(VLOOKUP(E117,Beräkningshjälp!O$2:U$60,7,FALSE),Artuppgifter!$I$11:$P$22,8,FALSE)=TRUE,"Medelvikter!!","ALLA"),"")</f>
        <v/>
      </c>
      <c r="H117" s="2" t="str">
        <f>IF(D117&lt;&gt;"",VLOOKUP(ROW(H116),Beräkningshjälp!AC$2:AH$1082,COLUMN(Beräkningshjälp!AH$2)-COLUMN(Beräkningshjälp!AC$2)+1,FALSE),"")</f>
        <v/>
      </c>
      <c r="I117" s="116" t="str">
        <f>IF(D117&lt;&gt;"",VLOOKUP(ROW(E116),Beräkningshjälp!AC$2:AI$1082,COLUMN(Beräkningshjälp!AI$2)-COLUMN(Beräkningshjälp!AC$2)+1,FALSE),"")</f>
        <v/>
      </c>
    </row>
    <row r="118" spans="1:9" x14ac:dyDescent="0.25">
      <c r="A118" s="2" t="str">
        <f t="shared" si="2"/>
        <v/>
      </c>
      <c r="B118" s="136" t="str">
        <f>IF(D118&lt;&gt;"",'DATA TILL SLU'!$J$3,"")</f>
        <v/>
      </c>
      <c r="C118" s="146" t="str">
        <f>IF(D118&lt;&gt;"",'DATA TILL SLU'!$K$3,"")</f>
        <v/>
      </c>
      <c r="D118" s="2" t="str">
        <f>IF('DATA TILL SLU'!$D$7*1&lt;&gt;"",IF(COUNT(Beräkningshjälp!$AC$3:$AC$1082)&gt;=ROW(D117),'DATA TILL SLU'!$D$7*1,""),"")</f>
        <v/>
      </c>
      <c r="E118" s="136" t="str">
        <f>IF(D118&lt;&gt;"",VLOOKUP(ROW(E117),Beräkningshjälp!AC$2:AH$1082,COLUMN(Beräkningshjälp!AF$2)-COLUMN(Beräkningshjälp!AC$2)+1,FALSE),"")</f>
        <v/>
      </c>
      <c r="F118" s="352" t="str">
        <f t="shared" si="3"/>
        <v/>
      </c>
      <c r="G118" s="2" t="str">
        <f>IF(D118&lt;&gt;"",IF(VLOOKUP(VLOOKUP(E118,Beräkningshjälp!O$2:U$60,7,FALSE),Artuppgifter!$I$11:$P$22,8,FALSE)=TRUE,"Medelvikter!!","ALLA"),"")</f>
        <v/>
      </c>
      <c r="H118" s="2" t="str">
        <f>IF(D118&lt;&gt;"",VLOOKUP(ROW(H117),Beräkningshjälp!AC$2:AH$1082,COLUMN(Beräkningshjälp!AH$2)-COLUMN(Beräkningshjälp!AC$2)+1,FALSE),"")</f>
        <v/>
      </c>
      <c r="I118" s="116" t="str">
        <f>IF(D118&lt;&gt;"",VLOOKUP(ROW(E117),Beräkningshjälp!AC$2:AI$1082,COLUMN(Beräkningshjälp!AI$2)-COLUMN(Beräkningshjälp!AC$2)+1,FALSE),"")</f>
        <v/>
      </c>
    </row>
    <row r="119" spans="1:9" x14ac:dyDescent="0.25">
      <c r="A119" s="2" t="str">
        <f t="shared" si="2"/>
        <v/>
      </c>
      <c r="B119" s="136" t="str">
        <f>IF(D119&lt;&gt;"",'DATA TILL SLU'!$J$3,"")</f>
        <v/>
      </c>
      <c r="C119" s="146" t="str">
        <f>IF(D119&lt;&gt;"",'DATA TILL SLU'!$K$3,"")</f>
        <v/>
      </c>
      <c r="D119" s="2" t="str">
        <f>IF('DATA TILL SLU'!$D$7*1&lt;&gt;"",IF(COUNT(Beräkningshjälp!$AC$3:$AC$1082)&gt;=ROW(D118),'DATA TILL SLU'!$D$7*1,""),"")</f>
        <v/>
      </c>
      <c r="E119" s="136" t="str">
        <f>IF(D119&lt;&gt;"",VLOOKUP(ROW(E118),Beräkningshjälp!AC$2:AH$1082,COLUMN(Beräkningshjälp!AF$2)-COLUMN(Beräkningshjälp!AC$2)+1,FALSE),"")</f>
        <v/>
      </c>
      <c r="F119" s="352" t="str">
        <f t="shared" si="3"/>
        <v/>
      </c>
      <c r="G119" s="2" t="str">
        <f>IF(D119&lt;&gt;"",IF(VLOOKUP(VLOOKUP(E119,Beräkningshjälp!O$2:U$60,7,FALSE),Artuppgifter!$I$11:$P$22,8,FALSE)=TRUE,"Medelvikter!!","ALLA"),"")</f>
        <v/>
      </c>
      <c r="H119" s="2" t="str">
        <f>IF(D119&lt;&gt;"",VLOOKUP(ROW(H118),Beräkningshjälp!AC$2:AH$1082,COLUMN(Beräkningshjälp!AH$2)-COLUMN(Beräkningshjälp!AC$2)+1,FALSE),"")</f>
        <v/>
      </c>
      <c r="I119" s="116" t="str">
        <f>IF(D119&lt;&gt;"",VLOOKUP(ROW(E118),Beräkningshjälp!AC$2:AI$1082,COLUMN(Beräkningshjälp!AI$2)-COLUMN(Beräkningshjälp!AC$2)+1,FALSE),"")</f>
        <v/>
      </c>
    </row>
    <row r="120" spans="1:9" x14ac:dyDescent="0.25">
      <c r="A120" s="2" t="str">
        <f t="shared" si="2"/>
        <v/>
      </c>
      <c r="B120" s="136" t="str">
        <f>IF(D120&lt;&gt;"",'DATA TILL SLU'!$J$3,"")</f>
        <v/>
      </c>
      <c r="C120" s="146" t="str">
        <f>IF(D120&lt;&gt;"",'DATA TILL SLU'!$K$3,"")</f>
        <v/>
      </c>
      <c r="D120" s="2" t="str">
        <f>IF('DATA TILL SLU'!$D$7*1&lt;&gt;"",IF(COUNT(Beräkningshjälp!$AC$3:$AC$1082)&gt;=ROW(D119),'DATA TILL SLU'!$D$7*1,""),"")</f>
        <v/>
      </c>
      <c r="E120" s="136" t="str">
        <f>IF(D120&lt;&gt;"",VLOOKUP(ROW(E119),Beräkningshjälp!AC$2:AH$1082,COLUMN(Beräkningshjälp!AF$2)-COLUMN(Beräkningshjälp!AC$2)+1,FALSE),"")</f>
        <v/>
      </c>
      <c r="F120" s="352" t="str">
        <f t="shared" si="3"/>
        <v/>
      </c>
      <c r="G120" s="2" t="str">
        <f>IF(D120&lt;&gt;"",IF(VLOOKUP(VLOOKUP(E120,Beräkningshjälp!O$2:U$60,7,FALSE),Artuppgifter!$I$11:$P$22,8,FALSE)=TRUE,"Medelvikter!!","ALLA"),"")</f>
        <v/>
      </c>
      <c r="H120" s="2" t="str">
        <f>IF(D120&lt;&gt;"",VLOOKUP(ROW(H119),Beräkningshjälp!AC$2:AH$1082,COLUMN(Beräkningshjälp!AH$2)-COLUMN(Beräkningshjälp!AC$2)+1,FALSE),"")</f>
        <v/>
      </c>
      <c r="I120" s="116" t="str">
        <f>IF(D120&lt;&gt;"",VLOOKUP(ROW(E119),Beräkningshjälp!AC$2:AI$1082,COLUMN(Beräkningshjälp!AI$2)-COLUMN(Beräkningshjälp!AC$2)+1,FALSE),"")</f>
        <v/>
      </c>
    </row>
    <row r="121" spans="1:9" x14ac:dyDescent="0.25">
      <c r="A121" s="2" t="str">
        <f t="shared" si="2"/>
        <v/>
      </c>
      <c r="B121" s="136" t="str">
        <f>IF(D121&lt;&gt;"",'DATA TILL SLU'!$J$3,"")</f>
        <v/>
      </c>
      <c r="C121" s="146" t="str">
        <f>IF(D121&lt;&gt;"",'DATA TILL SLU'!$K$3,"")</f>
        <v/>
      </c>
      <c r="D121" s="2" t="str">
        <f>IF('DATA TILL SLU'!$D$7*1&lt;&gt;"",IF(COUNT(Beräkningshjälp!$AC$3:$AC$1082)&gt;=ROW(D120),'DATA TILL SLU'!$D$7*1,""),"")</f>
        <v/>
      </c>
      <c r="E121" s="136" t="str">
        <f>IF(D121&lt;&gt;"",VLOOKUP(ROW(E120),Beräkningshjälp!AC$2:AH$1082,COLUMN(Beräkningshjälp!AF$2)-COLUMN(Beräkningshjälp!AC$2)+1,FALSE),"")</f>
        <v/>
      </c>
      <c r="F121" s="352" t="str">
        <f t="shared" si="3"/>
        <v/>
      </c>
      <c r="G121" s="2" t="str">
        <f>IF(D121&lt;&gt;"",IF(VLOOKUP(VLOOKUP(E121,Beräkningshjälp!O$2:U$60,7,FALSE),Artuppgifter!$I$11:$P$22,8,FALSE)=TRUE,"Medelvikter!!","ALLA"),"")</f>
        <v/>
      </c>
      <c r="H121" s="2" t="str">
        <f>IF(D121&lt;&gt;"",VLOOKUP(ROW(H120),Beräkningshjälp!AC$2:AH$1082,COLUMN(Beräkningshjälp!AH$2)-COLUMN(Beräkningshjälp!AC$2)+1,FALSE),"")</f>
        <v/>
      </c>
      <c r="I121" s="116" t="str">
        <f>IF(D121&lt;&gt;"",VLOOKUP(ROW(E120),Beräkningshjälp!AC$2:AI$1082,COLUMN(Beräkningshjälp!AI$2)-COLUMN(Beräkningshjälp!AC$2)+1,FALSE),"")</f>
        <v/>
      </c>
    </row>
    <row r="122" spans="1:9" x14ac:dyDescent="0.25">
      <c r="A122" s="2" t="str">
        <f t="shared" si="2"/>
        <v/>
      </c>
      <c r="B122" s="136" t="str">
        <f>IF(D122&lt;&gt;"",'DATA TILL SLU'!$J$3,"")</f>
        <v/>
      </c>
      <c r="C122" s="146" t="str">
        <f>IF(D122&lt;&gt;"",'DATA TILL SLU'!$K$3,"")</f>
        <v/>
      </c>
      <c r="D122" s="2" t="str">
        <f>IF('DATA TILL SLU'!$D$7*1&lt;&gt;"",IF(COUNT(Beräkningshjälp!$AC$3:$AC$1082)&gt;=ROW(D121),'DATA TILL SLU'!$D$7*1,""),"")</f>
        <v/>
      </c>
      <c r="E122" s="136" t="str">
        <f>IF(D122&lt;&gt;"",VLOOKUP(ROW(E121),Beräkningshjälp!AC$2:AH$1082,COLUMN(Beräkningshjälp!AF$2)-COLUMN(Beräkningshjälp!AC$2)+1,FALSE),"")</f>
        <v/>
      </c>
      <c r="F122" s="352" t="str">
        <f t="shared" si="3"/>
        <v/>
      </c>
      <c r="G122" s="2" t="str">
        <f>IF(D122&lt;&gt;"",IF(VLOOKUP(VLOOKUP(E122,Beräkningshjälp!O$2:U$60,7,FALSE),Artuppgifter!$I$11:$P$22,8,FALSE)=TRUE,"Medelvikter!!","ALLA"),"")</f>
        <v/>
      </c>
      <c r="H122" s="2" t="str">
        <f>IF(D122&lt;&gt;"",VLOOKUP(ROW(H121),Beräkningshjälp!AC$2:AH$1082,COLUMN(Beräkningshjälp!AH$2)-COLUMN(Beräkningshjälp!AC$2)+1,FALSE),"")</f>
        <v/>
      </c>
      <c r="I122" s="116" t="str">
        <f>IF(D122&lt;&gt;"",VLOOKUP(ROW(E121),Beräkningshjälp!AC$2:AI$1082,COLUMN(Beräkningshjälp!AI$2)-COLUMN(Beräkningshjälp!AC$2)+1,FALSE),"")</f>
        <v/>
      </c>
    </row>
    <row r="123" spans="1:9" x14ac:dyDescent="0.25">
      <c r="A123" s="2" t="str">
        <f t="shared" si="2"/>
        <v/>
      </c>
      <c r="B123" s="136" t="str">
        <f>IF(D123&lt;&gt;"",'DATA TILL SLU'!$J$3,"")</f>
        <v/>
      </c>
      <c r="C123" s="146" t="str">
        <f>IF(D123&lt;&gt;"",'DATA TILL SLU'!$K$3,"")</f>
        <v/>
      </c>
      <c r="D123" s="2" t="str">
        <f>IF('DATA TILL SLU'!$D$7*1&lt;&gt;"",IF(COUNT(Beräkningshjälp!$AC$3:$AC$1082)&gt;=ROW(D122),'DATA TILL SLU'!$D$7*1,""),"")</f>
        <v/>
      </c>
      <c r="E123" s="136" t="str">
        <f>IF(D123&lt;&gt;"",VLOOKUP(ROW(E122),Beräkningshjälp!AC$2:AH$1082,COLUMN(Beräkningshjälp!AF$2)-COLUMN(Beräkningshjälp!AC$2)+1,FALSE),"")</f>
        <v/>
      </c>
      <c r="F123" s="352" t="str">
        <f t="shared" si="3"/>
        <v/>
      </c>
      <c r="G123" s="2" t="str">
        <f>IF(D123&lt;&gt;"",IF(VLOOKUP(VLOOKUP(E123,Beräkningshjälp!O$2:U$60,7,FALSE),Artuppgifter!$I$11:$P$22,8,FALSE)=TRUE,"Medelvikter!!","ALLA"),"")</f>
        <v/>
      </c>
      <c r="H123" s="2" t="str">
        <f>IF(D123&lt;&gt;"",VLOOKUP(ROW(H122),Beräkningshjälp!AC$2:AH$1082,COLUMN(Beräkningshjälp!AH$2)-COLUMN(Beräkningshjälp!AC$2)+1,FALSE),"")</f>
        <v/>
      </c>
      <c r="I123" s="116" t="str">
        <f>IF(D123&lt;&gt;"",VLOOKUP(ROW(E122),Beräkningshjälp!AC$2:AI$1082,COLUMN(Beräkningshjälp!AI$2)-COLUMN(Beräkningshjälp!AC$2)+1,FALSE),"")</f>
        <v/>
      </c>
    </row>
    <row r="124" spans="1:9" x14ac:dyDescent="0.25">
      <c r="A124" s="2" t="str">
        <f t="shared" si="2"/>
        <v/>
      </c>
      <c r="B124" s="136" t="str">
        <f>IF(D124&lt;&gt;"",'DATA TILL SLU'!$J$3,"")</f>
        <v/>
      </c>
      <c r="C124" s="146" t="str">
        <f>IF(D124&lt;&gt;"",'DATA TILL SLU'!$K$3,"")</f>
        <v/>
      </c>
      <c r="D124" s="2" t="str">
        <f>IF('DATA TILL SLU'!$D$7*1&lt;&gt;"",IF(COUNT(Beräkningshjälp!$AC$3:$AC$1082)&gt;=ROW(D123),'DATA TILL SLU'!$D$7*1,""),"")</f>
        <v/>
      </c>
      <c r="E124" s="136" t="str">
        <f>IF(D124&lt;&gt;"",VLOOKUP(ROW(E123),Beräkningshjälp!AC$2:AH$1082,COLUMN(Beräkningshjälp!AF$2)-COLUMN(Beräkningshjälp!AC$2)+1,FALSE),"")</f>
        <v/>
      </c>
      <c r="F124" s="352" t="str">
        <f t="shared" si="3"/>
        <v/>
      </c>
      <c r="G124" s="2" t="str">
        <f>IF(D124&lt;&gt;"",IF(VLOOKUP(VLOOKUP(E124,Beräkningshjälp!O$2:U$60,7,FALSE),Artuppgifter!$I$11:$P$22,8,FALSE)=TRUE,"Medelvikter!!","ALLA"),"")</f>
        <v/>
      </c>
      <c r="H124" s="2" t="str">
        <f>IF(D124&lt;&gt;"",VLOOKUP(ROW(H123),Beräkningshjälp!AC$2:AH$1082,COLUMN(Beräkningshjälp!AH$2)-COLUMN(Beräkningshjälp!AC$2)+1,FALSE),"")</f>
        <v/>
      </c>
      <c r="I124" s="116" t="str">
        <f>IF(D124&lt;&gt;"",VLOOKUP(ROW(E123),Beräkningshjälp!AC$2:AI$1082,COLUMN(Beräkningshjälp!AI$2)-COLUMN(Beräkningshjälp!AC$2)+1,FALSE),"")</f>
        <v/>
      </c>
    </row>
    <row r="125" spans="1:9" x14ac:dyDescent="0.25">
      <c r="A125" s="2" t="str">
        <f t="shared" si="2"/>
        <v/>
      </c>
      <c r="B125" s="136" t="str">
        <f>IF(D125&lt;&gt;"",'DATA TILL SLU'!$J$3,"")</f>
        <v/>
      </c>
      <c r="C125" s="146" t="str">
        <f>IF(D125&lt;&gt;"",'DATA TILL SLU'!$K$3,"")</f>
        <v/>
      </c>
      <c r="D125" s="2" t="str">
        <f>IF('DATA TILL SLU'!$D$7*1&lt;&gt;"",IF(COUNT(Beräkningshjälp!$AC$3:$AC$1082)&gt;=ROW(D124),'DATA TILL SLU'!$D$7*1,""),"")</f>
        <v/>
      </c>
      <c r="E125" s="136" t="str">
        <f>IF(D125&lt;&gt;"",VLOOKUP(ROW(E124),Beräkningshjälp!AC$2:AH$1082,COLUMN(Beräkningshjälp!AF$2)-COLUMN(Beräkningshjälp!AC$2)+1,FALSE),"")</f>
        <v/>
      </c>
      <c r="F125" s="352" t="str">
        <f t="shared" si="3"/>
        <v/>
      </c>
      <c r="G125" s="2" t="str">
        <f>IF(D125&lt;&gt;"",IF(VLOOKUP(VLOOKUP(E125,Beräkningshjälp!O$2:U$60,7,FALSE),Artuppgifter!$I$11:$P$22,8,FALSE)=TRUE,"Medelvikter!!","ALLA"),"")</f>
        <v/>
      </c>
      <c r="H125" s="2" t="str">
        <f>IF(D125&lt;&gt;"",VLOOKUP(ROW(H124),Beräkningshjälp!AC$2:AH$1082,COLUMN(Beräkningshjälp!AH$2)-COLUMN(Beräkningshjälp!AC$2)+1,FALSE),"")</f>
        <v/>
      </c>
      <c r="I125" s="116" t="str">
        <f>IF(D125&lt;&gt;"",VLOOKUP(ROW(E124),Beräkningshjälp!AC$2:AI$1082,COLUMN(Beräkningshjälp!AI$2)-COLUMN(Beräkningshjälp!AC$2)+1,FALSE),"")</f>
        <v/>
      </c>
    </row>
    <row r="126" spans="1:9" x14ac:dyDescent="0.25">
      <c r="A126" s="2" t="str">
        <f t="shared" si="2"/>
        <v/>
      </c>
      <c r="B126" s="136" t="str">
        <f>IF(D126&lt;&gt;"",'DATA TILL SLU'!$J$3,"")</f>
        <v/>
      </c>
      <c r="C126" s="146" t="str">
        <f>IF(D126&lt;&gt;"",'DATA TILL SLU'!$K$3,"")</f>
        <v/>
      </c>
      <c r="D126" s="2" t="str">
        <f>IF('DATA TILL SLU'!$D$7*1&lt;&gt;"",IF(COUNT(Beräkningshjälp!$AC$3:$AC$1082)&gt;=ROW(D125),'DATA TILL SLU'!$D$7*1,""),"")</f>
        <v/>
      </c>
      <c r="E126" s="136" t="str">
        <f>IF(D126&lt;&gt;"",VLOOKUP(ROW(E125),Beräkningshjälp!AC$2:AH$1082,COLUMN(Beräkningshjälp!AF$2)-COLUMN(Beräkningshjälp!AC$2)+1,FALSE),"")</f>
        <v/>
      </c>
      <c r="F126" s="352" t="str">
        <f t="shared" si="3"/>
        <v/>
      </c>
      <c r="G126" s="2" t="str">
        <f>IF(D126&lt;&gt;"",IF(VLOOKUP(VLOOKUP(E126,Beräkningshjälp!O$2:U$60,7,FALSE),Artuppgifter!$I$11:$P$22,8,FALSE)=TRUE,"Medelvikter!!","ALLA"),"")</f>
        <v/>
      </c>
      <c r="H126" s="2" t="str">
        <f>IF(D126&lt;&gt;"",VLOOKUP(ROW(H125),Beräkningshjälp!AC$2:AH$1082,COLUMN(Beräkningshjälp!AH$2)-COLUMN(Beräkningshjälp!AC$2)+1,FALSE),"")</f>
        <v/>
      </c>
      <c r="I126" s="116" t="str">
        <f>IF(D126&lt;&gt;"",VLOOKUP(ROW(E125),Beräkningshjälp!AC$2:AI$1082,COLUMN(Beräkningshjälp!AI$2)-COLUMN(Beräkningshjälp!AC$2)+1,FALSE),"")</f>
        <v/>
      </c>
    </row>
    <row r="127" spans="1:9" x14ac:dyDescent="0.25">
      <c r="A127" s="2" t="str">
        <f t="shared" si="2"/>
        <v/>
      </c>
      <c r="B127" s="136" t="str">
        <f>IF(D127&lt;&gt;"",'DATA TILL SLU'!$J$3,"")</f>
        <v/>
      </c>
      <c r="C127" s="146" t="str">
        <f>IF(D127&lt;&gt;"",'DATA TILL SLU'!$K$3,"")</f>
        <v/>
      </c>
      <c r="D127" s="2" t="str">
        <f>IF('DATA TILL SLU'!$D$7*1&lt;&gt;"",IF(COUNT(Beräkningshjälp!$AC$3:$AC$1082)&gt;=ROW(D126),'DATA TILL SLU'!$D$7*1,""),"")</f>
        <v/>
      </c>
      <c r="E127" s="136" t="str">
        <f>IF(D127&lt;&gt;"",VLOOKUP(ROW(E126),Beräkningshjälp!AC$2:AH$1082,COLUMN(Beräkningshjälp!AF$2)-COLUMN(Beräkningshjälp!AC$2)+1,FALSE),"")</f>
        <v/>
      </c>
      <c r="F127" s="352" t="str">
        <f t="shared" si="3"/>
        <v/>
      </c>
      <c r="G127" s="2" t="str">
        <f>IF(D127&lt;&gt;"",IF(VLOOKUP(VLOOKUP(E127,Beräkningshjälp!O$2:U$60,7,FALSE),Artuppgifter!$I$11:$P$22,8,FALSE)=TRUE,"Medelvikter!!","ALLA"),"")</f>
        <v/>
      </c>
      <c r="H127" s="2" t="str">
        <f>IF(D127&lt;&gt;"",VLOOKUP(ROW(H126),Beräkningshjälp!AC$2:AH$1082,COLUMN(Beräkningshjälp!AH$2)-COLUMN(Beräkningshjälp!AC$2)+1,FALSE),"")</f>
        <v/>
      </c>
      <c r="I127" s="116" t="str">
        <f>IF(D127&lt;&gt;"",VLOOKUP(ROW(E126),Beräkningshjälp!AC$2:AI$1082,COLUMN(Beräkningshjälp!AI$2)-COLUMN(Beräkningshjälp!AC$2)+1,FALSE),"")</f>
        <v/>
      </c>
    </row>
    <row r="128" spans="1:9" x14ac:dyDescent="0.25">
      <c r="A128" s="2" t="str">
        <f t="shared" si="2"/>
        <v/>
      </c>
      <c r="B128" s="136" t="str">
        <f>IF(D128&lt;&gt;"",'DATA TILL SLU'!$J$3,"")</f>
        <v/>
      </c>
      <c r="C128" s="146" t="str">
        <f>IF(D128&lt;&gt;"",'DATA TILL SLU'!$K$3,"")</f>
        <v/>
      </c>
      <c r="D128" s="2" t="str">
        <f>IF('DATA TILL SLU'!$D$7*1&lt;&gt;"",IF(COUNT(Beräkningshjälp!$AC$3:$AC$1082)&gt;=ROW(D127),'DATA TILL SLU'!$D$7*1,""),"")</f>
        <v/>
      </c>
      <c r="E128" s="136" t="str">
        <f>IF(D128&lt;&gt;"",VLOOKUP(ROW(E127),Beräkningshjälp!AC$2:AH$1082,COLUMN(Beräkningshjälp!AF$2)-COLUMN(Beräkningshjälp!AC$2)+1,FALSE),"")</f>
        <v/>
      </c>
      <c r="F128" s="352" t="str">
        <f t="shared" si="3"/>
        <v/>
      </c>
      <c r="G128" s="2" t="str">
        <f>IF(D128&lt;&gt;"",IF(VLOOKUP(VLOOKUP(E128,Beräkningshjälp!O$2:U$60,7,FALSE),Artuppgifter!$I$11:$P$22,8,FALSE)=TRUE,"Medelvikter!!","ALLA"),"")</f>
        <v/>
      </c>
      <c r="H128" s="2" t="str">
        <f>IF(D128&lt;&gt;"",VLOOKUP(ROW(H127),Beräkningshjälp!AC$2:AH$1082,COLUMN(Beräkningshjälp!AH$2)-COLUMN(Beräkningshjälp!AC$2)+1,FALSE),"")</f>
        <v/>
      </c>
      <c r="I128" s="116" t="str">
        <f>IF(D128&lt;&gt;"",VLOOKUP(ROW(E127),Beräkningshjälp!AC$2:AI$1082,COLUMN(Beräkningshjälp!AI$2)-COLUMN(Beräkningshjälp!AC$2)+1,FALSE),"")</f>
        <v/>
      </c>
    </row>
    <row r="129" spans="1:9" x14ac:dyDescent="0.25">
      <c r="A129" s="2" t="str">
        <f t="shared" si="2"/>
        <v/>
      </c>
      <c r="B129" s="136" t="str">
        <f>IF(D129&lt;&gt;"",'DATA TILL SLU'!$J$3,"")</f>
        <v/>
      </c>
      <c r="C129" s="146" t="str">
        <f>IF(D129&lt;&gt;"",'DATA TILL SLU'!$K$3,"")</f>
        <v/>
      </c>
      <c r="D129" s="2" t="str">
        <f>IF('DATA TILL SLU'!$D$7*1&lt;&gt;"",IF(COUNT(Beräkningshjälp!$AC$3:$AC$1082)&gt;=ROW(D128),'DATA TILL SLU'!$D$7*1,""),"")</f>
        <v/>
      </c>
      <c r="E129" s="136" t="str">
        <f>IF(D129&lt;&gt;"",VLOOKUP(ROW(E128),Beräkningshjälp!AC$2:AH$1082,COLUMN(Beräkningshjälp!AF$2)-COLUMN(Beräkningshjälp!AC$2)+1,FALSE),"")</f>
        <v/>
      </c>
      <c r="F129" s="352" t="str">
        <f t="shared" si="3"/>
        <v/>
      </c>
      <c r="G129" s="2" t="str">
        <f>IF(D129&lt;&gt;"",IF(VLOOKUP(VLOOKUP(E129,Beräkningshjälp!O$2:U$60,7,FALSE),Artuppgifter!$I$11:$P$22,8,FALSE)=TRUE,"Medelvikter!!","ALLA"),"")</f>
        <v/>
      </c>
      <c r="H129" s="2" t="str">
        <f>IF(D129&lt;&gt;"",VLOOKUP(ROW(H128),Beräkningshjälp!AC$2:AH$1082,COLUMN(Beräkningshjälp!AH$2)-COLUMN(Beräkningshjälp!AC$2)+1,FALSE),"")</f>
        <v/>
      </c>
      <c r="I129" s="116" t="str">
        <f>IF(D129&lt;&gt;"",VLOOKUP(ROW(E128),Beräkningshjälp!AC$2:AI$1082,COLUMN(Beräkningshjälp!AI$2)-COLUMN(Beräkningshjälp!AC$2)+1,FALSE),"")</f>
        <v/>
      </c>
    </row>
    <row r="130" spans="1:9" x14ac:dyDescent="0.25">
      <c r="A130" s="2" t="str">
        <f t="shared" si="2"/>
        <v/>
      </c>
      <c r="B130" s="136" t="str">
        <f>IF(D130&lt;&gt;"",'DATA TILL SLU'!$J$3,"")</f>
        <v/>
      </c>
      <c r="C130" s="146" t="str">
        <f>IF(D130&lt;&gt;"",'DATA TILL SLU'!$K$3,"")</f>
        <v/>
      </c>
      <c r="D130" s="2" t="str">
        <f>IF('DATA TILL SLU'!$D$7*1&lt;&gt;"",IF(COUNT(Beräkningshjälp!$AC$3:$AC$1082)&gt;=ROW(D129),'DATA TILL SLU'!$D$7*1,""),"")</f>
        <v/>
      </c>
      <c r="E130" s="136" t="str">
        <f>IF(D130&lt;&gt;"",VLOOKUP(ROW(E129),Beräkningshjälp!AC$2:AH$1082,COLUMN(Beräkningshjälp!AF$2)-COLUMN(Beräkningshjälp!AC$2)+1,FALSE),"")</f>
        <v/>
      </c>
      <c r="F130" s="352" t="str">
        <f t="shared" si="3"/>
        <v/>
      </c>
      <c r="G130" s="2" t="str">
        <f>IF(D130&lt;&gt;"",IF(VLOOKUP(VLOOKUP(E130,Beräkningshjälp!O$2:U$60,7,FALSE),Artuppgifter!$I$11:$P$22,8,FALSE)=TRUE,"Medelvikter!!","ALLA"),"")</f>
        <v/>
      </c>
      <c r="H130" s="2" t="str">
        <f>IF(D130&lt;&gt;"",VLOOKUP(ROW(H129),Beräkningshjälp!AC$2:AH$1082,COLUMN(Beräkningshjälp!AH$2)-COLUMN(Beräkningshjälp!AC$2)+1,FALSE),"")</f>
        <v/>
      </c>
      <c r="I130" s="116" t="str">
        <f>IF(D130&lt;&gt;"",VLOOKUP(ROW(E129),Beräkningshjälp!AC$2:AI$1082,COLUMN(Beräkningshjälp!AI$2)-COLUMN(Beräkningshjälp!AC$2)+1,FALSE),"")</f>
        <v/>
      </c>
    </row>
    <row r="131" spans="1:9" x14ac:dyDescent="0.25">
      <c r="A131" s="2" t="str">
        <f t="shared" ref="A131:A194" si="4">IF(D131&lt;&gt;"","LANGDVIKTER","")</f>
        <v/>
      </c>
      <c r="B131" s="136" t="str">
        <f>IF(D131&lt;&gt;"",'DATA TILL SLU'!$J$3,"")</f>
        <v/>
      </c>
      <c r="C131" s="146" t="str">
        <f>IF(D131&lt;&gt;"",'DATA TILL SLU'!$K$3,"")</f>
        <v/>
      </c>
      <c r="D131" s="2" t="str">
        <f>IF('DATA TILL SLU'!$D$7*1&lt;&gt;"",IF(COUNT(Beräkningshjälp!$AC$3:$AC$1082)&gt;=ROW(D130),'DATA TILL SLU'!$D$7*1,""),"")</f>
        <v/>
      </c>
      <c r="E131" s="136" t="str">
        <f>IF(D131&lt;&gt;"",VLOOKUP(ROW(E130),Beräkningshjälp!AC$2:AH$1082,COLUMN(Beräkningshjälp!AF$2)-COLUMN(Beräkningshjälp!AC$2)+1,FALSE),"")</f>
        <v/>
      </c>
      <c r="F131" s="352" t="str">
        <f t="shared" ref="F131:F194" si="5">IF(D131&lt;&gt;"","IND","")</f>
        <v/>
      </c>
      <c r="G131" s="2" t="str">
        <f>IF(D131&lt;&gt;"",IF(VLOOKUP(VLOOKUP(E131,Beräkningshjälp!O$2:U$60,7,FALSE),Artuppgifter!$I$11:$P$22,8,FALSE)=TRUE,"Medelvikter!!","ALLA"),"")</f>
        <v/>
      </c>
      <c r="H131" s="2" t="str">
        <f>IF(D131&lt;&gt;"",VLOOKUP(ROW(H130),Beräkningshjälp!AC$2:AH$1082,COLUMN(Beräkningshjälp!AH$2)-COLUMN(Beräkningshjälp!AC$2)+1,FALSE),"")</f>
        <v/>
      </c>
      <c r="I131" s="116" t="str">
        <f>IF(D131&lt;&gt;"",VLOOKUP(ROW(E130),Beräkningshjälp!AC$2:AI$1082,COLUMN(Beräkningshjälp!AI$2)-COLUMN(Beräkningshjälp!AC$2)+1,FALSE),"")</f>
        <v/>
      </c>
    </row>
    <row r="132" spans="1:9" x14ac:dyDescent="0.25">
      <c r="A132" s="2" t="str">
        <f t="shared" si="4"/>
        <v/>
      </c>
      <c r="B132" s="136" t="str">
        <f>IF(D132&lt;&gt;"",'DATA TILL SLU'!$J$3,"")</f>
        <v/>
      </c>
      <c r="C132" s="146" t="str">
        <f>IF(D132&lt;&gt;"",'DATA TILL SLU'!$K$3,"")</f>
        <v/>
      </c>
      <c r="D132" s="2" t="str">
        <f>IF('DATA TILL SLU'!$D$7*1&lt;&gt;"",IF(COUNT(Beräkningshjälp!$AC$3:$AC$1082)&gt;=ROW(D131),'DATA TILL SLU'!$D$7*1,""),"")</f>
        <v/>
      </c>
      <c r="E132" s="136" t="str">
        <f>IF(D132&lt;&gt;"",VLOOKUP(ROW(E131),Beräkningshjälp!AC$2:AH$1082,COLUMN(Beräkningshjälp!AF$2)-COLUMN(Beräkningshjälp!AC$2)+1,FALSE),"")</f>
        <v/>
      </c>
      <c r="F132" s="352" t="str">
        <f t="shared" si="5"/>
        <v/>
      </c>
      <c r="G132" s="2" t="str">
        <f>IF(D132&lt;&gt;"",IF(VLOOKUP(VLOOKUP(E132,Beräkningshjälp!O$2:U$60,7,FALSE),Artuppgifter!$I$11:$P$22,8,FALSE)=TRUE,"Medelvikter!!","ALLA"),"")</f>
        <v/>
      </c>
      <c r="H132" s="2" t="str">
        <f>IF(D132&lt;&gt;"",VLOOKUP(ROW(H131),Beräkningshjälp!AC$2:AH$1082,COLUMN(Beräkningshjälp!AH$2)-COLUMN(Beräkningshjälp!AC$2)+1,FALSE),"")</f>
        <v/>
      </c>
      <c r="I132" s="116" t="str">
        <f>IF(D132&lt;&gt;"",VLOOKUP(ROW(E131),Beräkningshjälp!AC$2:AI$1082,COLUMN(Beräkningshjälp!AI$2)-COLUMN(Beräkningshjälp!AC$2)+1,FALSE),"")</f>
        <v/>
      </c>
    </row>
    <row r="133" spans="1:9" x14ac:dyDescent="0.25">
      <c r="A133" s="2" t="str">
        <f t="shared" si="4"/>
        <v/>
      </c>
      <c r="B133" s="136" t="str">
        <f>IF(D133&lt;&gt;"",'DATA TILL SLU'!$J$3,"")</f>
        <v/>
      </c>
      <c r="C133" s="146" t="str">
        <f>IF(D133&lt;&gt;"",'DATA TILL SLU'!$K$3,"")</f>
        <v/>
      </c>
      <c r="D133" s="2" t="str">
        <f>IF('DATA TILL SLU'!$D$7*1&lt;&gt;"",IF(COUNT(Beräkningshjälp!$AC$3:$AC$1082)&gt;=ROW(D132),'DATA TILL SLU'!$D$7*1,""),"")</f>
        <v/>
      </c>
      <c r="E133" s="136" t="str">
        <f>IF(D133&lt;&gt;"",VLOOKUP(ROW(E132),Beräkningshjälp!AC$2:AH$1082,COLUMN(Beräkningshjälp!AF$2)-COLUMN(Beräkningshjälp!AC$2)+1,FALSE),"")</f>
        <v/>
      </c>
      <c r="F133" s="352" t="str">
        <f t="shared" si="5"/>
        <v/>
      </c>
      <c r="G133" s="2" t="str">
        <f>IF(D133&lt;&gt;"",IF(VLOOKUP(VLOOKUP(E133,Beräkningshjälp!O$2:U$60,7,FALSE),Artuppgifter!$I$11:$P$22,8,FALSE)=TRUE,"Medelvikter!!","ALLA"),"")</f>
        <v/>
      </c>
      <c r="H133" s="2" t="str">
        <f>IF(D133&lt;&gt;"",VLOOKUP(ROW(H132),Beräkningshjälp!AC$2:AH$1082,COLUMN(Beräkningshjälp!AH$2)-COLUMN(Beräkningshjälp!AC$2)+1,FALSE),"")</f>
        <v/>
      </c>
      <c r="I133" s="116" t="str">
        <f>IF(D133&lt;&gt;"",VLOOKUP(ROW(E132),Beräkningshjälp!AC$2:AI$1082,COLUMN(Beräkningshjälp!AI$2)-COLUMN(Beräkningshjälp!AC$2)+1,FALSE),"")</f>
        <v/>
      </c>
    </row>
    <row r="134" spans="1:9" x14ac:dyDescent="0.25">
      <c r="A134" s="2" t="str">
        <f t="shared" si="4"/>
        <v/>
      </c>
      <c r="B134" s="136" t="str">
        <f>IF(D134&lt;&gt;"",'DATA TILL SLU'!$J$3,"")</f>
        <v/>
      </c>
      <c r="C134" s="146" t="str">
        <f>IF(D134&lt;&gt;"",'DATA TILL SLU'!$K$3,"")</f>
        <v/>
      </c>
      <c r="D134" s="2" t="str">
        <f>IF('DATA TILL SLU'!$D$7*1&lt;&gt;"",IF(COUNT(Beräkningshjälp!$AC$3:$AC$1082)&gt;=ROW(D133),'DATA TILL SLU'!$D$7*1,""),"")</f>
        <v/>
      </c>
      <c r="E134" s="136" t="str">
        <f>IF(D134&lt;&gt;"",VLOOKUP(ROW(E133),Beräkningshjälp!AC$2:AH$1082,COLUMN(Beräkningshjälp!AF$2)-COLUMN(Beräkningshjälp!AC$2)+1,FALSE),"")</f>
        <v/>
      </c>
      <c r="F134" s="352" t="str">
        <f t="shared" si="5"/>
        <v/>
      </c>
      <c r="G134" s="2" t="str">
        <f>IF(D134&lt;&gt;"",IF(VLOOKUP(VLOOKUP(E134,Beräkningshjälp!O$2:U$60,7,FALSE),Artuppgifter!$I$11:$P$22,8,FALSE)=TRUE,"Medelvikter!!","ALLA"),"")</f>
        <v/>
      </c>
      <c r="H134" s="2" t="str">
        <f>IF(D134&lt;&gt;"",VLOOKUP(ROW(H133),Beräkningshjälp!AC$2:AH$1082,COLUMN(Beräkningshjälp!AH$2)-COLUMN(Beräkningshjälp!AC$2)+1,FALSE),"")</f>
        <v/>
      </c>
      <c r="I134" s="116" t="str">
        <f>IF(D134&lt;&gt;"",VLOOKUP(ROW(E133),Beräkningshjälp!AC$2:AI$1082,COLUMN(Beräkningshjälp!AI$2)-COLUMN(Beräkningshjälp!AC$2)+1,FALSE),"")</f>
        <v/>
      </c>
    </row>
    <row r="135" spans="1:9" x14ac:dyDescent="0.25">
      <c r="A135" s="2" t="str">
        <f t="shared" si="4"/>
        <v/>
      </c>
      <c r="B135" s="136" t="str">
        <f>IF(D135&lt;&gt;"",'DATA TILL SLU'!$J$3,"")</f>
        <v/>
      </c>
      <c r="C135" s="146" t="str">
        <f>IF(D135&lt;&gt;"",'DATA TILL SLU'!$K$3,"")</f>
        <v/>
      </c>
      <c r="D135" s="2" t="str">
        <f>IF('DATA TILL SLU'!$D$7*1&lt;&gt;"",IF(COUNT(Beräkningshjälp!$AC$3:$AC$1082)&gt;=ROW(D134),'DATA TILL SLU'!$D$7*1,""),"")</f>
        <v/>
      </c>
      <c r="E135" s="136" t="str">
        <f>IF(D135&lt;&gt;"",VLOOKUP(ROW(E134),Beräkningshjälp!AC$2:AH$1082,COLUMN(Beräkningshjälp!AF$2)-COLUMN(Beräkningshjälp!AC$2)+1,FALSE),"")</f>
        <v/>
      </c>
      <c r="F135" s="352" t="str">
        <f t="shared" si="5"/>
        <v/>
      </c>
      <c r="G135" s="2" t="str">
        <f>IF(D135&lt;&gt;"",IF(VLOOKUP(VLOOKUP(E135,Beräkningshjälp!O$2:U$60,7,FALSE),Artuppgifter!$I$11:$P$22,8,FALSE)=TRUE,"Medelvikter!!","ALLA"),"")</f>
        <v/>
      </c>
      <c r="H135" s="2" t="str">
        <f>IF(D135&lt;&gt;"",VLOOKUP(ROW(H134),Beräkningshjälp!AC$2:AH$1082,COLUMN(Beräkningshjälp!AH$2)-COLUMN(Beräkningshjälp!AC$2)+1,FALSE),"")</f>
        <v/>
      </c>
      <c r="I135" s="116" t="str">
        <f>IF(D135&lt;&gt;"",VLOOKUP(ROW(E134),Beräkningshjälp!AC$2:AI$1082,COLUMN(Beräkningshjälp!AI$2)-COLUMN(Beräkningshjälp!AC$2)+1,FALSE),"")</f>
        <v/>
      </c>
    </row>
    <row r="136" spans="1:9" x14ac:dyDescent="0.25">
      <c r="A136" s="2" t="str">
        <f t="shared" si="4"/>
        <v/>
      </c>
      <c r="B136" s="136" t="str">
        <f>IF(D136&lt;&gt;"",'DATA TILL SLU'!$J$3,"")</f>
        <v/>
      </c>
      <c r="C136" s="146" t="str">
        <f>IF(D136&lt;&gt;"",'DATA TILL SLU'!$K$3,"")</f>
        <v/>
      </c>
      <c r="D136" s="2" t="str">
        <f>IF('DATA TILL SLU'!$D$7*1&lt;&gt;"",IF(COUNT(Beräkningshjälp!$AC$3:$AC$1082)&gt;=ROW(D135),'DATA TILL SLU'!$D$7*1,""),"")</f>
        <v/>
      </c>
      <c r="E136" s="136" t="str">
        <f>IF(D136&lt;&gt;"",VLOOKUP(ROW(E135),Beräkningshjälp!AC$2:AH$1082,COLUMN(Beräkningshjälp!AF$2)-COLUMN(Beräkningshjälp!AC$2)+1,FALSE),"")</f>
        <v/>
      </c>
      <c r="F136" s="352" t="str">
        <f t="shared" si="5"/>
        <v/>
      </c>
      <c r="G136" s="2" t="str">
        <f>IF(D136&lt;&gt;"",IF(VLOOKUP(VLOOKUP(E136,Beräkningshjälp!O$2:U$60,7,FALSE),Artuppgifter!$I$11:$P$22,8,FALSE)=TRUE,"Medelvikter!!","ALLA"),"")</f>
        <v/>
      </c>
      <c r="H136" s="2" t="str">
        <f>IF(D136&lt;&gt;"",VLOOKUP(ROW(H135),Beräkningshjälp!AC$2:AH$1082,COLUMN(Beräkningshjälp!AH$2)-COLUMN(Beräkningshjälp!AC$2)+1,FALSE),"")</f>
        <v/>
      </c>
      <c r="I136" s="116" t="str">
        <f>IF(D136&lt;&gt;"",VLOOKUP(ROW(E135),Beräkningshjälp!AC$2:AI$1082,COLUMN(Beräkningshjälp!AI$2)-COLUMN(Beräkningshjälp!AC$2)+1,FALSE),"")</f>
        <v/>
      </c>
    </row>
    <row r="137" spans="1:9" x14ac:dyDescent="0.25">
      <c r="A137" s="2" t="str">
        <f t="shared" si="4"/>
        <v/>
      </c>
      <c r="B137" s="136" t="str">
        <f>IF(D137&lt;&gt;"",'DATA TILL SLU'!$J$3,"")</f>
        <v/>
      </c>
      <c r="C137" s="146" t="str">
        <f>IF(D137&lt;&gt;"",'DATA TILL SLU'!$K$3,"")</f>
        <v/>
      </c>
      <c r="D137" s="2" t="str">
        <f>IF('DATA TILL SLU'!$D$7*1&lt;&gt;"",IF(COUNT(Beräkningshjälp!$AC$3:$AC$1082)&gt;=ROW(D136),'DATA TILL SLU'!$D$7*1,""),"")</f>
        <v/>
      </c>
      <c r="E137" s="136" t="str">
        <f>IF(D137&lt;&gt;"",VLOOKUP(ROW(E136),Beräkningshjälp!AC$2:AH$1082,COLUMN(Beräkningshjälp!AF$2)-COLUMN(Beräkningshjälp!AC$2)+1,FALSE),"")</f>
        <v/>
      </c>
      <c r="F137" s="352" t="str">
        <f t="shared" si="5"/>
        <v/>
      </c>
      <c r="G137" s="2" t="str">
        <f>IF(D137&lt;&gt;"",IF(VLOOKUP(VLOOKUP(E137,Beräkningshjälp!O$2:U$60,7,FALSE),Artuppgifter!$I$11:$P$22,8,FALSE)=TRUE,"Medelvikter!!","ALLA"),"")</f>
        <v/>
      </c>
      <c r="H137" s="2" t="str">
        <f>IF(D137&lt;&gt;"",VLOOKUP(ROW(H136),Beräkningshjälp!AC$2:AH$1082,COLUMN(Beräkningshjälp!AH$2)-COLUMN(Beräkningshjälp!AC$2)+1,FALSE),"")</f>
        <v/>
      </c>
      <c r="I137" s="116" t="str">
        <f>IF(D137&lt;&gt;"",VLOOKUP(ROW(E136),Beräkningshjälp!AC$2:AI$1082,COLUMN(Beräkningshjälp!AI$2)-COLUMN(Beräkningshjälp!AC$2)+1,FALSE),"")</f>
        <v/>
      </c>
    </row>
    <row r="138" spans="1:9" x14ac:dyDescent="0.25">
      <c r="A138" s="2" t="str">
        <f t="shared" si="4"/>
        <v/>
      </c>
      <c r="B138" s="136" t="str">
        <f>IF(D138&lt;&gt;"",'DATA TILL SLU'!$J$3,"")</f>
        <v/>
      </c>
      <c r="C138" s="146" t="str">
        <f>IF(D138&lt;&gt;"",'DATA TILL SLU'!$K$3,"")</f>
        <v/>
      </c>
      <c r="D138" s="2" t="str">
        <f>IF('DATA TILL SLU'!$D$7*1&lt;&gt;"",IF(COUNT(Beräkningshjälp!$AC$3:$AC$1082)&gt;=ROW(D137),'DATA TILL SLU'!$D$7*1,""),"")</f>
        <v/>
      </c>
      <c r="E138" s="136" t="str">
        <f>IF(D138&lt;&gt;"",VLOOKUP(ROW(E137),Beräkningshjälp!AC$2:AH$1082,COLUMN(Beräkningshjälp!AF$2)-COLUMN(Beräkningshjälp!AC$2)+1,FALSE),"")</f>
        <v/>
      </c>
      <c r="F138" s="352" t="str">
        <f t="shared" si="5"/>
        <v/>
      </c>
      <c r="G138" s="2" t="str">
        <f>IF(D138&lt;&gt;"",IF(VLOOKUP(VLOOKUP(E138,Beräkningshjälp!O$2:U$60,7,FALSE),Artuppgifter!$I$11:$P$22,8,FALSE)=TRUE,"Medelvikter!!","ALLA"),"")</f>
        <v/>
      </c>
      <c r="H138" s="2" t="str">
        <f>IF(D138&lt;&gt;"",VLOOKUP(ROW(H137),Beräkningshjälp!AC$2:AH$1082,COLUMN(Beräkningshjälp!AH$2)-COLUMN(Beräkningshjälp!AC$2)+1,FALSE),"")</f>
        <v/>
      </c>
      <c r="I138" s="116" t="str">
        <f>IF(D138&lt;&gt;"",VLOOKUP(ROW(E137),Beräkningshjälp!AC$2:AI$1082,COLUMN(Beräkningshjälp!AI$2)-COLUMN(Beräkningshjälp!AC$2)+1,FALSE),"")</f>
        <v/>
      </c>
    </row>
    <row r="139" spans="1:9" x14ac:dyDescent="0.25">
      <c r="A139" s="2" t="str">
        <f t="shared" si="4"/>
        <v/>
      </c>
      <c r="B139" s="136" t="str">
        <f>IF(D139&lt;&gt;"",'DATA TILL SLU'!$J$3,"")</f>
        <v/>
      </c>
      <c r="C139" s="146" t="str">
        <f>IF(D139&lt;&gt;"",'DATA TILL SLU'!$K$3,"")</f>
        <v/>
      </c>
      <c r="D139" s="2" t="str">
        <f>IF('DATA TILL SLU'!$D$7*1&lt;&gt;"",IF(COUNT(Beräkningshjälp!$AC$3:$AC$1082)&gt;=ROW(D138),'DATA TILL SLU'!$D$7*1,""),"")</f>
        <v/>
      </c>
      <c r="E139" s="136" t="str">
        <f>IF(D139&lt;&gt;"",VLOOKUP(ROW(E138),Beräkningshjälp!AC$2:AH$1082,COLUMN(Beräkningshjälp!AF$2)-COLUMN(Beräkningshjälp!AC$2)+1,FALSE),"")</f>
        <v/>
      </c>
      <c r="F139" s="352" t="str">
        <f t="shared" si="5"/>
        <v/>
      </c>
      <c r="G139" s="2" t="str">
        <f>IF(D139&lt;&gt;"",IF(VLOOKUP(VLOOKUP(E139,Beräkningshjälp!O$2:U$60,7,FALSE),Artuppgifter!$I$11:$P$22,8,FALSE)=TRUE,"Medelvikter!!","ALLA"),"")</f>
        <v/>
      </c>
      <c r="H139" s="2" t="str">
        <f>IF(D139&lt;&gt;"",VLOOKUP(ROW(H138),Beräkningshjälp!AC$2:AH$1082,COLUMN(Beräkningshjälp!AH$2)-COLUMN(Beräkningshjälp!AC$2)+1,FALSE),"")</f>
        <v/>
      </c>
      <c r="I139" s="116" t="str">
        <f>IF(D139&lt;&gt;"",VLOOKUP(ROW(E138),Beräkningshjälp!AC$2:AI$1082,COLUMN(Beräkningshjälp!AI$2)-COLUMN(Beräkningshjälp!AC$2)+1,FALSE),"")</f>
        <v/>
      </c>
    </row>
    <row r="140" spans="1:9" x14ac:dyDescent="0.25">
      <c r="A140" s="2" t="str">
        <f t="shared" si="4"/>
        <v/>
      </c>
      <c r="B140" s="136" t="str">
        <f>IF(D140&lt;&gt;"",'DATA TILL SLU'!$J$3,"")</f>
        <v/>
      </c>
      <c r="C140" s="146" t="str">
        <f>IF(D140&lt;&gt;"",'DATA TILL SLU'!$K$3,"")</f>
        <v/>
      </c>
      <c r="D140" s="2" t="str">
        <f>IF('DATA TILL SLU'!$D$7*1&lt;&gt;"",IF(COUNT(Beräkningshjälp!$AC$3:$AC$1082)&gt;=ROW(D139),'DATA TILL SLU'!$D$7*1,""),"")</f>
        <v/>
      </c>
      <c r="E140" s="136" t="str">
        <f>IF(D140&lt;&gt;"",VLOOKUP(ROW(E139),Beräkningshjälp!AC$2:AH$1082,COLUMN(Beräkningshjälp!AF$2)-COLUMN(Beräkningshjälp!AC$2)+1,FALSE),"")</f>
        <v/>
      </c>
      <c r="F140" s="352" t="str">
        <f t="shared" si="5"/>
        <v/>
      </c>
      <c r="G140" s="2" t="str">
        <f>IF(D140&lt;&gt;"",IF(VLOOKUP(VLOOKUP(E140,Beräkningshjälp!O$2:U$60,7,FALSE),Artuppgifter!$I$11:$P$22,8,FALSE)=TRUE,"Medelvikter!!","ALLA"),"")</f>
        <v/>
      </c>
      <c r="H140" s="2" t="str">
        <f>IF(D140&lt;&gt;"",VLOOKUP(ROW(H139),Beräkningshjälp!AC$2:AH$1082,COLUMN(Beräkningshjälp!AH$2)-COLUMN(Beräkningshjälp!AC$2)+1,FALSE),"")</f>
        <v/>
      </c>
      <c r="I140" s="116" t="str">
        <f>IF(D140&lt;&gt;"",VLOOKUP(ROW(E139),Beräkningshjälp!AC$2:AI$1082,COLUMN(Beräkningshjälp!AI$2)-COLUMN(Beräkningshjälp!AC$2)+1,FALSE),"")</f>
        <v/>
      </c>
    </row>
    <row r="141" spans="1:9" x14ac:dyDescent="0.25">
      <c r="A141" s="2" t="str">
        <f t="shared" si="4"/>
        <v/>
      </c>
      <c r="B141" s="136" t="str">
        <f>IF(D141&lt;&gt;"",'DATA TILL SLU'!$J$3,"")</f>
        <v/>
      </c>
      <c r="C141" s="146" t="str">
        <f>IF(D141&lt;&gt;"",'DATA TILL SLU'!$K$3,"")</f>
        <v/>
      </c>
      <c r="D141" s="2" t="str">
        <f>IF('DATA TILL SLU'!$D$7*1&lt;&gt;"",IF(COUNT(Beräkningshjälp!$AC$3:$AC$1082)&gt;=ROW(D140),'DATA TILL SLU'!$D$7*1,""),"")</f>
        <v/>
      </c>
      <c r="E141" s="136" t="str">
        <f>IF(D141&lt;&gt;"",VLOOKUP(ROW(E140),Beräkningshjälp!AC$2:AH$1082,COLUMN(Beräkningshjälp!AF$2)-COLUMN(Beräkningshjälp!AC$2)+1,FALSE),"")</f>
        <v/>
      </c>
      <c r="F141" s="352" t="str">
        <f t="shared" si="5"/>
        <v/>
      </c>
      <c r="G141" s="2" t="str">
        <f>IF(D141&lt;&gt;"",IF(VLOOKUP(VLOOKUP(E141,Beräkningshjälp!O$2:U$60,7,FALSE),Artuppgifter!$I$11:$P$22,8,FALSE)=TRUE,"Medelvikter!!","ALLA"),"")</f>
        <v/>
      </c>
      <c r="H141" s="2" t="str">
        <f>IF(D141&lt;&gt;"",VLOOKUP(ROW(H140),Beräkningshjälp!AC$2:AH$1082,COLUMN(Beräkningshjälp!AH$2)-COLUMN(Beräkningshjälp!AC$2)+1,FALSE),"")</f>
        <v/>
      </c>
      <c r="I141" s="116" t="str">
        <f>IF(D141&lt;&gt;"",VLOOKUP(ROW(E140),Beräkningshjälp!AC$2:AI$1082,COLUMN(Beräkningshjälp!AI$2)-COLUMN(Beräkningshjälp!AC$2)+1,FALSE),"")</f>
        <v/>
      </c>
    </row>
    <row r="142" spans="1:9" x14ac:dyDescent="0.25">
      <c r="A142" s="2" t="str">
        <f t="shared" si="4"/>
        <v/>
      </c>
      <c r="B142" s="136" t="str">
        <f>IF(D142&lt;&gt;"",'DATA TILL SLU'!$J$3,"")</f>
        <v/>
      </c>
      <c r="C142" s="146" t="str">
        <f>IF(D142&lt;&gt;"",'DATA TILL SLU'!$K$3,"")</f>
        <v/>
      </c>
      <c r="D142" s="2" t="str">
        <f>IF('DATA TILL SLU'!$D$7*1&lt;&gt;"",IF(COUNT(Beräkningshjälp!$AC$3:$AC$1082)&gt;=ROW(D141),'DATA TILL SLU'!$D$7*1,""),"")</f>
        <v/>
      </c>
      <c r="E142" s="136" t="str">
        <f>IF(D142&lt;&gt;"",VLOOKUP(ROW(E141),Beräkningshjälp!AC$2:AH$1082,COLUMN(Beräkningshjälp!AF$2)-COLUMN(Beräkningshjälp!AC$2)+1,FALSE),"")</f>
        <v/>
      </c>
      <c r="F142" s="352" t="str">
        <f t="shared" si="5"/>
        <v/>
      </c>
      <c r="G142" s="2" t="str">
        <f>IF(D142&lt;&gt;"",IF(VLOOKUP(VLOOKUP(E142,Beräkningshjälp!O$2:U$60,7,FALSE),Artuppgifter!$I$11:$P$22,8,FALSE)=TRUE,"Medelvikter!!","ALLA"),"")</f>
        <v/>
      </c>
      <c r="H142" s="2" t="str">
        <f>IF(D142&lt;&gt;"",VLOOKUP(ROW(H141),Beräkningshjälp!AC$2:AH$1082,COLUMN(Beräkningshjälp!AH$2)-COLUMN(Beräkningshjälp!AC$2)+1,FALSE),"")</f>
        <v/>
      </c>
      <c r="I142" s="116" t="str">
        <f>IF(D142&lt;&gt;"",VLOOKUP(ROW(E141),Beräkningshjälp!AC$2:AI$1082,COLUMN(Beräkningshjälp!AI$2)-COLUMN(Beräkningshjälp!AC$2)+1,FALSE),"")</f>
        <v/>
      </c>
    </row>
    <row r="143" spans="1:9" x14ac:dyDescent="0.25">
      <c r="A143" s="2" t="str">
        <f t="shared" si="4"/>
        <v/>
      </c>
      <c r="B143" s="136" t="str">
        <f>IF(D143&lt;&gt;"",'DATA TILL SLU'!$J$3,"")</f>
        <v/>
      </c>
      <c r="C143" s="146" t="str">
        <f>IF(D143&lt;&gt;"",'DATA TILL SLU'!$K$3,"")</f>
        <v/>
      </c>
      <c r="D143" s="2" t="str">
        <f>IF('DATA TILL SLU'!$D$7*1&lt;&gt;"",IF(COUNT(Beräkningshjälp!$AC$3:$AC$1082)&gt;=ROW(D142),'DATA TILL SLU'!$D$7*1,""),"")</f>
        <v/>
      </c>
      <c r="E143" s="136" t="str">
        <f>IF(D143&lt;&gt;"",VLOOKUP(ROW(E142),Beräkningshjälp!AC$2:AH$1082,COLUMN(Beräkningshjälp!AF$2)-COLUMN(Beräkningshjälp!AC$2)+1,FALSE),"")</f>
        <v/>
      </c>
      <c r="F143" s="352" t="str">
        <f t="shared" si="5"/>
        <v/>
      </c>
      <c r="G143" s="2" t="str">
        <f>IF(D143&lt;&gt;"",IF(VLOOKUP(VLOOKUP(E143,Beräkningshjälp!O$2:U$60,7,FALSE),Artuppgifter!$I$11:$P$22,8,FALSE)=TRUE,"Medelvikter!!","ALLA"),"")</f>
        <v/>
      </c>
      <c r="H143" s="2" t="str">
        <f>IF(D143&lt;&gt;"",VLOOKUP(ROW(H142),Beräkningshjälp!AC$2:AH$1082,COLUMN(Beräkningshjälp!AH$2)-COLUMN(Beräkningshjälp!AC$2)+1,FALSE),"")</f>
        <v/>
      </c>
      <c r="I143" s="116" t="str">
        <f>IF(D143&lt;&gt;"",VLOOKUP(ROW(E142),Beräkningshjälp!AC$2:AI$1082,COLUMN(Beräkningshjälp!AI$2)-COLUMN(Beräkningshjälp!AC$2)+1,FALSE),"")</f>
        <v/>
      </c>
    </row>
    <row r="144" spans="1:9" x14ac:dyDescent="0.25">
      <c r="A144" s="2" t="str">
        <f t="shared" si="4"/>
        <v/>
      </c>
      <c r="B144" s="136" t="str">
        <f>IF(D144&lt;&gt;"",'DATA TILL SLU'!$J$3,"")</f>
        <v/>
      </c>
      <c r="C144" s="146" t="str">
        <f>IF(D144&lt;&gt;"",'DATA TILL SLU'!$K$3,"")</f>
        <v/>
      </c>
      <c r="D144" s="2" t="str">
        <f>IF('DATA TILL SLU'!$D$7*1&lt;&gt;"",IF(COUNT(Beräkningshjälp!$AC$3:$AC$1082)&gt;=ROW(D143),'DATA TILL SLU'!$D$7*1,""),"")</f>
        <v/>
      </c>
      <c r="E144" s="136" t="str">
        <f>IF(D144&lt;&gt;"",VLOOKUP(ROW(E143),Beräkningshjälp!AC$2:AH$1082,COLUMN(Beräkningshjälp!AF$2)-COLUMN(Beräkningshjälp!AC$2)+1,FALSE),"")</f>
        <v/>
      </c>
      <c r="F144" s="352" t="str">
        <f t="shared" si="5"/>
        <v/>
      </c>
      <c r="G144" s="2" t="str">
        <f>IF(D144&lt;&gt;"",IF(VLOOKUP(VLOOKUP(E144,Beräkningshjälp!O$2:U$60,7,FALSE),Artuppgifter!$I$11:$P$22,8,FALSE)=TRUE,"Medelvikter!!","ALLA"),"")</f>
        <v/>
      </c>
      <c r="H144" s="2" t="str">
        <f>IF(D144&lt;&gt;"",VLOOKUP(ROW(H143),Beräkningshjälp!AC$2:AH$1082,COLUMN(Beräkningshjälp!AH$2)-COLUMN(Beräkningshjälp!AC$2)+1,FALSE),"")</f>
        <v/>
      </c>
      <c r="I144" s="116" t="str">
        <f>IF(D144&lt;&gt;"",VLOOKUP(ROW(E143),Beräkningshjälp!AC$2:AI$1082,COLUMN(Beräkningshjälp!AI$2)-COLUMN(Beräkningshjälp!AC$2)+1,FALSE),"")</f>
        <v/>
      </c>
    </row>
    <row r="145" spans="1:9" x14ac:dyDescent="0.25">
      <c r="A145" s="2" t="str">
        <f t="shared" si="4"/>
        <v/>
      </c>
      <c r="B145" s="136" t="str">
        <f>IF(D145&lt;&gt;"",'DATA TILL SLU'!$J$3,"")</f>
        <v/>
      </c>
      <c r="C145" s="146" t="str">
        <f>IF(D145&lt;&gt;"",'DATA TILL SLU'!$K$3,"")</f>
        <v/>
      </c>
      <c r="D145" s="2" t="str">
        <f>IF('DATA TILL SLU'!$D$7*1&lt;&gt;"",IF(COUNT(Beräkningshjälp!$AC$3:$AC$1082)&gt;=ROW(D144),'DATA TILL SLU'!$D$7*1,""),"")</f>
        <v/>
      </c>
      <c r="E145" s="136" t="str">
        <f>IF(D145&lt;&gt;"",VLOOKUP(ROW(E144),Beräkningshjälp!AC$2:AH$1082,COLUMN(Beräkningshjälp!AF$2)-COLUMN(Beräkningshjälp!AC$2)+1,FALSE),"")</f>
        <v/>
      </c>
      <c r="F145" s="352" t="str">
        <f t="shared" si="5"/>
        <v/>
      </c>
      <c r="G145" s="2" t="str">
        <f>IF(D145&lt;&gt;"",IF(VLOOKUP(VLOOKUP(E145,Beräkningshjälp!O$2:U$60,7,FALSE),Artuppgifter!$I$11:$P$22,8,FALSE)=TRUE,"Medelvikter!!","ALLA"),"")</f>
        <v/>
      </c>
      <c r="H145" s="2" t="str">
        <f>IF(D145&lt;&gt;"",VLOOKUP(ROW(H144),Beräkningshjälp!AC$2:AH$1082,COLUMN(Beräkningshjälp!AH$2)-COLUMN(Beräkningshjälp!AC$2)+1,FALSE),"")</f>
        <v/>
      </c>
      <c r="I145" s="116" t="str">
        <f>IF(D145&lt;&gt;"",VLOOKUP(ROW(E144),Beräkningshjälp!AC$2:AI$1082,COLUMN(Beräkningshjälp!AI$2)-COLUMN(Beräkningshjälp!AC$2)+1,FALSE),"")</f>
        <v/>
      </c>
    </row>
    <row r="146" spans="1:9" x14ac:dyDescent="0.25">
      <c r="A146" s="2" t="str">
        <f t="shared" si="4"/>
        <v/>
      </c>
      <c r="B146" s="136" t="str">
        <f>IF(D146&lt;&gt;"",'DATA TILL SLU'!$J$3,"")</f>
        <v/>
      </c>
      <c r="C146" s="146" t="str">
        <f>IF(D146&lt;&gt;"",'DATA TILL SLU'!$K$3,"")</f>
        <v/>
      </c>
      <c r="D146" s="2" t="str">
        <f>IF('DATA TILL SLU'!$D$7*1&lt;&gt;"",IF(COUNT(Beräkningshjälp!$AC$3:$AC$1082)&gt;=ROW(D145),'DATA TILL SLU'!$D$7*1,""),"")</f>
        <v/>
      </c>
      <c r="E146" s="136" t="str">
        <f>IF(D146&lt;&gt;"",VLOOKUP(ROW(E145),Beräkningshjälp!AC$2:AH$1082,COLUMN(Beräkningshjälp!AF$2)-COLUMN(Beräkningshjälp!AC$2)+1,FALSE),"")</f>
        <v/>
      </c>
      <c r="F146" s="352" t="str">
        <f t="shared" si="5"/>
        <v/>
      </c>
      <c r="G146" s="2" t="str">
        <f>IF(D146&lt;&gt;"",IF(VLOOKUP(VLOOKUP(E146,Beräkningshjälp!O$2:U$60,7,FALSE),Artuppgifter!$I$11:$P$22,8,FALSE)=TRUE,"Medelvikter!!","ALLA"),"")</f>
        <v/>
      </c>
      <c r="H146" s="2" t="str">
        <f>IF(D146&lt;&gt;"",VLOOKUP(ROW(H145),Beräkningshjälp!AC$2:AH$1082,COLUMN(Beräkningshjälp!AH$2)-COLUMN(Beräkningshjälp!AC$2)+1,FALSE),"")</f>
        <v/>
      </c>
      <c r="I146" s="116" t="str">
        <f>IF(D146&lt;&gt;"",VLOOKUP(ROW(E145),Beräkningshjälp!AC$2:AI$1082,COLUMN(Beräkningshjälp!AI$2)-COLUMN(Beräkningshjälp!AC$2)+1,FALSE),"")</f>
        <v/>
      </c>
    </row>
    <row r="147" spans="1:9" x14ac:dyDescent="0.25">
      <c r="A147" s="2" t="str">
        <f t="shared" si="4"/>
        <v/>
      </c>
      <c r="B147" s="136" t="str">
        <f>IF(D147&lt;&gt;"",'DATA TILL SLU'!$J$3,"")</f>
        <v/>
      </c>
      <c r="C147" s="146" t="str">
        <f>IF(D147&lt;&gt;"",'DATA TILL SLU'!$K$3,"")</f>
        <v/>
      </c>
      <c r="D147" s="2" t="str">
        <f>IF('DATA TILL SLU'!$D$7*1&lt;&gt;"",IF(COUNT(Beräkningshjälp!$AC$3:$AC$1082)&gt;=ROW(D146),'DATA TILL SLU'!$D$7*1,""),"")</f>
        <v/>
      </c>
      <c r="E147" s="136" t="str">
        <f>IF(D147&lt;&gt;"",VLOOKUP(ROW(E146),Beräkningshjälp!AC$2:AH$1082,COLUMN(Beräkningshjälp!AF$2)-COLUMN(Beräkningshjälp!AC$2)+1,FALSE),"")</f>
        <v/>
      </c>
      <c r="F147" s="352" t="str">
        <f t="shared" si="5"/>
        <v/>
      </c>
      <c r="G147" s="2" t="str">
        <f>IF(D147&lt;&gt;"",IF(VLOOKUP(VLOOKUP(E147,Beräkningshjälp!O$2:U$60,7,FALSE),Artuppgifter!$I$11:$P$22,8,FALSE)=TRUE,"Medelvikter!!","ALLA"),"")</f>
        <v/>
      </c>
      <c r="H147" s="2" t="str">
        <f>IF(D147&lt;&gt;"",VLOOKUP(ROW(H146),Beräkningshjälp!AC$2:AH$1082,COLUMN(Beräkningshjälp!AH$2)-COLUMN(Beräkningshjälp!AC$2)+1,FALSE),"")</f>
        <v/>
      </c>
      <c r="I147" s="116" t="str">
        <f>IF(D147&lt;&gt;"",VLOOKUP(ROW(E146),Beräkningshjälp!AC$2:AI$1082,COLUMN(Beräkningshjälp!AI$2)-COLUMN(Beräkningshjälp!AC$2)+1,FALSE),"")</f>
        <v/>
      </c>
    </row>
    <row r="148" spans="1:9" x14ac:dyDescent="0.25">
      <c r="A148" s="2" t="str">
        <f t="shared" si="4"/>
        <v/>
      </c>
      <c r="B148" s="136" t="str">
        <f>IF(D148&lt;&gt;"",'DATA TILL SLU'!$J$3,"")</f>
        <v/>
      </c>
      <c r="C148" s="146" t="str">
        <f>IF(D148&lt;&gt;"",'DATA TILL SLU'!$K$3,"")</f>
        <v/>
      </c>
      <c r="D148" s="2" t="str">
        <f>IF('DATA TILL SLU'!$D$7*1&lt;&gt;"",IF(COUNT(Beräkningshjälp!$AC$3:$AC$1082)&gt;=ROW(D147),'DATA TILL SLU'!$D$7*1,""),"")</f>
        <v/>
      </c>
      <c r="E148" s="136" t="str">
        <f>IF(D148&lt;&gt;"",VLOOKUP(ROW(E147),Beräkningshjälp!AC$2:AH$1082,COLUMN(Beräkningshjälp!AF$2)-COLUMN(Beräkningshjälp!AC$2)+1,FALSE),"")</f>
        <v/>
      </c>
      <c r="F148" s="352" t="str">
        <f t="shared" si="5"/>
        <v/>
      </c>
      <c r="G148" s="2" t="str">
        <f>IF(D148&lt;&gt;"",IF(VLOOKUP(VLOOKUP(E148,Beräkningshjälp!O$2:U$60,7,FALSE),Artuppgifter!$I$11:$P$22,8,FALSE)=TRUE,"Medelvikter!!","ALLA"),"")</f>
        <v/>
      </c>
      <c r="H148" s="2" t="str">
        <f>IF(D148&lt;&gt;"",VLOOKUP(ROW(H147),Beräkningshjälp!AC$2:AH$1082,COLUMN(Beräkningshjälp!AH$2)-COLUMN(Beräkningshjälp!AC$2)+1,FALSE),"")</f>
        <v/>
      </c>
      <c r="I148" s="116" t="str">
        <f>IF(D148&lt;&gt;"",VLOOKUP(ROW(E147),Beräkningshjälp!AC$2:AI$1082,COLUMN(Beräkningshjälp!AI$2)-COLUMN(Beräkningshjälp!AC$2)+1,FALSE),"")</f>
        <v/>
      </c>
    </row>
    <row r="149" spans="1:9" x14ac:dyDescent="0.25">
      <c r="A149" s="2" t="str">
        <f t="shared" si="4"/>
        <v/>
      </c>
      <c r="B149" s="136" t="str">
        <f>IF(D149&lt;&gt;"",'DATA TILL SLU'!$J$3,"")</f>
        <v/>
      </c>
      <c r="C149" s="146" t="str">
        <f>IF(D149&lt;&gt;"",'DATA TILL SLU'!$K$3,"")</f>
        <v/>
      </c>
      <c r="D149" s="2" t="str">
        <f>IF('DATA TILL SLU'!$D$7*1&lt;&gt;"",IF(COUNT(Beräkningshjälp!$AC$3:$AC$1082)&gt;=ROW(D148),'DATA TILL SLU'!$D$7*1,""),"")</f>
        <v/>
      </c>
      <c r="E149" s="136" t="str">
        <f>IF(D149&lt;&gt;"",VLOOKUP(ROW(E148),Beräkningshjälp!AC$2:AH$1082,COLUMN(Beräkningshjälp!AF$2)-COLUMN(Beräkningshjälp!AC$2)+1,FALSE),"")</f>
        <v/>
      </c>
      <c r="F149" s="352" t="str">
        <f t="shared" si="5"/>
        <v/>
      </c>
      <c r="G149" s="2" t="str">
        <f>IF(D149&lt;&gt;"",IF(VLOOKUP(VLOOKUP(E149,Beräkningshjälp!O$2:U$60,7,FALSE),Artuppgifter!$I$11:$P$22,8,FALSE)=TRUE,"Medelvikter!!","ALLA"),"")</f>
        <v/>
      </c>
      <c r="H149" s="2" t="str">
        <f>IF(D149&lt;&gt;"",VLOOKUP(ROW(H148),Beräkningshjälp!AC$2:AH$1082,COLUMN(Beräkningshjälp!AH$2)-COLUMN(Beräkningshjälp!AC$2)+1,FALSE),"")</f>
        <v/>
      </c>
      <c r="I149" s="116" t="str">
        <f>IF(D149&lt;&gt;"",VLOOKUP(ROW(E148),Beräkningshjälp!AC$2:AI$1082,COLUMN(Beräkningshjälp!AI$2)-COLUMN(Beräkningshjälp!AC$2)+1,FALSE),"")</f>
        <v/>
      </c>
    </row>
    <row r="150" spans="1:9" x14ac:dyDescent="0.25">
      <c r="A150" s="2" t="str">
        <f t="shared" si="4"/>
        <v/>
      </c>
      <c r="B150" s="136" t="str">
        <f>IF(D150&lt;&gt;"",'DATA TILL SLU'!$J$3,"")</f>
        <v/>
      </c>
      <c r="C150" s="146" t="str">
        <f>IF(D150&lt;&gt;"",'DATA TILL SLU'!$K$3,"")</f>
        <v/>
      </c>
      <c r="D150" s="2" t="str">
        <f>IF('DATA TILL SLU'!$D$7*1&lt;&gt;"",IF(COUNT(Beräkningshjälp!$AC$3:$AC$1082)&gt;=ROW(D149),'DATA TILL SLU'!$D$7*1,""),"")</f>
        <v/>
      </c>
      <c r="E150" s="136" t="str">
        <f>IF(D150&lt;&gt;"",VLOOKUP(ROW(E149),Beräkningshjälp!AC$2:AH$1082,COLUMN(Beräkningshjälp!AF$2)-COLUMN(Beräkningshjälp!AC$2)+1,FALSE),"")</f>
        <v/>
      </c>
      <c r="F150" s="352" t="str">
        <f t="shared" si="5"/>
        <v/>
      </c>
      <c r="G150" s="2" t="str">
        <f>IF(D150&lt;&gt;"",IF(VLOOKUP(VLOOKUP(E150,Beräkningshjälp!O$2:U$60,7,FALSE),Artuppgifter!$I$11:$P$22,8,FALSE)=TRUE,"Medelvikter!!","ALLA"),"")</f>
        <v/>
      </c>
      <c r="H150" s="2" t="str">
        <f>IF(D150&lt;&gt;"",VLOOKUP(ROW(H149),Beräkningshjälp!AC$2:AH$1082,COLUMN(Beräkningshjälp!AH$2)-COLUMN(Beräkningshjälp!AC$2)+1,FALSE),"")</f>
        <v/>
      </c>
      <c r="I150" s="116" t="str">
        <f>IF(D150&lt;&gt;"",VLOOKUP(ROW(E149),Beräkningshjälp!AC$2:AI$1082,COLUMN(Beräkningshjälp!AI$2)-COLUMN(Beräkningshjälp!AC$2)+1,FALSE),"")</f>
        <v/>
      </c>
    </row>
    <row r="151" spans="1:9" x14ac:dyDescent="0.25">
      <c r="A151" s="2" t="str">
        <f t="shared" si="4"/>
        <v/>
      </c>
      <c r="B151" s="136" t="str">
        <f>IF(D151&lt;&gt;"",'DATA TILL SLU'!$J$3,"")</f>
        <v/>
      </c>
      <c r="C151" s="146" t="str">
        <f>IF(D151&lt;&gt;"",'DATA TILL SLU'!$K$3,"")</f>
        <v/>
      </c>
      <c r="D151" s="2" t="str">
        <f>IF('DATA TILL SLU'!$D$7*1&lt;&gt;"",IF(COUNT(Beräkningshjälp!$AC$3:$AC$1082)&gt;=ROW(D150),'DATA TILL SLU'!$D$7*1,""),"")</f>
        <v/>
      </c>
      <c r="E151" s="136" t="str">
        <f>IF(D151&lt;&gt;"",VLOOKUP(ROW(E150),Beräkningshjälp!AC$2:AH$1082,COLUMN(Beräkningshjälp!AF$2)-COLUMN(Beräkningshjälp!AC$2)+1,FALSE),"")</f>
        <v/>
      </c>
      <c r="F151" s="352" t="str">
        <f t="shared" si="5"/>
        <v/>
      </c>
      <c r="G151" s="2" t="str">
        <f>IF(D151&lt;&gt;"",IF(VLOOKUP(VLOOKUP(E151,Beräkningshjälp!O$2:U$60,7,FALSE),Artuppgifter!$I$11:$P$22,8,FALSE)=TRUE,"Medelvikter!!","ALLA"),"")</f>
        <v/>
      </c>
      <c r="H151" s="2" t="str">
        <f>IF(D151&lt;&gt;"",VLOOKUP(ROW(H150),Beräkningshjälp!AC$2:AH$1082,COLUMN(Beräkningshjälp!AH$2)-COLUMN(Beräkningshjälp!AC$2)+1,FALSE),"")</f>
        <v/>
      </c>
      <c r="I151" s="116" t="str">
        <f>IF(D151&lt;&gt;"",VLOOKUP(ROW(E150),Beräkningshjälp!AC$2:AI$1082,COLUMN(Beräkningshjälp!AI$2)-COLUMN(Beräkningshjälp!AC$2)+1,FALSE),"")</f>
        <v/>
      </c>
    </row>
    <row r="152" spans="1:9" x14ac:dyDescent="0.25">
      <c r="A152" s="2" t="str">
        <f t="shared" si="4"/>
        <v/>
      </c>
      <c r="B152" s="136" t="str">
        <f>IF(D152&lt;&gt;"",'DATA TILL SLU'!$J$3,"")</f>
        <v/>
      </c>
      <c r="C152" s="146" t="str">
        <f>IF(D152&lt;&gt;"",'DATA TILL SLU'!$K$3,"")</f>
        <v/>
      </c>
      <c r="D152" s="2" t="str">
        <f>IF('DATA TILL SLU'!$D$7*1&lt;&gt;"",IF(COUNT(Beräkningshjälp!$AC$3:$AC$1082)&gt;=ROW(D151),'DATA TILL SLU'!$D$7*1,""),"")</f>
        <v/>
      </c>
      <c r="E152" s="136" t="str">
        <f>IF(D152&lt;&gt;"",VLOOKUP(ROW(E151),Beräkningshjälp!AC$2:AH$1082,COLUMN(Beräkningshjälp!AF$2)-COLUMN(Beräkningshjälp!AC$2)+1,FALSE),"")</f>
        <v/>
      </c>
      <c r="F152" s="352" t="str">
        <f t="shared" si="5"/>
        <v/>
      </c>
      <c r="G152" s="2" t="str">
        <f>IF(D152&lt;&gt;"",IF(VLOOKUP(VLOOKUP(E152,Beräkningshjälp!O$2:U$60,7,FALSE),Artuppgifter!$I$11:$P$22,8,FALSE)=TRUE,"Medelvikter!!","ALLA"),"")</f>
        <v/>
      </c>
      <c r="H152" s="2" t="str">
        <f>IF(D152&lt;&gt;"",VLOOKUP(ROW(H151),Beräkningshjälp!AC$2:AH$1082,COLUMN(Beräkningshjälp!AH$2)-COLUMN(Beräkningshjälp!AC$2)+1,FALSE),"")</f>
        <v/>
      </c>
      <c r="I152" s="116" t="str">
        <f>IF(D152&lt;&gt;"",VLOOKUP(ROW(E151),Beräkningshjälp!AC$2:AI$1082,COLUMN(Beräkningshjälp!AI$2)-COLUMN(Beräkningshjälp!AC$2)+1,FALSE),"")</f>
        <v/>
      </c>
    </row>
    <row r="153" spans="1:9" x14ac:dyDescent="0.25">
      <c r="A153" s="2" t="str">
        <f t="shared" si="4"/>
        <v/>
      </c>
      <c r="B153" s="136" t="str">
        <f>IF(D153&lt;&gt;"",'DATA TILL SLU'!$J$3,"")</f>
        <v/>
      </c>
      <c r="C153" s="146" t="str">
        <f>IF(D153&lt;&gt;"",'DATA TILL SLU'!$K$3,"")</f>
        <v/>
      </c>
      <c r="D153" s="2" t="str">
        <f>IF('DATA TILL SLU'!$D$7*1&lt;&gt;"",IF(COUNT(Beräkningshjälp!$AC$3:$AC$1082)&gt;=ROW(D152),'DATA TILL SLU'!$D$7*1,""),"")</f>
        <v/>
      </c>
      <c r="E153" s="136" t="str">
        <f>IF(D153&lt;&gt;"",VLOOKUP(ROW(E152),Beräkningshjälp!AC$2:AH$1082,COLUMN(Beräkningshjälp!AF$2)-COLUMN(Beräkningshjälp!AC$2)+1,FALSE),"")</f>
        <v/>
      </c>
      <c r="F153" s="352" t="str">
        <f t="shared" si="5"/>
        <v/>
      </c>
      <c r="G153" s="2" t="str">
        <f>IF(D153&lt;&gt;"",IF(VLOOKUP(VLOOKUP(E153,Beräkningshjälp!O$2:U$60,7,FALSE),Artuppgifter!$I$11:$P$22,8,FALSE)=TRUE,"Medelvikter!!","ALLA"),"")</f>
        <v/>
      </c>
      <c r="H153" s="2" t="str">
        <f>IF(D153&lt;&gt;"",VLOOKUP(ROW(H152),Beräkningshjälp!AC$2:AH$1082,COLUMN(Beräkningshjälp!AH$2)-COLUMN(Beräkningshjälp!AC$2)+1,FALSE),"")</f>
        <v/>
      </c>
      <c r="I153" s="116" t="str">
        <f>IF(D153&lt;&gt;"",VLOOKUP(ROW(E152),Beräkningshjälp!AC$2:AI$1082,COLUMN(Beräkningshjälp!AI$2)-COLUMN(Beräkningshjälp!AC$2)+1,FALSE),"")</f>
        <v/>
      </c>
    </row>
    <row r="154" spans="1:9" x14ac:dyDescent="0.25">
      <c r="A154" s="2" t="str">
        <f t="shared" si="4"/>
        <v/>
      </c>
      <c r="B154" s="136" t="str">
        <f>IF(D154&lt;&gt;"",'DATA TILL SLU'!$J$3,"")</f>
        <v/>
      </c>
      <c r="C154" s="146" t="str">
        <f>IF(D154&lt;&gt;"",'DATA TILL SLU'!$K$3,"")</f>
        <v/>
      </c>
      <c r="D154" s="2" t="str">
        <f>IF('DATA TILL SLU'!$D$7*1&lt;&gt;"",IF(COUNT(Beräkningshjälp!$AC$3:$AC$1082)&gt;=ROW(D153),'DATA TILL SLU'!$D$7*1,""),"")</f>
        <v/>
      </c>
      <c r="E154" s="136" t="str">
        <f>IF(D154&lt;&gt;"",VLOOKUP(ROW(E153),Beräkningshjälp!AC$2:AH$1082,COLUMN(Beräkningshjälp!AF$2)-COLUMN(Beräkningshjälp!AC$2)+1,FALSE),"")</f>
        <v/>
      </c>
      <c r="F154" s="352" t="str">
        <f t="shared" si="5"/>
        <v/>
      </c>
      <c r="G154" s="2" t="str">
        <f>IF(D154&lt;&gt;"",IF(VLOOKUP(VLOOKUP(E154,Beräkningshjälp!O$2:U$60,7,FALSE),Artuppgifter!$I$11:$P$22,8,FALSE)=TRUE,"Medelvikter!!","ALLA"),"")</f>
        <v/>
      </c>
      <c r="H154" s="2" t="str">
        <f>IF(D154&lt;&gt;"",VLOOKUP(ROW(H153),Beräkningshjälp!AC$2:AH$1082,COLUMN(Beräkningshjälp!AH$2)-COLUMN(Beräkningshjälp!AC$2)+1,FALSE),"")</f>
        <v/>
      </c>
      <c r="I154" s="116" t="str">
        <f>IF(D154&lt;&gt;"",VLOOKUP(ROW(E153),Beräkningshjälp!AC$2:AI$1082,COLUMN(Beräkningshjälp!AI$2)-COLUMN(Beräkningshjälp!AC$2)+1,FALSE),"")</f>
        <v/>
      </c>
    </row>
    <row r="155" spans="1:9" x14ac:dyDescent="0.25">
      <c r="A155" s="2" t="str">
        <f t="shared" si="4"/>
        <v/>
      </c>
      <c r="B155" s="136" t="str">
        <f>IF(D155&lt;&gt;"",'DATA TILL SLU'!$J$3,"")</f>
        <v/>
      </c>
      <c r="C155" s="146" t="str">
        <f>IF(D155&lt;&gt;"",'DATA TILL SLU'!$K$3,"")</f>
        <v/>
      </c>
      <c r="D155" s="2" t="str">
        <f>IF('DATA TILL SLU'!$D$7*1&lt;&gt;"",IF(COUNT(Beräkningshjälp!$AC$3:$AC$1082)&gt;=ROW(D154),'DATA TILL SLU'!$D$7*1,""),"")</f>
        <v/>
      </c>
      <c r="E155" s="136" t="str">
        <f>IF(D155&lt;&gt;"",VLOOKUP(ROW(E154),Beräkningshjälp!AC$2:AH$1082,COLUMN(Beräkningshjälp!AF$2)-COLUMN(Beräkningshjälp!AC$2)+1,FALSE),"")</f>
        <v/>
      </c>
      <c r="F155" s="352" t="str">
        <f t="shared" si="5"/>
        <v/>
      </c>
      <c r="G155" s="2" t="str">
        <f>IF(D155&lt;&gt;"",IF(VLOOKUP(VLOOKUP(E155,Beräkningshjälp!O$2:U$60,7,FALSE),Artuppgifter!$I$11:$P$22,8,FALSE)=TRUE,"Medelvikter!!","ALLA"),"")</f>
        <v/>
      </c>
      <c r="H155" s="2" t="str">
        <f>IF(D155&lt;&gt;"",VLOOKUP(ROW(H154),Beräkningshjälp!AC$2:AH$1082,COLUMN(Beräkningshjälp!AH$2)-COLUMN(Beräkningshjälp!AC$2)+1,FALSE),"")</f>
        <v/>
      </c>
      <c r="I155" s="116" t="str">
        <f>IF(D155&lt;&gt;"",VLOOKUP(ROW(E154),Beräkningshjälp!AC$2:AI$1082,COLUMN(Beräkningshjälp!AI$2)-COLUMN(Beräkningshjälp!AC$2)+1,FALSE),"")</f>
        <v/>
      </c>
    </row>
    <row r="156" spans="1:9" x14ac:dyDescent="0.25">
      <c r="A156" s="2" t="str">
        <f t="shared" si="4"/>
        <v/>
      </c>
      <c r="B156" s="136" t="str">
        <f>IF(D156&lt;&gt;"",'DATA TILL SLU'!$J$3,"")</f>
        <v/>
      </c>
      <c r="C156" s="146" t="str">
        <f>IF(D156&lt;&gt;"",'DATA TILL SLU'!$K$3,"")</f>
        <v/>
      </c>
      <c r="D156" s="2" t="str">
        <f>IF('DATA TILL SLU'!$D$7*1&lt;&gt;"",IF(COUNT(Beräkningshjälp!$AC$3:$AC$1082)&gt;=ROW(D155),'DATA TILL SLU'!$D$7*1,""),"")</f>
        <v/>
      </c>
      <c r="E156" s="136" t="str">
        <f>IF(D156&lt;&gt;"",VLOOKUP(ROW(E155),Beräkningshjälp!AC$2:AH$1082,COLUMN(Beräkningshjälp!AF$2)-COLUMN(Beräkningshjälp!AC$2)+1,FALSE),"")</f>
        <v/>
      </c>
      <c r="F156" s="352" t="str">
        <f t="shared" si="5"/>
        <v/>
      </c>
      <c r="G156" s="2" t="str">
        <f>IF(D156&lt;&gt;"",IF(VLOOKUP(VLOOKUP(E156,Beräkningshjälp!O$2:U$60,7,FALSE),Artuppgifter!$I$11:$P$22,8,FALSE)=TRUE,"Medelvikter!!","ALLA"),"")</f>
        <v/>
      </c>
      <c r="H156" s="2" t="str">
        <f>IF(D156&lt;&gt;"",VLOOKUP(ROW(H155),Beräkningshjälp!AC$2:AH$1082,COLUMN(Beräkningshjälp!AH$2)-COLUMN(Beräkningshjälp!AC$2)+1,FALSE),"")</f>
        <v/>
      </c>
      <c r="I156" s="116" t="str">
        <f>IF(D156&lt;&gt;"",VLOOKUP(ROW(E155),Beräkningshjälp!AC$2:AI$1082,COLUMN(Beräkningshjälp!AI$2)-COLUMN(Beräkningshjälp!AC$2)+1,FALSE),"")</f>
        <v/>
      </c>
    </row>
    <row r="157" spans="1:9" x14ac:dyDescent="0.25">
      <c r="A157" s="2" t="str">
        <f t="shared" si="4"/>
        <v/>
      </c>
      <c r="B157" s="136" t="str">
        <f>IF(D157&lt;&gt;"",'DATA TILL SLU'!$J$3,"")</f>
        <v/>
      </c>
      <c r="C157" s="146" t="str">
        <f>IF(D157&lt;&gt;"",'DATA TILL SLU'!$K$3,"")</f>
        <v/>
      </c>
      <c r="D157" s="2" t="str">
        <f>IF('DATA TILL SLU'!$D$7*1&lt;&gt;"",IF(COUNT(Beräkningshjälp!$AC$3:$AC$1082)&gt;=ROW(D156),'DATA TILL SLU'!$D$7*1,""),"")</f>
        <v/>
      </c>
      <c r="E157" s="136" t="str">
        <f>IF(D157&lt;&gt;"",VLOOKUP(ROW(E156),Beräkningshjälp!AC$2:AH$1082,COLUMN(Beräkningshjälp!AF$2)-COLUMN(Beräkningshjälp!AC$2)+1,FALSE),"")</f>
        <v/>
      </c>
      <c r="F157" s="352" t="str">
        <f t="shared" si="5"/>
        <v/>
      </c>
      <c r="G157" s="2" t="str">
        <f>IF(D157&lt;&gt;"",IF(VLOOKUP(VLOOKUP(E157,Beräkningshjälp!O$2:U$60,7,FALSE),Artuppgifter!$I$11:$P$22,8,FALSE)=TRUE,"Medelvikter!!","ALLA"),"")</f>
        <v/>
      </c>
      <c r="H157" s="2" t="str">
        <f>IF(D157&lt;&gt;"",VLOOKUP(ROW(H156),Beräkningshjälp!AC$2:AH$1082,COLUMN(Beräkningshjälp!AH$2)-COLUMN(Beräkningshjälp!AC$2)+1,FALSE),"")</f>
        <v/>
      </c>
      <c r="I157" s="116" t="str">
        <f>IF(D157&lt;&gt;"",VLOOKUP(ROW(E156),Beräkningshjälp!AC$2:AI$1082,COLUMN(Beräkningshjälp!AI$2)-COLUMN(Beräkningshjälp!AC$2)+1,FALSE),"")</f>
        <v/>
      </c>
    </row>
    <row r="158" spans="1:9" x14ac:dyDescent="0.25">
      <c r="A158" s="2" t="str">
        <f t="shared" si="4"/>
        <v/>
      </c>
      <c r="B158" s="136" t="str">
        <f>IF(D158&lt;&gt;"",'DATA TILL SLU'!$J$3,"")</f>
        <v/>
      </c>
      <c r="C158" s="146" t="str">
        <f>IF(D158&lt;&gt;"",'DATA TILL SLU'!$K$3,"")</f>
        <v/>
      </c>
      <c r="D158" s="2" t="str">
        <f>IF('DATA TILL SLU'!$D$7*1&lt;&gt;"",IF(COUNT(Beräkningshjälp!$AC$3:$AC$1082)&gt;=ROW(D157),'DATA TILL SLU'!$D$7*1,""),"")</f>
        <v/>
      </c>
      <c r="E158" s="136" t="str">
        <f>IF(D158&lt;&gt;"",VLOOKUP(ROW(E157),Beräkningshjälp!AC$2:AH$1082,COLUMN(Beräkningshjälp!AF$2)-COLUMN(Beräkningshjälp!AC$2)+1,FALSE),"")</f>
        <v/>
      </c>
      <c r="F158" s="352" t="str">
        <f t="shared" si="5"/>
        <v/>
      </c>
      <c r="G158" s="2" t="str">
        <f>IF(D158&lt;&gt;"",IF(VLOOKUP(VLOOKUP(E158,Beräkningshjälp!O$2:U$60,7,FALSE),Artuppgifter!$I$11:$P$22,8,FALSE)=TRUE,"Medelvikter!!","ALLA"),"")</f>
        <v/>
      </c>
      <c r="H158" s="2" t="str">
        <f>IF(D158&lt;&gt;"",VLOOKUP(ROW(H157),Beräkningshjälp!AC$2:AH$1082,COLUMN(Beräkningshjälp!AH$2)-COLUMN(Beräkningshjälp!AC$2)+1,FALSE),"")</f>
        <v/>
      </c>
      <c r="I158" s="116" t="str">
        <f>IF(D158&lt;&gt;"",VLOOKUP(ROW(E157),Beräkningshjälp!AC$2:AI$1082,COLUMN(Beräkningshjälp!AI$2)-COLUMN(Beräkningshjälp!AC$2)+1,FALSE),"")</f>
        <v/>
      </c>
    </row>
    <row r="159" spans="1:9" x14ac:dyDescent="0.25">
      <c r="A159" s="2" t="str">
        <f t="shared" si="4"/>
        <v/>
      </c>
      <c r="B159" s="136" t="str">
        <f>IF(D159&lt;&gt;"",'DATA TILL SLU'!$J$3,"")</f>
        <v/>
      </c>
      <c r="C159" s="146" t="str">
        <f>IF(D159&lt;&gt;"",'DATA TILL SLU'!$K$3,"")</f>
        <v/>
      </c>
      <c r="D159" s="2" t="str">
        <f>IF('DATA TILL SLU'!$D$7*1&lt;&gt;"",IF(COUNT(Beräkningshjälp!$AC$3:$AC$1082)&gt;=ROW(D158),'DATA TILL SLU'!$D$7*1,""),"")</f>
        <v/>
      </c>
      <c r="E159" s="136" t="str">
        <f>IF(D159&lt;&gt;"",VLOOKUP(ROW(E158),Beräkningshjälp!AC$2:AH$1082,COLUMN(Beräkningshjälp!AF$2)-COLUMN(Beräkningshjälp!AC$2)+1,FALSE),"")</f>
        <v/>
      </c>
      <c r="F159" s="352" t="str">
        <f t="shared" si="5"/>
        <v/>
      </c>
      <c r="G159" s="2" t="str">
        <f>IF(D159&lt;&gt;"",IF(VLOOKUP(VLOOKUP(E159,Beräkningshjälp!O$2:U$60,7,FALSE),Artuppgifter!$I$11:$P$22,8,FALSE)=TRUE,"Medelvikter!!","ALLA"),"")</f>
        <v/>
      </c>
      <c r="H159" s="2" t="str">
        <f>IF(D159&lt;&gt;"",VLOOKUP(ROW(H158),Beräkningshjälp!AC$2:AH$1082,COLUMN(Beräkningshjälp!AH$2)-COLUMN(Beräkningshjälp!AC$2)+1,FALSE),"")</f>
        <v/>
      </c>
      <c r="I159" s="116" t="str">
        <f>IF(D159&lt;&gt;"",VLOOKUP(ROW(E158),Beräkningshjälp!AC$2:AI$1082,COLUMN(Beräkningshjälp!AI$2)-COLUMN(Beräkningshjälp!AC$2)+1,FALSE),"")</f>
        <v/>
      </c>
    </row>
    <row r="160" spans="1:9" x14ac:dyDescent="0.25">
      <c r="A160" s="2" t="str">
        <f t="shared" si="4"/>
        <v/>
      </c>
      <c r="B160" s="136" t="str">
        <f>IF(D160&lt;&gt;"",'DATA TILL SLU'!$J$3,"")</f>
        <v/>
      </c>
      <c r="C160" s="146" t="str">
        <f>IF(D160&lt;&gt;"",'DATA TILL SLU'!$K$3,"")</f>
        <v/>
      </c>
      <c r="D160" s="2" t="str">
        <f>IF('DATA TILL SLU'!$D$7*1&lt;&gt;"",IF(COUNT(Beräkningshjälp!$AC$3:$AC$1082)&gt;=ROW(D159),'DATA TILL SLU'!$D$7*1,""),"")</f>
        <v/>
      </c>
      <c r="E160" s="136" t="str">
        <f>IF(D160&lt;&gt;"",VLOOKUP(ROW(E159),Beräkningshjälp!AC$2:AH$1082,COLUMN(Beräkningshjälp!AF$2)-COLUMN(Beräkningshjälp!AC$2)+1,FALSE),"")</f>
        <v/>
      </c>
      <c r="F160" s="352" t="str">
        <f t="shared" si="5"/>
        <v/>
      </c>
      <c r="G160" s="2" t="str">
        <f>IF(D160&lt;&gt;"",IF(VLOOKUP(VLOOKUP(E160,Beräkningshjälp!O$2:U$60,7,FALSE),Artuppgifter!$I$11:$P$22,8,FALSE)=TRUE,"Medelvikter!!","ALLA"),"")</f>
        <v/>
      </c>
      <c r="H160" s="2" t="str">
        <f>IF(D160&lt;&gt;"",VLOOKUP(ROW(H159),Beräkningshjälp!AC$2:AH$1082,COLUMN(Beräkningshjälp!AH$2)-COLUMN(Beräkningshjälp!AC$2)+1,FALSE),"")</f>
        <v/>
      </c>
      <c r="I160" s="116" t="str">
        <f>IF(D160&lt;&gt;"",VLOOKUP(ROW(E159),Beräkningshjälp!AC$2:AI$1082,COLUMN(Beräkningshjälp!AI$2)-COLUMN(Beräkningshjälp!AC$2)+1,FALSE),"")</f>
        <v/>
      </c>
    </row>
    <row r="161" spans="1:9" x14ac:dyDescent="0.25">
      <c r="A161" s="2" t="str">
        <f t="shared" si="4"/>
        <v/>
      </c>
      <c r="B161" s="136" t="str">
        <f>IF(D161&lt;&gt;"",'DATA TILL SLU'!$J$3,"")</f>
        <v/>
      </c>
      <c r="C161" s="146" t="str">
        <f>IF(D161&lt;&gt;"",'DATA TILL SLU'!$K$3,"")</f>
        <v/>
      </c>
      <c r="D161" s="2" t="str">
        <f>IF('DATA TILL SLU'!$D$7*1&lt;&gt;"",IF(COUNT(Beräkningshjälp!$AC$3:$AC$1082)&gt;=ROW(D160),'DATA TILL SLU'!$D$7*1,""),"")</f>
        <v/>
      </c>
      <c r="E161" s="136" t="str">
        <f>IF(D161&lt;&gt;"",VLOOKUP(ROW(E160),Beräkningshjälp!AC$2:AH$1082,COLUMN(Beräkningshjälp!AF$2)-COLUMN(Beräkningshjälp!AC$2)+1,FALSE),"")</f>
        <v/>
      </c>
      <c r="F161" s="352" t="str">
        <f t="shared" si="5"/>
        <v/>
      </c>
      <c r="G161" s="2" t="str">
        <f>IF(D161&lt;&gt;"",IF(VLOOKUP(VLOOKUP(E161,Beräkningshjälp!O$2:U$60,7,FALSE),Artuppgifter!$I$11:$P$22,8,FALSE)=TRUE,"Medelvikter!!","ALLA"),"")</f>
        <v/>
      </c>
      <c r="H161" s="2" t="str">
        <f>IF(D161&lt;&gt;"",VLOOKUP(ROW(H160),Beräkningshjälp!AC$2:AH$1082,COLUMN(Beräkningshjälp!AH$2)-COLUMN(Beräkningshjälp!AC$2)+1,FALSE),"")</f>
        <v/>
      </c>
      <c r="I161" s="116" t="str">
        <f>IF(D161&lt;&gt;"",VLOOKUP(ROW(E160),Beräkningshjälp!AC$2:AI$1082,COLUMN(Beräkningshjälp!AI$2)-COLUMN(Beräkningshjälp!AC$2)+1,FALSE),"")</f>
        <v/>
      </c>
    </row>
    <row r="162" spans="1:9" x14ac:dyDescent="0.25">
      <c r="A162" s="2" t="str">
        <f t="shared" si="4"/>
        <v/>
      </c>
      <c r="B162" s="136" t="str">
        <f>IF(D162&lt;&gt;"",'DATA TILL SLU'!$J$3,"")</f>
        <v/>
      </c>
      <c r="C162" s="146" t="str">
        <f>IF(D162&lt;&gt;"",'DATA TILL SLU'!$K$3,"")</f>
        <v/>
      </c>
      <c r="D162" s="2" t="str">
        <f>IF('DATA TILL SLU'!$D$7*1&lt;&gt;"",IF(COUNT(Beräkningshjälp!$AC$3:$AC$1082)&gt;=ROW(D161),'DATA TILL SLU'!$D$7*1,""),"")</f>
        <v/>
      </c>
      <c r="E162" s="136" t="str">
        <f>IF(D162&lt;&gt;"",VLOOKUP(ROW(E161),Beräkningshjälp!AC$2:AH$1082,COLUMN(Beräkningshjälp!AF$2)-COLUMN(Beräkningshjälp!AC$2)+1,FALSE),"")</f>
        <v/>
      </c>
      <c r="F162" s="352" t="str">
        <f t="shared" si="5"/>
        <v/>
      </c>
      <c r="G162" s="2" t="str">
        <f>IF(D162&lt;&gt;"",IF(VLOOKUP(VLOOKUP(E162,Beräkningshjälp!O$2:U$60,7,FALSE),Artuppgifter!$I$11:$P$22,8,FALSE)=TRUE,"Medelvikter!!","ALLA"),"")</f>
        <v/>
      </c>
      <c r="H162" s="2" t="str">
        <f>IF(D162&lt;&gt;"",VLOOKUP(ROW(H161),Beräkningshjälp!AC$2:AH$1082,COLUMN(Beräkningshjälp!AH$2)-COLUMN(Beräkningshjälp!AC$2)+1,FALSE),"")</f>
        <v/>
      </c>
      <c r="I162" s="116" t="str">
        <f>IF(D162&lt;&gt;"",VLOOKUP(ROW(E161),Beräkningshjälp!AC$2:AI$1082,COLUMN(Beräkningshjälp!AI$2)-COLUMN(Beräkningshjälp!AC$2)+1,FALSE),"")</f>
        <v/>
      </c>
    </row>
    <row r="163" spans="1:9" x14ac:dyDescent="0.25">
      <c r="A163" s="2" t="str">
        <f t="shared" si="4"/>
        <v/>
      </c>
      <c r="B163" s="136" t="str">
        <f>IF(D163&lt;&gt;"",'DATA TILL SLU'!$J$3,"")</f>
        <v/>
      </c>
      <c r="C163" s="146" t="str">
        <f>IF(D163&lt;&gt;"",'DATA TILL SLU'!$K$3,"")</f>
        <v/>
      </c>
      <c r="D163" s="2" t="str">
        <f>IF('DATA TILL SLU'!$D$7*1&lt;&gt;"",IF(COUNT(Beräkningshjälp!$AC$3:$AC$1082)&gt;=ROW(D162),'DATA TILL SLU'!$D$7*1,""),"")</f>
        <v/>
      </c>
      <c r="E163" s="136" t="str">
        <f>IF(D163&lt;&gt;"",VLOOKUP(ROW(E162),Beräkningshjälp!AC$2:AH$1082,COLUMN(Beräkningshjälp!AF$2)-COLUMN(Beräkningshjälp!AC$2)+1,FALSE),"")</f>
        <v/>
      </c>
      <c r="F163" s="352" t="str">
        <f t="shared" si="5"/>
        <v/>
      </c>
      <c r="G163" s="2" t="str">
        <f>IF(D163&lt;&gt;"",IF(VLOOKUP(VLOOKUP(E163,Beräkningshjälp!O$2:U$60,7,FALSE),Artuppgifter!$I$11:$P$22,8,FALSE)=TRUE,"Medelvikter!!","ALLA"),"")</f>
        <v/>
      </c>
      <c r="H163" s="2" t="str">
        <f>IF(D163&lt;&gt;"",VLOOKUP(ROW(H162),Beräkningshjälp!AC$2:AH$1082,COLUMN(Beräkningshjälp!AH$2)-COLUMN(Beräkningshjälp!AC$2)+1,FALSE),"")</f>
        <v/>
      </c>
      <c r="I163" s="116" t="str">
        <f>IF(D163&lt;&gt;"",VLOOKUP(ROW(E162),Beräkningshjälp!AC$2:AI$1082,COLUMN(Beräkningshjälp!AI$2)-COLUMN(Beräkningshjälp!AC$2)+1,FALSE),"")</f>
        <v/>
      </c>
    </row>
    <row r="164" spans="1:9" x14ac:dyDescent="0.25">
      <c r="A164" s="2" t="str">
        <f t="shared" si="4"/>
        <v/>
      </c>
      <c r="B164" s="136" t="str">
        <f>IF(D164&lt;&gt;"",'DATA TILL SLU'!$J$3,"")</f>
        <v/>
      </c>
      <c r="C164" s="146" t="str">
        <f>IF(D164&lt;&gt;"",'DATA TILL SLU'!$K$3,"")</f>
        <v/>
      </c>
      <c r="D164" s="2" t="str">
        <f>IF('DATA TILL SLU'!$D$7*1&lt;&gt;"",IF(COUNT(Beräkningshjälp!$AC$3:$AC$1082)&gt;=ROW(D163),'DATA TILL SLU'!$D$7*1,""),"")</f>
        <v/>
      </c>
      <c r="E164" s="136" t="str">
        <f>IF(D164&lt;&gt;"",VLOOKUP(ROW(E163),Beräkningshjälp!AC$2:AH$1082,COLUMN(Beräkningshjälp!AF$2)-COLUMN(Beräkningshjälp!AC$2)+1,FALSE),"")</f>
        <v/>
      </c>
      <c r="F164" s="352" t="str">
        <f t="shared" si="5"/>
        <v/>
      </c>
      <c r="G164" s="2" t="str">
        <f>IF(D164&lt;&gt;"",IF(VLOOKUP(VLOOKUP(E164,Beräkningshjälp!O$2:U$60,7,FALSE),Artuppgifter!$I$11:$P$22,8,FALSE)=TRUE,"Medelvikter!!","ALLA"),"")</f>
        <v/>
      </c>
      <c r="H164" s="2" t="str">
        <f>IF(D164&lt;&gt;"",VLOOKUP(ROW(H163),Beräkningshjälp!AC$2:AH$1082,COLUMN(Beräkningshjälp!AH$2)-COLUMN(Beräkningshjälp!AC$2)+1,FALSE),"")</f>
        <v/>
      </c>
      <c r="I164" s="116" t="str">
        <f>IF(D164&lt;&gt;"",VLOOKUP(ROW(E163),Beräkningshjälp!AC$2:AI$1082,COLUMN(Beräkningshjälp!AI$2)-COLUMN(Beräkningshjälp!AC$2)+1,FALSE),"")</f>
        <v/>
      </c>
    </row>
    <row r="165" spans="1:9" x14ac:dyDescent="0.25">
      <c r="A165" s="2" t="str">
        <f t="shared" si="4"/>
        <v/>
      </c>
      <c r="B165" s="136" t="str">
        <f>IF(D165&lt;&gt;"",'DATA TILL SLU'!$J$3,"")</f>
        <v/>
      </c>
      <c r="C165" s="146" t="str">
        <f>IF(D165&lt;&gt;"",'DATA TILL SLU'!$K$3,"")</f>
        <v/>
      </c>
      <c r="D165" s="2" t="str">
        <f>IF('DATA TILL SLU'!$D$7*1&lt;&gt;"",IF(COUNT(Beräkningshjälp!$AC$3:$AC$1082)&gt;=ROW(D164),'DATA TILL SLU'!$D$7*1,""),"")</f>
        <v/>
      </c>
      <c r="E165" s="136" t="str">
        <f>IF(D165&lt;&gt;"",VLOOKUP(ROW(E164),Beräkningshjälp!AC$2:AH$1082,COLUMN(Beräkningshjälp!AF$2)-COLUMN(Beräkningshjälp!AC$2)+1,FALSE),"")</f>
        <v/>
      </c>
      <c r="F165" s="352" t="str">
        <f t="shared" si="5"/>
        <v/>
      </c>
      <c r="G165" s="2" t="str">
        <f>IF(D165&lt;&gt;"",IF(VLOOKUP(VLOOKUP(E165,Beräkningshjälp!O$2:U$60,7,FALSE),Artuppgifter!$I$11:$P$22,8,FALSE)=TRUE,"Medelvikter!!","ALLA"),"")</f>
        <v/>
      </c>
      <c r="H165" s="2" t="str">
        <f>IF(D165&lt;&gt;"",VLOOKUP(ROW(H164),Beräkningshjälp!AC$2:AH$1082,COLUMN(Beräkningshjälp!AH$2)-COLUMN(Beräkningshjälp!AC$2)+1,FALSE),"")</f>
        <v/>
      </c>
      <c r="I165" s="116" t="str">
        <f>IF(D165&lt;&gt;"",VLOOKUP(ROW(E164),Beräkningshjälp!AC$2:AI$1082,COLUMN(Beräkningshjälp!AI$2)-COLUMN(Beräkningshjälp!AC$2)+1,FALSE),"")</f>
        <v/>
      </c>
    </row>
    <row r="166" spans="1:9" x14ac:dyDescent="0.25">
      <c r="A166" s="2" t="str">
        <f t="shared" si="4"/>
        <v/>
      </c>
      <c r="B166" s="136" t="str">
        <f>IF(D166&lt;&gt;"",'DATA TILL SLU'!$J$3,"")</f>
        <v/>
      </c>
      <c r="C166" s="146" t="str">
        <f>IF(D166&lt;&gt;"",'DATA TILL SLU'!$K$3,"")</f>
        <v/>
      </c>
      <c r="D166" s="2" t="str">
        <f>IF('DATA TILL SLU'!$D$7*1&lt;&gt;"",IF(COUNT(Beräkningshjälp!$AC$3:$AC$1082)&gt;=ROW(D165),'DATA TILL SLU'!$D$7*1,""),"")</f>
        <v/>
      </c>
      <c r="E166" s="136" t="str">
        <f>IF(D166&lt;&gt;"",VLOOKUP(ROW(E165),Beräkningshjälp!AC$2:AH$1082,COLUMN(Beräkningshjälp!AF$2)-COLUMN(Beräkningshjälp!AC$2)+1,FALSE),"")</f>
        <v/>
      </c>
      <c r="F166" s="352" t="str">
        <f t="shared" si="5"/>
        <v/>
      </c>
      <c r="G166" s="2" t="str">
        <f>IF(D166&lt;&gt;"",IF(VLOOKUP(VLOOKUP(E166,Beräkningshjälp!O$2:U$60,7,FALSE),Artuppgifter!$I$11:$P$22,8,FALSE)=TRUE,"Medelvikter!!","ALLA"),"")</f>
        <v/>
      </c>
      <c r="H166" s="2" t="str">
        <f>IF(D166&lt;&gt;"",VLOOKUP(ROW(H165),Beräkningshjälp!AC$2:AH$1082,COLUMN(Beräkningshjälp!AH$2)-COLUMN(Beräkningshjälp!AC$2)+1,FALSE),"")</f>
        <v/>
      </c>
      <c r="I166" s="116" t="str">
        <f>IF(D166&lt;&gt;"",VLOOKUP(ROW(E165),Beräkningshjälp!AC$2:AI$1082,COLUMN(Beräkningshjälp!AI$2)-COLUMN(Beräkningshjälp!AC$2)+1,FALSE),"")</f>
        <v/>
      </c>
    </row>
    <row r="167" spans="1:9" x14ac:dyDescent="0.25">
      <c r="A167" s="2" t="str">
        <f t="shared" si="4"/>
        <v/>
      </c>
      <c r="B167" s="136" t="str">
        <f>IF(D167&lt;&gt;"",'DATA TILL SLU'!$J$3,"")</f>
        <v/>
      </c>
      <c r="C167" s="146" t="str">
        <f>IF(D167&lt;&gt;"",'DATA TILL SLU'!$K$3,"")</f>
        <v/>
      </c>
      <c r="D167" s="2" t="str">
        <f>IF('DATA TILL SLU'!$D$7*1&lt;&gt;"",IF(COUNT(Beräkningshjälp!$AC$3:$AC$1082)&gt;=ROW(D166),'DATA TILL SLU'!$D$7*1,""),"")</f>
        <v/>
      </c>
      <c r="E167" s="136" t="str">
        <f>IF(D167&lt;&gt;"",VLOOKUP(ROW(E166),Beräkningshjälp!AC$2:AH$1082,COLUMN(Beräkningshjälp!AF$2)-COLUMN(Beräkningshjälp!AC$2)+1,FALSE),"")</f>
        <v/>
      </c>
      <c r="F167" s="352" t="str">
        <f t="shared" si="5"/>
        <v/>
      </c>
      <c r="G167" s="2" t="str">
        <f>IF(D167&lt;&gt;"",IF(VLOOKUP(VLOOKUP(E167,Beräkningshjälp!O$2:U$60,7,FALSE),Artuppgifter!$I$11:$P$22,8,FALSE)=TRUE,"Medelvikter!!","ALLA"),"")</f>
        <v/>
      </c>
      <c r="H167" s="2" t="str">
        <f>IF(D167&lt;&gt;"",VLOOKUP(ROW(H166),Beräkningshjälp!AC$2:AH$1082,COLUMN(Beräkningshjälp!AH$2)-COLUMN(Beräkningshjälp!AC$2)+1,FALSE),"")</f>
        <v/>
      </c>
      <c r="I167" s="116" t="str">
        <f>IF(D167&lt;&gt;"",VLOOKUP(ROW(E166),Beräkningshjälp!AC$2:AI$1082,COLUMN(Beräkningshjälp!AI$2)-COLUMN(Beräkningshjälp!AC$2)+1,FALSE),"")</f>
        <v/>
      </c>
    </row>
    <row r="168" spans="1:9" x14ac:dyDescent="0.25">
      <c r="A168" s="2" t="str">
        <f t="shared" si="4"/>
        <v/>
      </c>
      <c r="B168" s="136" t="str">
        <f>IF(D168&lt;&gt;"",'DATA TILL SLU'!$J$3,"")</f>
        <v/>
      </c>
      <c r="C168" s="146" t="str">
        <f>IF(D168&lt;&gt;"",'DATA TILL SLU'!$K$3,"")</f>
        <v/>
      </c>
      <c r="D168" s="2" t="str">
        <f>IF('DATA TILL SLU'!$D$7*1&lt;&gt;"",IF(COUNT(Beräkningshjälp!$AC$3:$AC$1082)&gt;=ROW(D167),'DATA TILL SLU'!$D$7*1,""),"")</f>
        <v/>
      </c>
      <c r="E168" s="136" t="str">
        <f>IF(D168&lt;&gt;"",VLOOKUP(ROW(E167),Beräkningshjälp!AC$2:AH$1082,COLUMN(Beräkningshjälp!AF$2)-COLUMN(Beräkningshjälp!AC$2)+1,FALSE),"")</f>
        <v/>
      </c>
      <c r="F168" s="352" t="str">
        <f t="shared" si="5"/>
        <v/>
      </c>
      <c r="G168" s="2" t="str">
        <f>IF(D168&lt;&gt;"",IF(VLOOKUP(VLOOKUP(E168,Beräkningshjälp!O$2:U$60,7,FALSE),Artuppgifter!$I$11:$P$22,8,FALSE)=TRUE,"Medelvikter!!","ALLA"),"")</f>
        <v/>
      </c>
      <c r="H168" s="2" t="str">
        <f>IF(D168&lt;&gt;"",VLOOKUP(ROW(H167),Beräkningshjälp!AC$2:AH$1082,COLUMN(Beräkningshjälp!AH$2)-COLUMN(Beräkningshjälp!AC$2)+1,FALSE),"")</f>
        <v/>
      </c>
      <c r="I168" s="116" t="str">
        <f>IF(D168&lt;&gt;"",VLOOKUP(ROW(E167),Beräkningshjälp!AC$2:AI$1082,COLUMN(Beräkningshjälp!AI$2)-COLUMN(Beräkningshjälp!AC$2)+1,FALSE),"")</f>
        <v/>
      </c>
    </row>
    <row r="169" spans="1:9" x14ac:dyDescent="0.25">
      <c r="A169" s="2" t="str">
        <f t="shared" si="4"/>
        <v/>
      </c>
      <c r="B169" s="136" t="str">
        <f>IF(D169&lt;&gt;"",'DATA TILL SLU'!$J$3,"")</f>
        <v/>
      </c>
      <c r="C169" s="146" t="str">
        <f>IF(D169&lt;&gt;"",'DATA TILL SLU'!$K$3,"")</f>
        <v/>
      </c>
      <c r="D169" s="2" t="str">
        <f>IF('DATA TILL SLU'!$D$7*1&lt;&gt;"",IF(COUNT(Beräkningshjälp!$AC$3:$AC$1082)&gt;=ROW(D168),'DATA TILL SLU'!$D$7*1,""),"")</f>
        <v/>
      </c>
      <c r="E169" s="136" t="str">
        <f>IF(D169&lt;&gt;"",VLOOKUP(ROW(E168),Beräkningshjälp!AC$2:AH$1082,COLUMN(Beräkningshjälp!AF$2)-COLUMN(Beräkningshjälp!AC$2)+1,FALSE),"")</f>
        <v/>
      </c>
      <c r="F169" s="352" t="str">
        <f t="shared" si="5"/>
        <v/>
      </c>
      <c r="G169" s="2" t="str">
        <f>IF(D169&lt;&gt;"",IF(VLOOKUP(VLOOKUP(E169,Beräkningshjälp!O$2:U$60,7,FALSE),Artuppgifter!$I$11:$P$22,8,FALSE)=TRUE,"Medelvikter!!","ALLA"),"")</f>
        <v/>
      </c>
      <c r="H169" s="2" t="str">
        <f>IF(D169&lt;&gt;"",VLOOKUP(ROW(H168),Beräkningshjälp!AC$2:AH$1082,COLUMN(Beräkningshjälp!AH$2)-COLUMN(Beräkningshjälp!AC$2)+1,FALSE),"")</f>
        <v/>
      </c>
      <c r="I169" s="116" t="str">
        <f>IF(D169&lt;&gt;"",VLOOKUP(ROW(E168),Beräkningshjälp!AC$2:AI$1082,COLUMN(Beräkningshjälp!AI$2)-COLUMN(Beräkningshjälp!AC$2)+1,FALSE),"")</f>
        <v/>
      </c>
    </row>
    <row r="170" spans="1:9" x14ac:dyDescent="0.25">
      <c r="A170" s="2" t="str">
        <f t="shared" si="4"/>
        <v/>
      </c>
      <c r="B170" s="136" t="str">
        <f>IF(D170&lt;&gt;"",'DATA TILL SLU'!$J$3,"")</f>
        <v/>
      </c>
      <c r="C170" s="146" t="str">
        <f>IF(D170&lt;&gt;"",'DATA TILL SLU'!$K$3,"")</f>
        <v/>
      </c>
      <c r="D170" s="2" t="str">
        <f>IF('DATA TILL SLU'!$D$7*1&lt;&gt;"",IF(COUNT(Beräkningshjälp!$AC$3:$AC$1082)&gt;=ROW(D169),'DATA TILL SLU'!$D$7*1,""),"")</f>
        <v/>
      </c>
      <c r="E170" s="136" t="str">
        <f>IF(D170&lt;&gt;"",VLOOKUP(ROW(E169),Beräkningshjälp!AC$2:AH$1082,COLUMN(Beräkningshjälp!AF$2)-COLUMN(Beräkningshjälp!AC$2)+1,FALSE),"")</f>
        <v/>
      </c>
      <c r="F170" s="352" t="str">
        <f t="shared" si="5"/>
        <v/>
      </c>
      <c r="G170" s="2" t="str">
        <f>IF(D170&lt;&gt;"",IF(VLOOKUP(VLOOKUP(E170,Beräkningshjälp!O$2:U$60,7,FALSE),Artuppgifter!$I$11:$P$22,8,FALSE)=TRUE,"Medelvikter!!","ALLA"),"")</f>
        <v/>
      </c>
      <c r="H170" s="2" t="str">
        <f>IF(D170&lt;&gt;"",VLOOKUP(ROW(H169),Beräkningshjälp!AC$2:AH$1082,COLUMN(Beräkningshjälp!AH$2)-COLUMN(Beräkningshjälp!AC$2)+1,FALSE),"")</f>
        <v/>
      </c>
      <c r="I170" s="116" t="str">
        <f>IF(D170&lt;&gt;"",VLOOKUP(ROW(E169),Beräkningshjälp!AC$2:AI$1082,COLUMN(Beräkningshjälp!AI$2)-COLUMN(Beräkningshjälp!AC$2)+1,FALSE),"")</f>
        <v/>
      </c>
    </row>
    <row r="171" spans="1:9" x14ac:dyDescent="0.25">
      <c r="A171" s="2" t="str">
        <f t="shared" si="4"/>
        <v/>
      </c>
      <c r="B171" s="136" t="str">
        <f>IF(D171&lt;&gt;"",'DATA TILL SLU'!$J$3,"")</f>
        <v/>
      </c>
      <c r="C171" s="146" t="str">
        <f>IF(D171&lt;&gt;"",'DATA TILL SLU'!$K$3,"")</f>
        <v/>
      </c>
      <c r="D171" s="2" t="str">
        <f>IF('DATA TILL SLU'!$D$7*1&lt;&gt;"",IF(COUNT(Beräkningshjälp!$AC$3:$AC$1082)&gt;=ROW(D170),'DATA TILL SLU'!$D$7*1,""),"")</f>
        <v/>
      </c>
      <c r="E171" s="136" t="str">
        <f>IF(D171&lt;&gt;"",VLOOKUP(ROW(E170),Beräkningshjälp!AC$2:AH$1082,COLUMN(Beräkningshjälp!AF$2)-COLUMN(Beräkningshjälp!AC$2)+1,FALSE),"")</f>
        <v/>
      </c>
      <c r="F171" s="352" t="str">
        <f t="shared" si="5"/>
        <v/>
      </c>
      <c r="G171" s="2" t="str">
        <f>IF(D171&lt;&gt;"",IF(VLOOKUP(VLOOKUP(E171,Beräkningshjälp!O$2:U$60,7,FALSE),Artuppgifter!$I$11:$P$22,8,FALSE)=TRUE,"Medelvikter!!","ALLA"),"")</f>
        <v/>
      </c>
      <c r="H171" s="2" t="str">
        <f>IF(D171&lt;&gt;"",VLOOKUP(ROW(H170),Beräkningshjälp!AC$2:AH$1082,COLUMN(Beräkningshjälp!AH$2)-COLUMN(Beräkningshjälp!AC$2)+1,FALSE),"")</f>
        <v/>
      </c>
      <c r="I171" s="116" t="str">
        <f>IF(D171&lt;&gt;"",VLOOKUP(ROW(E170),Beräkningshjälp!AC$2:AI$1082,COLUMN(Beräkningshjälp!AI$2)-COLUMN(Beräkningshjälp!AC$2)+1,FALSE),"")</f>
        <v/>
      </c>
    </row>
    <row r="172" spans="1:9" x14ac:dyDescent="0.25">
      <c r="A172" s="2" t="str">
        <f t="shared" si="4"/>
        <v/>
      </c>
      <c r="B172" s="136" t="str">
        <f>IF(D172&lt;&gt;"",'DATA TILL SLU'!$J$3,"")</f>
        <v/>
      </c>
      <c r="C172" s="146" t="str">
        <f>IF(D172&lt;&gt;"",'DATA TILL SLU'!$K$3,"")</f>
        <v/>
      </c>
      <c r="D172" s="2" t="str">
        <f>IF('DATA TILL SLU'!$D$7*1&lt;&gt;"",IF(COUNT(Beräkningshjälp!$AC$3:$AC$1082)&gt;=ROW(D171),'DATA TILL SLU'!$D$7*1,""),"")</f>
        <v/>
      </c>
      <c r="E172" s="136" t="str">
        <f>IF(D172&lt;&gt;"",VLOOKUP(ROW(E171),Beräkningshjälp!AC$2:AH$1082,COLUMN(Beräkningshjälp!AF$2)-COLUMN(Beräkningshjälp!AC$2)+1,FALSE),"")</f>
        <v/>
      </c>
      <c r="F172" s="352" t="str">
        <f t="shared" si="5"/>
        <v/>
      </c>
      <c r="G172" s="2" t="str">
        <f>IF(D172&lt;&gt;"",IF(VLOOKUP(VLOOKUP(E172,Beräkningshjälp!O$2:U$60,7,FALSE),Artuppgifter!$I$11:$P$22,8,FALSE)=TRUE,"Medelvikter!!","ALLA"),"")</f>
        <v/>
      </c>
      <c r="H172" s="2" t="str">
        <f>IF(D172&lt;&gt;"",VLOOKUP(ROW(H171),Beräkningshjälp!AC$2:AH$1082,COLUMN(Beräkningshjälp!AH$2)-COLUMN(Beräkningshjälp!AC$2)+1,FALSE),"")</f>
        <v/>
      </c>
      <c r="I172" s="116" t="str">
        <f>IF(D172&lt;&gt;"",VLOOKUP(ROW(E171),Beräkningshjälp!AC$2:AI$1082,COLUMN(Beräkningshjälp!AI$2)-COLUMN(Beräkningshjälp!AC$2)+1,FALSE),"")</f>
        <v/>
      </c>
    </row>
    <row r="173" spans="1:9" x14ac:dyDescent="0.25">
      <c r="A173" s="2" t="str">
        <f t="shared" si="4"/>
        <v/>
      </c>
      <c r="B173" s="136" t="str">
        <f>IF(D173&lt;&gt;"",'DATA TILL SLU'!$J$3,"")</f>
        <v/>
      </c>
      <c r="C173" s="146" t="str">
        <f>IF(D173&lt;&gt;"",'DATA TILL SLU'!$K$3,"")</f>
        <v/>
      </c>
      <c r="D173" s="2" t="str">
        <f>IF('DATA TILL SLU'!$D$7*1&lt;&gt;"",IF(COUNT(Beräkningshjälp!$AC$3:$AC$1082)&gt;=ROW(D172),'DATA TILL SLU'!$D$7*1,""),"")</f>
        <v/>
      </c>
      <c r="E173" s="136" t="str">
        <f>IF(D173&lt;&gt;"",VLOOKUP(ROW(E172),Beräkningshjälp!AC$2:AH$1082,COLUMN(Beräkningshjälp!AF$2)-COLUMN(Beräkningshjälp!AC$2)+1,FALSE),"")</f>
        <v/>
      </c>
      <c r="F173" s="352" t="str">
        <f t="shared" si="5"/>
        <v/>
      </c>
      <c r="G173" s="2" t="str">
        <f>IF(D173&lt;&gt;"",IF(VLOOKUP(VLOOKUP(E173,Beräkningshjälp!O$2:U$60,7,FALSE),Artuppgifter!$I$11:$P$22,8,FALSE)=TRUE,"Medelvikter!!","ALLA"),"")</f>
        <v/>
      </c>
      <c r="H173" s="2" t="str">
        <f>IF(D173&lt;&gt;"",VLOOKUP(ROW(H172),Beräkningshjälp!AC$2:AH$1082,COLUMN(Beräkningshjälp!AH$2)-COLUMN(Beräkningshjälp!AC$2)+1,FALSE),"")</f>
        <v/>
      </c>
      <c r="I173" s="116" t="str">
        <f>IF(D173&lt;&gt;"",VLOOKUP(ROW(E172),Beräkningshjälp!AC$2:AI$1082,COLUMN(Beräkningshjälp!AI$2)-COLUMN(Beräkningshjälp!AC$2)+1,FALSE),"")</f>
        <v/>
      </c>
    </row>
    <row r="174" spans="1:9" x14ac:dyDescent="0.25">
      <c r="A174" s="2" t="str">
        <f t="shared" si="4"/>
        <v/>
      </c>
      <c r="B174" s="136" t="str">
        <f>IF(D174&lt;&gt;"",'DATA TILL SLU'!$J$3,"")</f>
        <v/>
      </c>
      <c r="C174" s="146" t="str">
        <f>IF(D174&lt;&gt;"",'DATA TILL SLU'!$K$3,"")</f>
        <v/>
      </c>
      <c r="D174" s="2" t="str">
        <f>IF('DATA TILL SLU'!$D$7*1&lt;&gt;"",IF(COUNT(Beräkningshjälp!$AC$3:$AC$1082)&gt;=ROW(D173),'DATA TILL SLU'!$D$7*1,""),"")</f>
        <v/>
      </c>
      <c r="E174" s="136" t="str">
        <f>IF(D174&lt;&gt;"",VLOOKUP(ROW(E173),Beräkningshjälp!AC$2:AH$1082,COLUMN(Beräkningshjälp!AF$2)-COLUMN(Beräkningshjälp!AC$2)+1,FALSE),"")</f>
        <v/>
      </c>
      <c r="F174" s="352" t="str">
        <f t="shared" si="5"/>
        <v/>
      </c>
      <c r="G174" s="2" t="str">
        <f>IF(D174&lt;&gt;"",IF(VLOOKUP(VLOOKUP(E174,Beräkningshjälp!O$2:U$60,7,FALSE),Artuppgifter!$I$11:$P$22,8,FALSE)=TRUE,"Medelvikter!!","ALLA"),"")</f>
        <v/>
      </c>
      <c r="H174" s="2" t="str">
        <f>IF(D174&lt;&gt;"",VLOOKUP(ROW(H173),Beräkningshjälp!AC$2:AH$1082,COLUMN(Beräkningshjälp!AH$2)-COLUMN(Beräkningshjälp!AC$2)+1,FALSE),"")</f>
        <v/>
      </c>
      <c r="I174" s="116" t="str">
        <f>IF(D174&lt;&gt;"",VLOOKUP(ROW(E173),Beräkningshjälp!AC$2:AI$1082,COLUMN(Beräkningshjälp!AI$2)-COLUMN(Beräkningshjälp!AC$2)+1,FALSE),"")</f>
        <v/>
      </c>
    </row>
    <row r="175" spans="1:9" x14ac:dyDescent="0.25">
      <c r="A175" s="2" t="str">
        <f t="shared" si="4"/>
        <v/>
      </c>
      <c r="B175" s="136" t="str">
        <f>IF(D175&lt;&gt;"",'DATA TILL SLU'!$J$3,"")</f>
        <v/>
      </c>
      <c r="C175" s="146" t="str">
        <f>IF(D175&lt;&gt;"",'DATA TILL SLU'!$K$3,"")</f>
        <v/>
      </c>
      <c r="D175" s="2" t="str">
        <f>IF('DATA TILL SLU'!$D$7*1&lt;&gt;"",IF(COUNT(Beräkningshjälp!$AC$3:$AC$1082)&gt;=ROW(D174),'DATA TILL SLU'!$D$7*1,""),"")</f>
        <v/>
      </c>
      <c r="E175" s="136" t="str">
        <f>IF(D175&lt;&gt;"",VLOOKUP(ROW(E174),Beräkningshjälp!AC$2:AH$1082,COLUMN(Beräkningshjälp!AF$2)-COLUMN(Beräkningshjälp!AC$2)+1,FALSE),"")</f>
        <v/>
      </c>
      <c r="F175" s="352" t="str">
        <f t="shared" si="5"/>
        <v/>
      </c>
      <c r="G175" s="2" t="str">
        <f>IF(D175&lt;&gt;"",IF(VLOOKUP(VLOOKUP(E175,Beräkningshjälp!O$2:U$60,7,FALSE),Artuppgifter!$I$11:$P$22,8,FALSE)=TRUE,"Medelvikter!!","ALLA"),"")</f>
        <v/>
      </c>
      <c r="H175" s="2" t="str">
        <f>IF(D175&lt;&gt;"",VLOOKUP(ROW(H174),Beräkningshjälp!AC$2:AH$1082,COLUMN(Beräkningshjälp!AH$2)-COLUMN(Beräkningshjälp!AC$2)+1,FALSE),"")</f>
        <v/>
      </c>
      <c r="I175" s="116" t="str">
        <f>IF(D175&lt;&gt;"",VLOOKUP(ROW(E174),Beräkningshjälp!AC$2:AI$1082,COLUMN(Beräkningshjälp!AI$2)-COLUMN(Beräkningshjälp!AC$2)+1,FALSE),"")</f>
        <v/>
      </c>
    </row>
    <row r="176" spans="1:9" x14ac:dyDescent="0.25">
      <c r="A176" s="2" t="str">
        <f t="shared" si="4"/>
        <v/>
      </c>
      <c r="B176" s="136" t="str">
        <f>IF(D176&lt;&gt;"",'DATA TILL SLU'!$J$3,"")</f>
        <v/>
      </c>
      <c r="C176" s="146" t="str">
        <f>IF(D176&lt;&gt;"",'DATA TILL SLU'!$K$3,"")</f>
        <v/>
      </c>
      <c r="D176" s="2" t="str">
        <f>IF('DATA TILL SLU'!$D$7*1&lt;&gt;"",IF(COUNT(Beräkningshjälp!$AC$3:$AC$1082)&gt;=ROW(D175),'DATA TILL SLU'!$D$7*1,""),"")</f>
        <v/>
      </c>
      <c r="E176" s="136" t="str">
        <f>IF(D176&lt;&gt;"",VLOOKUP(ROW(E175),Beräkningshjälp!AC$2:AH$1082,COLUMN(Beräkningshjälp!AF$2)-COLUMN(Beräkningshjälp!AC$2)+1,FALSE),"")</f>
        <v/>
      </c>
      <c r="F176" s="352" t="str">
        <f t="shared" si="5"/>
        <v/>
      </c>
      <c r="G176" s="2" t="str">
        <f>IF(D176&lt;&gt;"",IF(VLOOKUP(VLOOKUP(E176,Beräkningshjälp!O$2:U$60,7,FALSE),Artuppgifter!$I$11:$P$22,8,FALSE)=TRUE,"Medelvikter!!","ALLA"),"")</f>
        <v/>
      </c>
      <c r="H176" s="2" t="str">
        <f>IF(D176&lt;&gt;"",VLOOKUP(ROW(H175),Beräkningshjälp!AC$2:AH$1082,COLUMN(Beräkningshjälp!AH$2)-COLUMN(Beräkningshjälp!AC$2)+1,FALSE),"")</f>
        <v/>
      </c>
      <c r="I176" s="116" t="str">
        <f>IF(D176&lt;&gt;"",VLOOKUP(ROW(E175),Beräkningshjälp!AC$2:AI$1082,COLUMN(Beräkningshjälp!AI$2)-COLUMN(Beräkningshjälp!AC$2)+1,FALSE),"")</f>
        <v/>
      </c>
    </row>
    <row r="177" spans="1:9" x14ac:dyDescent="0.25">
      <c r="A177" s="2" t="str">
        <f t="shared" si="4"/>
        <v/>
      </c>
      <c r="B177" s="136" t="str">
        <f>IF(D177&lt;&gt;"",'DATA TILL SLU'!$J$3,"")</f>
        <v/>
      </c>
      <c r="C177" s="146" t="str">
        <f>IF(D177&lt;&gt;"",'DATA TILL SLU'!$K$3,"")</f>
        <v/>
      </c>
      <c r="D177" s="2" t="str">
        <f>IF('DATA TILL SLU'!$D$7*1&lt;&gt;"",IF(COUNT(Beräkningshjälp!$AC$3:$AC$1082)&gt;=ROW(D176),'DATA TILL SLU'!$D$7*1,""),"")</f>
        <v/>
      </c>
      <c r="E177" s="136" t="str">
        <f>IF(D177&lt;&gt;"",VLOOKUP(ROW(E176),Beräkningshjälp!AC$2:AH$1082,COLUMN(Beräkningshjälp!AF$2)-COLUMN(Beräkningshjälp!AC$2)+1,FALSE),"")</f>
        <v/>
      </c>
      <c r="F177" s="352" t="str">
        <f t="shared" si="5"/>
        <v/>
      </c>
      <c r="G177" s="2" t="str">
        <f>IF(D177&lt;&gt;"",IF(VLOOKUP(VLOOKUP(E177,Beräkningshjälp!O$2:U$60,7,FALSE),Artuppgifter!$I$11:$P$22,8,FALSE)=TRUE,"Medelvikter!!","ALLA"),"")</f>
        <v/>
      </c>
      <c r="H177" s="2" t="str">
        <f>IF(D177&lt;&gt;"",VLOOKUP(ROW(H176),Beräkningshjälp!AC$2:AH$1082,COLUMN(Beräkningshjälp!AH$2)-COLUMN(Beräkningshjälp!AC$2)+1,FALSE),"")</f>
        <v/>
      </c>
      <c r="I177" s="116" t="str">
        <f>IF(D177&lt;&gt;"",VLOOKUP(ROW(E176),Beräkningshjälp!AC$2:AI$1082,COLUMN(Beräkningshjälp!AI$2)-COLUMN(Beräkningshjälp!AC$2)+1,FALSE),"")</f>
        <v/>
      </c>
    </row>
    <row r="178" spans="1:9" x14ac:dyDescent="0.25">
      <c r="A178" s="2" t="str">
        <f t="shared" si="4"/>
        <v/>
      </c>
      <c r="B178" s="136" t="str">
        <f>IF(D178&lt;&gt;"",'DATA TILL SLU'!$J$3,"")</f>
        <v/>
      </c>
      <c r="C178" s="146" t="str">
        <f>IF(D178&lt;&gt;"",'DATA TILL SLU'!$K$3,"")</f>
        <v/>
      </c>
      <c r="D178" s="2" t="str">
        <f>IF('DATA TILL SLU'!$D$7*1&lt;&gt;"",IF(COUNT(Beräkningshjälp!$AC$3:$AC$1082)&gt;=ROW(D177),'DATA TILL SLU'!$D$7*1,""),"")</f>
        <v/>
      </c>
      <c r="E178" s="136" t="str">
        <f>IF(D178&lt;&gt;"",VLOOKUP(ROW(E177),Beräkningshjälp!AC$2:AH$1082,COLUMN(Beräkningshjälp!AF$2)-COLUMN(Beräkningshjälp!AC$2)+1,FALSE),"")</f>
        <v/>
      </c>
      <c r="F178" s="352" t="str">
        <f t="shared" si="5"/>
        <v/>
      </c>
      <c r="G178" s="2" t="str">
        <f>IF(D178&lt;&gt;"",IF(VLOOKUP(VLOOKUP(E178,Beräkningshjälp!O$2:U$60,7,FALSE),Artuppgifter!$I$11:$P$22,8,FALSE)=TRUE,"Medelvikter!!","ALLA"),"")</f>
        <v/>
      </c>
      <c r="H178" s="2" t="str">
        <f>IF(D178&lt;&gt;"",VLOOKUP(ROW(H177),Beräkningshjälp!AC$2:AH$1082,COLUMN(Beräkningshjälp!AH$2)-COLUMN(Beräkningshjälp!AC$2)+1,FALSE),"")</f>
        <v/>
      </c>
      <c r="I178" s="116" t="str">
        <f>IF(D178&lt;&gt;"",VLOOKUP(ROW(E177),Beräkningshjälp!AC$2:AI$1082,COLUMN(Beräkningshjälp!AI$2)-COLUMN(Beräkningshjälp!AC$2)+1,FALSE),"")</f>
        <v/>
      </c>
    </row>
    <row r="179" spans="1:9" x14ac:dyDescent="0.25">
      <c r="A179" s="2" t="str">
        <f t="shared" si="4"/>
        <v/>
      </c>
      <c r="B179" s="136" t="str">
        <f>IF(D179&lt;&gt;"",'DATA TILL SLU'!$J$3,"")</f>
        <v/>
      </c>
      <c r="C179" s="146" t="str">
        <f>IF(D179&lt;&gt;"",'DATA TILL SLU'!$K$3,"")</f>
        <v/>
      </c>
      <c r="D179" s="2" t="str">
        <f>IF('DATA TILL SLU'!$D$7*1&lt;&gt;"",IF(COUNT(Beräkningshjälp!$AC$3:$AC$1082)&gt;=ROW(D178),'DATA TILL SLU'!$D$7*1,""),"")</f>
        <v/>
      </c>
      <c r="E179" s="136" t="str">
        <f>IF(D179&lt;&gt;"",VLOOKUP(ROW(E178),Beräkningshjälp!AC$2:AH$1082,COLUMN(Beräkningshjälp!AF$2)-COLUMN(Beräkningshjälp!AC$2)+1,FALSE),"")</f>
        <v/>
      </c>
      <c r="F179" s="352" t="str">
        <f t="shared" si="5"/>
        <v/>
      </c>
      <c r="G179" s="2" t="str">
        <f>IF(D179&lt;&gt;"",IF(VLOOKUP(VLOOKUP(E179,Beräkningshjälp!O$2:U$60,7,FALSE),Artuppgifter!$I$11:$P$22,8,FALSE)=TRUE,"Medelvikter!!","ALLA"),"")</f>
        <v/>
      </c>
      <c r="H179" s="2" t="str">
        <f>IF(D179&lt;&gt;"",VLOOKUP(ROW(H178),Beräkningshjälp!AC$2:AH$1082,COLUMN(Beräkningshjälp!AH$2)-COLUMN(Beräkningshjälp!AC$2)+1,FALSE),"")</f>
        <v/>
      </c>
      <c r="I179" s="116" t="str">
        <f>IF(D179&lt;&gt;"",VLOOKUP(ROW(E178),Beräkningshjälp!AC$2:AI$1082,COLUMN(Beräkningshjälp!AI$2)-COLUMN(Beräkningshjälp!AC$2)+1,FALSE),"")</f>
        <v/>
      </c>
    </row>
    <row r="180" spans="1:9" x14ac:dyDescent="0.25">
      <c r="A180" s="2" t="str">
        <f t="shared" si="4"/>
        <v/>
      </c>
      <c r="B180" s="136" t="str">
        <f>IF(D180&lt;&gt;"",'DATA TILL SLU'!$J$3,"")</f>
        <v/>
      </c>
      <c r="C180" s="146" t="str">
        <f>IF(D180&lt;&gt;"",'DATA TILL SLU'!$K$3,"")</f>
        <v/>
      </c>
      <c r="D180" s="2" t="str">
        <f>IF('DATA TILL SLU'!$D$7*1&lt;&gt;"",IF(COUNT(Beräkningshjälp!$AC$3:$AC$1082)&gt;=ROW(D179),'DATA TILL SLU'!$D$7*1,""),"")</f>
        <v/>
      </c>
      <c r="E180" s="136" t="str">
        <f>IF(D180&lt;&gt;"",VLOOKUP(ROW(E179),Beräkningshjälp!AC$2:AH$1082,COLUMN(Beräkningshjälp!AF$2)-COLUMN(Beräkningshjälp!AC$2)+1,FALSE),"")</f>
        <v/>
      </c>
      <c r="F180" s="352" t="str">
        <f t="shared" si="5"/>
        <v/>
      </c>
      <c r="G180" s="2" t="str">
        <f>IF(D180&lt;&gt;"",IF(VLOOKUP(VLOOKUP(E180,Beräkningshjälp!O$2:U$60,7,FALSE),Artuppgifter!$I$11:$P$22,8,FALSE)=TRUE,"Medelvikter!!","ALLA"),"")</f>
        <v/>
      </c>
      <c r="H180" s="2" t="str">
        <f>IF(D180&lt;&gt;"",VLOOKUP(ROW(H179),Beräkningshjälp!AC$2:AH$1082,COLUMN(Beräkningshjälp!AH$2)-COLUMN(Beräkningshjälp!AC$2)+1,FALSE),"")</f>
        <v/>
      </c>
      <c r="I180" s="116" t="str">
        <f>IF(D180&lt;&gt;"",VLOOKUP(ROW(E179),Beräkningshjälp!AC$2:AI$1082,COLUMN(Beräkningshjälp!AI$2)-COLUMN(Beräkningshjälp!AC$2)+1,FALSE),"")</f>
        <v/>
      </c>
    </row>
    <row r="181" spans="1:9" x14ac:dyDescent="0.25">
      <c r="A181" s="2" t="str">
        <f t="shared" si="4"/>
        <v/>
      </c>
      <c r="B181" s="136" t="str">
        <f>IF(D181&lt;&gt;"",'DATA TILL SLU'!$J$3,"")</f>
        <v/>
      </c>
      <c r="C181" s="146" t="str">
        <f>IF(D181&lt;&gt;"",'DATA TILL SLU'!$K$3,"")</f>
        <v/>
      </c>
      <c r="D181" s="2" t="str">
        <f>IF('DATA TILL SLU'!$D$7*1&lt;&gt;"",IF(COUNT(Beräkningshjälp!$AC$3:$AC$1082)&gt;=ROW(D180),'DATA TILL SLU'!$D$7*1,""),"")</f>
        <v/>
      </c>
      <c r="E181" s="136" t="str">
        <f>IF(D181&lt;&gt;"",VLOOKUP(ROW(E180),Beräkningshjälp!AC$2:AH$1082,COLUMN(Beräkningshjälp!AF$2)-COLUMN(Beräkningshjälp!AC$2)+1,FALSE),"")</f>
        <v/>
      </c>
      <c r="F181" s="352" t="str">
        <f t="shared" si="5"/>
        <v/>
      </c>
      <c r="G181" s="2" t="str">
        <f>IF(D181&lt;&gt;"",IF(VLOOKUP(VLOOKUP(E181,Beräkningshjälp!O$2:U$60,7,FALSE),Artuppgifter!$I$11:$P$22,8,FALSE)=TRUE,"Medelvikter!!","ALLA"),"")</f>
        <v/>
      </c>
      <c r="H181" s="2" t="str">
        <f>IF(D181&lt;&gt;"",VLOOKUP(ROW(H180),Beräkningshjälp!AC$2:AH$1082,COLUMN(Beräkningshjälp!AH$2)-COLUMN(Beräkningshjälp!AC$2)+1,FALSE),"")</f>
        <v/>
      </c>
      <c r="I181" s="116" t="str">
        <f>IF(D181&lt;&gt;"",VLOOKUP(ROW(E180),Beräkningshjälp!AC$2:AI$1082,COLUMN(Beräkningshjälp!AI$2)-COLUMN(Beräkningshjälp!AC$2)+1,FALSE),"")</f>
        <v/>
      </c>
    </row>
    <row r="182" spans="1:9" x14ac:dyDescent="0.25">
      <c r="A182" s="2" t="str">
        <f t="shared" si="4"/>
        <v/>
      </c>
      <c r="B182" s="136" t="str">
        <f>IF(D182&lt;&gt;"",'DATA TILL SLU'!$J$3,"")</f>
        <v/>
      </c>
      <c r="C182" s="146" t="str">
        <f>IF(D182&lt;&gt;"",'DATA TILL SLU'!$K$3,"")</f>
        <v/>
      </c>
      <c r="D182" s="2" t="str">
        <f>IF('DATA TILL SLU'!$D$7*1&lt;&gt;"",IF(COUNT(Beräkningshjälp!$AC$3:$AC$1082)&gt;=ROW(D181),'DATA TILL SLU'!$D$7*1,""),"")</f>
        <v/>
      </c>
      <c r="E182" s="136" t="str">
        <f>IF(D182&lt;&gt;"",VLOOKUP(ROW(E181),Beräkningshjälp!AC$2:AH$1082,COLUMN(Beräkningshjälp!AF$2)-COLUMN(Beräkningshjälp!AC$2)+1,FALSE),"")</f>
        <v/>
      </c>
      <c r="F182" s="352" t="str">
        <f t="shared" si="5"/>
        <v/>
      </c>
      <c r="G182" s="2" t="str">
        <f>IF(D182&lt;&gt;"",IF(VLOOKUP(VLOOKUP(E182,Beräkningshjälp!O$2:U$60,7,FALSE),Artuppgifter!$I$11:$P$22,8,FALSE)=TRUE,"Medelvikter!!","ALLA"),"")</f>
        <v/>
      </c>
      <c r="H182" s="2" t="str">
        <f>IF(D182&lt;&gt;"",VLOOKUP(ROW(H181),Beräkningshjälp!AC$2:AH$1082,COLUMN(Beräkningshjälp!AH$2)-COLUMN(Beräkningshjälp!AC$2)+1,FALSE),"")</f>
        <v/>
      </c>
      <c r="I182" s="116" t="str">
        <f>IF(D182&lt;&gt;"",VLOOKUP(ROW(E181),Beräkningshjälp!AC$2:AI$1082,COLUMN(Beräkningshjälp!AI$2)-COLUMN(Beräkningshjälp!AC$2)+1,FALSE),"")</f>
        <v/>
      </c>
    </row>
    <row r="183" spans="1:9" x14ac:dyDescent="0.25">
      <c r="A183" s="2" t="str">
        <f t="shared" si="4"/>
        <v/>
      </c>
      <c r="B183" s="136" t="str">
        <f>IF(D183&lt;&gt;"",'DATA TILL SLU'!$J$3,"")</f>
        <v/>
      </c>
      <c r="C183" s="146" t="str">
        <f>IF(D183&lt;&gt;"",'DATA TILL SLU'!$K$3,"")</f>
        <v/>
      </c>
      <c r="D183" s="2" t="str">
        <f>IF('DATA TILL SLU'!$D$7*1&lt;&gt;"",IF(COUNT(Beräkningshjälp!$AC$3:$AC$1082)&gt;=ROW(D182),'DATA TILL SLU'!$D$7*1,""),"")</f>
        <v/>
      </c>
      <c r="E183" s="136" t="str">
        <f>IF(D183&lt;&gt;"",VLOOKUP(ROW(E182),Beräkningshjälp!AC$2:AH$1082,COLUMN(Beräkningshjälp!AF$2)-COLUMN(Beräkningshjälp!AC$2)+1,FALSE),"")</f>
        <v/>
      </c>
      <c r="F183" s="352" t="str">
        <f t="shared" si="5"/>
        <v/>
      </c>
      <c r="G183" s="2" t="str">
        <f>IF(D183&lt;&gt;"",IF(VLOOKUP(VLOOKUP(E183,Beräkningshjälp!O$2:U$60,7,FALSE),Artuppgifter!$I$11:$P$22,8,FALSE)=TRUE,"Medelvikter!!","ALLA"),"")</f>
        <v/>
      </c>
      <c r="H183" s="2" t="str">
        <f>IF(D183&lt;&gt;"",VLOOKUP(ROW(H182),Beräkningshjälp!AC$2:AH$1082,COLUMN(Beräkningshjälp!AH$2)-COLUMN(Beräkningshjälp!AC$2)+1,FALSE),"")</f>
        <v/>
      </c>
      <c r="I183" s="116" t="str">
        <f>IF(D183&lt;&gt;"",VLOOKUP(ROW(E182),Beräkningshjälp!AC$2:AI$1082,COLUMN(Beräkningshjälp!AI$2)-COLUMN(Beräkningshjälp!AC$2)+1,FALSE),"")</f>
        <v/>
      </c>
    </row>
    <row r="184" spans="1:9" x14ac:dyDescent="0.25">
      <c r="A184" s="2" t="str">
        <f t="shared" si="4"/>
        <v/>
      </c>
      <c r="B184" s="136" t="str">
        <f>IF(D184&lt;&gt;"",'DATA TILL SLU'!$J$3,"")</f>
        <v/>
      </c>
      <c r="C184" s="146" t="str">
        <f>IF(D184&lt;&gt;"",'DATA TILL SLU'!$K$3,"")</f>
        <v/>
      </c>
      <c r="D184" s="2" t="str">
        <f>IF('DATA TILL SLU'!$D$7*1&lt;&gt;"",IF(COUNT(Beräkningshjälp!$AC$3:$AC$1082)&gt;=ROW(D183),'DATA TILL SLU'!$D$7*1,""),"")</f>
        <v/>
      </c>
      <c r="E184" s="136" t="str">
        <f>IF(D184&lt;&gt;"",VLOOKUP(ROW(E183),Beräkningshjälp!AC$2:AH$1082,COLUMN(Beräkningshjälp!AF$2)-COLUMN(Beräkningshjälp!AC$2)+1,FALSE),"")</f>
        <v/>
      </c>
      <c r="F184" s="352" t="str">
        <f t="shared" si="5"/>
        <v/>
      </c>
      <c r="G184" s="2" t="str">
        <f>IF(D184&lt;&gt;"",IF(VLOOKUP(VLOOKUP(E184,Beräkningshjälp!O$2:U$60,7,FALSE),Artuppgifter!$I$11:$P$22,8,FALSE)=TRUE,"Medelvikter!!","ALLA"),"")</f>
        <v/>
      </c>
      <c r="H184" s="2" t="str">
        <f>IF(D184&lt;&gt;"",VLOOKUP(ROW(H183),Beräkningshjälp!AC$2:AH$1082,COLUMN(Beräkningshjälp!AH$2)-COLUMN(Beräkningshjälp!AC$2)+1,FALSE),"")</f>
        <v/>
      </c>
      <c r="I184" s="116" t="str">
        <f>IF(D184&lt;&gt;"",VLOOKUP(ROW(E183),Beräkningshjälp!AC$2:AI$1082,COLUMN(Beräkningshjälp!AI$2)-COLUMN(Beräkningshjälp!AC$2)+1,FALSE),"")</f>
        <v/>
      </c>
    </row>
    <row r="185" spans="1:9" x14ac:dyDescent="0.25">
      <c r="A185" s="2" t="str">
        <f t="shared" si="4"/>
        <v/>
      </c>
      <c r="B185" s="136" t="str">
        <f>IF(D185&lt;&gt;"",'DATA TILL SLU'!$J$3,"")</f>
        <v/>
      </c>
      <c r="C185" s="146" t="str">
        <f>IF(D185&lt;&gt;"",'DATA TILL SLU'!$K$3,"")</f>
        <v/>
      </c>
      <c r="D185" s="2" t="str">
        <f>IF('DATA TILL SLU'!$D$7*1&lt;&gt;"",IF(COUNT(Beräkningshjälp!$AC$3:$AC$1082)&gt;=ROW(D184),'DATA TILL SLU'!$D$7*1,""),"")</f>
        <v/>
      </c>
      <c r="E185" s="136" t="str">
        <f>IF(D185&lt;&gt;"",VLOOKUP(ROW(E184),Beräkningshjälp!AC$2:AH$1082,COLUMN(Beräkningshjälp!AF$2)-COLUMN(Beräkningshjälp!AC$2)+1,FALSE),"")</f>
        <v/>
      </c>
      <c r="F185" s="352" t="str">
        <f t="shared" si="5"/>
        <v/>
      </c>
      <c r="G185" s="2" t="str">
        <f>IF(D185&lt;&gt;"",IF(VLOOKUP(VLOOKUP(E185,Beräkningshjälp!O$2:U$60,7,FALSE),Artuppgifter!$I$11:$P$22,8,FALSE)=TRUE,"Medelvikter!!","ALLA"),"")</f>
        <v/>
      </c>
      <c r="H185" s="2" t="str">
        <f>IF(D185&lt;&gt;"",VLOOKUP(ROW(H184),Beräkningshjälp!AC$2:AH$1082,COLUMN(Beräkningshjälp!AH$2)-COLUMN(Beräkningshjälp!AC$2)+1,FALSE),"")</f>
        <v/>
      </c>
      <c r="I185" s="116" t="str">
        <f>IF(D185&lt;&gt;"",VLOOKUP(ROW(E184),Beräkningshjälp!AC$2:AI$1082,COLUMN(Beräkningshjälp!AI$2)-COLUMN(Beräkningshjälp!AC$2)+1,FALSE),"")</f>
        <v/>
      </c>
    </row>
    <row r="186" spans="1:9" x14ac:dyDescent="0.25">
      <c r="A186" s="2" t="str">
        <f t="shared" si="4"/>
        <v/>
      </c>
      <c r="B186" s="136" t="str">
        <f>IF(D186&lt;&gt;"",'DATA TILL SLU'!$J$3,"")</f>
        <v/>
      </c>
      <c r="C186" s="146" t="str">
        <f>IF(D186&lt;&gt;"",'DATA TILL SLU'!$K$3,"")</f>
        <v/>
      </c>
      <c r="D186" s="2" t="str">
        <f>IF('DATA TILL SLU'!$D$7*1&lt;&gt;"",IF(COUNT(Beräkningshjälp!$AC$3:$AC$1082)&gt;=ROW(D185),'DATA TILL SLU'!$D$7*1,""),"")</f>
        <v/>
      </c>
      <c r="E186" s="136" t="str">
        <f>IF(D186&lt;&gt;"",VLOOKUP(ROW(E185),Beräkningshjälp!AC$2:AH$1082,COLUMN(Beräkningshjälp!AF$2)-COLUMN(Beräkningshjälp!AC$2)+1,FALSE),"")</f>
        <v/>
      </c>
      <c r="F186" s="352" t="str">
        <f t="shared" si="5"/>
        <v/>
      </c>
      <c r="G186" s="2" t="str">
        <f>IF(D186&lt;&gt;"",IF(VLOOKUP(VLOOKUP(E186,Beräkningshjälp!O$2:U$60,7,FALSE),Artuppgifter!$I$11:$P$22,8,FALSE)=TRUE,"Medelvikter!!","ALLA"),"")</f>
        <v/>
      </c>
      <c r="H186" s="2" t="str">
        <f>IF(D186&lt;&gt;"",VLOOKUP(ROW(H185),Beräkningshjälp!AC$2:AH$1082,COLUMN(Beräkningshjälp!AH$2)-COLUMN(Beräkningshjälp!AC$2)+1,FALSE),"")</f>
        <v/>
      </c>
      <c r="I186" s="116" t="str">
        <f>IF(D186&lt;&gt;"",VLOOKUP(ROW(E185),Beräkningshjälp!AC$2:AI$1082,COLUMN(Beräkningshjälp!AI$2)-COLUMN(Beräkningshjälp!AC$2)+1,FALSE),"")</f>
        <v/>
      </c>
    </row>
    <row r="187" spans="1:9" x14ac:dyDescent="0.25">
      <c r="A187" s="2" t="str">
        <f t="shared" si="4"/>
        <v/>
      </c>
      <c r="B187" s="136" t="str">
        <f>IF(D187&lt;&gt;"",'DATA TILL SLU'!$J$3,"")</f>
        <v/>
      </c>
      <c r="C187" s="146" t="str">
        <f>IF(D187&lt;&gt;"",'DATA TILL SLU'!$K$3,"")</f>
        <v/>
      </c>
      <c r="D187" s="2" t="str">
        <f>IF('DATA TILL SLU'!$D$7*1&lt;&gt;"",IF(COUNT(Beräkningshjälp!$AC$3:$AC$1082)&gt;=ROW(D186),'DATA TILL SLU'!$D$7*1,""),"")</f>
        <v/>
      </c>
      <c r="E187" s="136" t="str">
        <f>IF(D187&lt;&gt;"",VLOOKUP(ROW(E186),Beräkningshjälp!AC$2:AH$1082,COLUMN(Beräkningshjälp!AF$2)-COLUMN(Beräkningshjälp!AC$2)+1,FALSE),"")</f>
        <v/>
      </c>
      <c r="F187" s="352" t="str">
        <f t="shared" si="5"/>
        <v/>
      </c>
      <c r="G187" s="2" t="str">
        <f>IF(D187&lt;&gt;"",IF(VLOOKUP(VLOOKUP(E187,Beräkningshjälp!O$2:U$60,7,FALSE),Artuppgifter!$I$11:$P$22,8,FALSE)=TRUE,"Medelvikter!!","ALLA"),"")</f>
        <v/>
      </c>
      <c r="H187" s="2" t="str">
        <f>IF(D187&lt;&gt;"",VLOOKUP(ROW(H186),Beräkningshjälp!AC$2:AH$1082,COLUMN(Beräkningshjälp!AH$2)-COLUMN(Beräkningshjälp!AC$2)+1,FALSE),"")</f>
        <v/>
      </c>
      <c r="I187" s="116" t="str">
        <f>IF(D187&lt;&gt;"",VLOOKUP(ROW(E186),Beräkningshjälp!AC$2:AI$1082,COLUMN(Beräkningshjälp!AI$2)-COLUMN(Beräkningshjälp!AC$2)+1,FALSE),"")</f>
        <v/>
      </c>
    </row>
    <row r="188" spans="1:9" x14ac:dyDescent="0.25">
      <c r="A188" s="2" t="str">
        <f t="shared" si="4"/>
        <v/>
      </c>
      <c r="B188" s="136" t="str">
        <f>IF(D188&lt;&gt;"",'DATA TILL SLU'!$J$3,"")</f>
        <v/>
      </c>
      <c r="C188" s="146" t="str">
        <f>IF(D188&lt;&gt;"",'DATA TILL SLU'!$K$3,"")</f>
        <v/>
      </c>
      <c r="D188" s="2" t="str">
        <f>IF('DATA TILL SLU'!$D$7*1&lt;&gt;"",IF(COUNT(Beräkningshjälp!$AC$3:$AC$1082)&gt;=ROW(D187),'DATA TILL SLU'!$D$7*1,""),"")</f>
        <v/>
      </c>
      <c r="E188" s="136" t="str">
        <f>IF(D188&lt;&gt;"",VLOOKUP(ROW(E187),Beräkningshjälp!AC$2:AH$1082,COLUMN(Beräkningshjälp!AF$2)-COLUMN(Beräkningshjälp!AC$2)+1,FALSE),"")</f>
        <v/>
      </c>
      <c r="F188" s="352" t="str">
        <f t="shared" si="5"/>
        <v/>
      </c>
      <c r="G188" s="2" t="str">
        <f>IF(D188&lt;&gt;"",IF(VLOOKUP(VLOOKUP(E188,Beräkningshjälp!O$2:U$60,7,FALSE),Artuppgifter!$I$11:$P$22,8,FALSE)=TRUE,"Medelvikter!!","ALLA"),"")</f>
        <v/>
      </c>
      <c r="H188" s="2" t="str">
        <f>IF(D188&lt;&gt;"",VLOOKUP(ROW(H187),Beräkningshjälp!AC$2:AH$1082,COLUMN(Beräkningshjälp!AH$2)-COLUMN(Beräkningshjälp!AC$2)+1,FALSE),"")</f>
        <v/>
      </c>
      <c r="I188" s="116" t="str">
        <f>IF(D188&lt;&gt;"",VLOOKUP(ROW(E187),Beräkningshjälp!AC$2:AI$1082,COLUMN(Beräkningshjälp!AI$2)-COLUMN(Beräkningshjälp!AC$2)+1,FALSE),"")</f>
        <v/>
      </c>
    </row>
    <row r="189" spans="1:9" x14ac:dyDescent="0.25">
      <c r="A189" s="2" t="str">
        <f t="shared" si="4"/>
        <v/>
      </c>
      <c r="B189" s="136" t="str">
        <f>IF(D189&lt;&gt;"",'DATA TILL SLU'!$J$3,"")</f>
        <v/>
      </c>
      <c r="C189" s="146" t="str">
        <f>IF(D189&lt;&gt;"",'DATA TILL SLU'!$K$3,"")</f>
        <v/>
      </c>
      <c r="D189" s="2" t="str">
        <f>IF('DATA TILL SLU'!$D$7*1&lt;&gt;"",IF(COUNT(Beräkningshjälp!$AC$3:$AC$1082)&gt;=ROW(D188),'DATA TILL SLU'!$D$7*1,""),"")</f>
        <v/>
      </c>
      <c r="E189" s="136" t="str">
        <f>IF(D189&lt;&gt;"",VLOOKUP(ROW(E188),Beräkningshjälp!AC$2:AH$1082,COLUMN(Beräkningshjälp!AF$2)-COLUMN(Beräkningshjälp!AC$2)+1,FALSE),"")</f>
        <v/>
      </c>
      <c r="F189" s="352" t="str">
        <f t="shared" si="5"/>
        <v/>
      </c>
      <c r="G189" s="2" t="str">
        <f>IF(D189&lt;&gt;"",IF(VLOOKUP(VLOOKUP(E189,Beräkningshjälp!O$2:U$60,7,FALSE),Artuppgifter!$I$11:$P$22,8,FALSE)=TRUE,"Medelvikter!!","ALLA"),"")</f>
        <v/>
      </c>
      <c r="H189" s="2" t="str">
        <f>IF(D189&lt;&gt;"",VLOOKUP(ROW(H188),Beräkningshjälp!AC$2:AH$1082,COLUMN(Beräkningshjälp!AH$2)-COLUMN(Beräkningshjälp!AC$2)+1,FALSE),"")</f>
        <v/>
      </c>
      <c r="I189" s="116" t="str">
        <f>IF(D189&lt;&gt;"",VLOOKUP(ROW(E188),Beräkningshjälp!AC$2:AI$1082,COLUMN(Beräkningshjälp!AI$2)-COLUMN(Beräkningshjälp!AC$2)+1,FALSE),"")</f>
        <v/>
      </c>
    </row>
    <row r="190" spans="1:9" x14ac:dyDescent="0.25">
      <c r="A190" s="2" t="str">
        <f t="shared" si="4"/>
        <v/>
      </c>
      <c r="B190" s="136" t="str">
        <f>IF(D190&lt;&gt;"",'DATA TILL SLU'!$J$3,"")</f>
        <v/>
      </c>
      <c r="C190" s="146" t="str">
        <f>IF(D190&lt;&gt;"",'DATA TILL SLU'!$K$3,"")</f>
        <v/>
      </c>
      <c r="D190" s="2" t="str">
        <f>IF('DATA TILL SLU'!$D$7*1&lt;&gt;"",IF(COUNT(Beräkningshjälp!$AC$3:$AC$1082)&gt;=ROW(D189),'DATA TILL SLU'!$D$7*1,""),"")</f>
        <v/>
      </c>
      <c r="E190" s="136" t="str">
        <f>IF(D190&lt;&gt;"",VLOOKUP(ROW(E189),Beräkningshjälp!AC$2:AH$1082,COLUMN(Beräkningshjälp!AF$2)-COLUMN(Beräkningshjälp!AC$2)+1,FALSE),"")</f>
        <v/>
      </c>
      <c r="F190" s="352" t="str">
        <f t="shared" si="5"/>
        <v/>
      </c>
      <c r="G190" s="2" t="str">
        <f>IF(D190&lt;&gt;"",IF(VLOOKUP(VLOOKUP(E190,Beräkningshjälp!O$2:U$60,7,FALSE),Artuppgifter!$I$11:$P$22,8,FALSE)=TRUE,"Medelvikter!!","ALLA"),"")</f>
        <v/>
      </c>
      <c r="H190" s="2" t="str">
        <f>IF(D190&lt;&gt;"",VLOOKUP(ROW(H189),Beräkningshjälp!AC$2:AH$1082,COLUMN(Beräkningshjälp!AH$2)-COLUMN(Beräkningshjälp!AC$2)+1,FALSE),"")</f>
        <v/>
      </c>
      <c r="I190" s="116" t="str">
        <f>IF(D190&lt;&gt;"",VLOOKUP(ROW(E189),Beräkningshjälp!AC$2:AI$1082,COLUMN(Beräkningshjälp!AI$2)-COLUMN(Beräkningshjälp!AC$2)+1,FALSE),"")</f>
        <v/>
      </c>
    </row>
    <row r="191" spans="1:9" x14ac:dyDescent="0.25">
      <c r="A191" s="2" t="str">
        <f t="shared" si="4"/>
        <v/>
      </c>
      <c r="B191" s="136" t="str">
        <f>IF(D191&lt;&gt;"",'DATA TILL SLU'!$J$3,"")</f>
        <v/>
      </c>
      <c r="C191" s="146" t="str">
        <f>IF(D191&lt;&gt;"",'DATA TILL SLU'!$K$3,"")</f>
        <v/>
      </c>
      <c r="D191" s="2" t="str">
        <f>IF('DATA TILL SLU'!$D$7*1&lt;&gt;"",IF(COUNT(Beräkningshjälp!$AC$3:$AC$1082)&gt;=ROW(D190),'DATA TILL SLU'!$D$7*1,""),"")</f>
        <v/>
      </c>
      <c r="E191" s="136" t="str">
        <f>IF(D191&lt;&gt;"",VLOOKUP(ROW(E190),Beräkningshjälp!AC$2:AH$1082,COLUMN(Beräkningshjälp!AF$2)-COLUMN(Beräkningshjälp!AC$2)+1,FALSE),"")</f>
        <v/>
      </c>
      <c r="F191" s="352" t="str">
        <f t="shared" si="5"/>
        <v/>
      </c>
      <c r="G191" s="2" t="str">
        <f>IF(D191&lt;&gt;"",IF(VLOOKUP(VLOOKUP(E191,Beräkningshjälp!O$2:U$60,7,FALSE),Artuppgifter!$I$11:$P$22,8,FALSE)=TRUE,"Medelvikter!!","ALLA"),"")</f>
        <v/>
      </c>
      <c r="H191" s="2" t="str">
        <f>IF(D191&lt;&gt;"",VLOOKUP(ROW(H190),Beräkningshjälp!AC$2:AH$1082,COLUMN(Beräkningshjälp!AH$2)-COLUMN(Beräkningshjälp!AC$2)+1,FALSE),"")</f>
        <v/>
      </c>
      <c r="I191" s="116" t="str">
        <f>IF(D191&lt;&gt;"",VLOOKUP(ROW(E190),Beräkningshjälp!AC$2:AI$1082,COLUMN(Beräkningshjälp!AI$2)-COLUMN(Beräkningshjälp!AC$2)+1,FALSE),"")</f>
        <v/>
      </c>
    </row>
    <row r="192" spans="1:9" x14ac:dyDescent="0.25">
      <c r="A192" s="2" t="str">
        <f t="shared" si="4"/>
        <v/>
      </c>
      <c r="B192" s="136" t="str">
        <f>IF(D192&lt;&gt;"",'DATA TILL SLU'!$J$3,"")</f>
        <v/>
      </c>
      <c r="C192" s="146" t="str">
        <f>IF(D192&lt;&gt;"",'DATA TILL SLU'!$K$3,"")</f>
        <v/>
      </c>
      <c r="D192" s="2" t="str">
        <f>IF('DATA TILL SLU'!$D$7*1&lt;&gt;"",IF(COUNT(Beräkningshjälp!$AC$3:$AC$1082)&gt;=ROW(D191),'DATA TILL SLU'!$D$7*1,""),"")</f>
        <v/>
      </c>
      <c r="E192" s="136" t="str">
        <f>IF(D192&lt;&gt;"",VLOOKUP(ROW(E191),Beräkningshjälp!AC$2:AH$1082,COLUMN(Beräkningshjälp!AF$2)-COLUMN(Beräkningshjälp!AC$2)+1,FALSE),"")</f>
        <v/>
      </c>
      <c r="F192" s="352" t="str">
        <f t="shared" si="5"/>
        <v/>
      </c>
      <c r="G192" s="2" t="str">
        <f>IF(D192&lt;&gt;"",IF(VLOOKUP(VLOOKUP(E192,Beräkningshjälp!O$2:U$60,7,FALSE),Artuppgifter!$I$11:$P$22,8,FALSE)=TRUE,"Medelvikter!!","ALLA"),"")</f>
        <v/>
      </c>
      <c r="H192" s="2" t="str">
        <f>IF(D192&lt;&gt;"",VLOOKUP(ROW(H191),Beräkningshjälp!AC$2:AH$1082,COLUMN(Beräkningshjälp!AH$2)-COLUMN(Beräkningshjälp!AC$2)+1,FALSE),"")</f>
        <v/>
      </c>
      <c r="I192" s="116" t="str">
        <f>IF(D192&lt;&gt;"",VLOOKUP(ROW(E191),Beräkningshjälp!AC$2:AI$1082,COLUMN(Beräkningshjälp!AI$2)-COLUMN(Beräkningshjälp!AC$2)+1,FALSE),"")</f>
        <v/>
      </c>
    </row>
    <row r="193" spans="1:9" x14ac:dyDescent="0.25">
      <c r="A193" s="2" t="str">
        <f t="shared" si="4"/>
        <v/>
      </c>
      <c r="B193" s="136" t="str">
        <f>IF(D193&lt;&gt;"",'DATA TILL SLU'!$J$3,"")</f>
        <v/>
      </c>
      <c r="C193" s="146" t="str">
        <f>IF(D193&lt;&gt;"",'DATA TILL SLU'!$K$3,"")</f>
        <v/>
      </c>
      <c r="D193" s="2" t="str">
        <f>IF('DATA TILL SLU'!$D$7*1&lt;&gt;"",IF(COUNT(Beräkningshjälp!$AC$3:$AC$1082)&gt;=ROW(D192),'DATA TILL SLU'!$D$7*1,""),"")</f>
        <v/>
      </c>
      <c r="E193" s="136" t="str">
        <f>IF(D193&lt;&gt;"",VLOOKUP(ROW(E192),Beräkningshjälp!AC$2:AH$1082,COLUMN(Beräkningshjälp!AF$2)-COLUMN(Beräkningshjälp!AC$2)+1,FALSE),"")</f>
        <v/>
      </c>
      <c r="F193" s="352" t="str">
        <f t="shared" si="5"/>
        <v/>
      </c>
      <c r="G193" s="2" t="str">
        <f>IF(D193&lt;&gt;"",IF(VLOOKUP(VLOOKUP(E193,Beräkningshjälp!O$2:U$60,7,FALSE),Artuppgifter!$I$11:$P$22,8,FALSE)=TRUE,"Medelvikter!!","ALLA"),"")</f>
        <v/>
      </c>
      <c r="H193" s="2" t="str">
        <f>IF(D193&lt;&gt;"",VLOOKUP(ROW(H192),Beräkningshjälp!AC$2:AH$1082,COLUMN(Beräkningshjälp!AH$2)-COLUMN(Beräkningshjälp!AC$2)+1,FALSE),"")</f>
        <v/>
      </c>
      <c r="I193" s="116" t="str">
        <f>IF(D193&lt;&gt;"",VLOOKUP(ROW(E192),Beräkningshjälp!AC$2:AI$1082,COLUMN(Beräkningshjälp!AI$2)-COLUMN(Beräkningshjälp!AC$2)+1,FALSE),"")</f>
        <v/>
      </c>
    </row>
    <row r="194" spans="1:9" x14ac:dyDescent="0.25">
      <c r="A194" s="2" t="str">
        <f t="shared" si="4"/>
        <v/>
      </c>
      <c r="B194" s="136" t="str">
        <f>IF(D194&lt;&gt;"",'DATA TILL SLU'!$J$3,"")</f>
        <v/>
      </c>
      <c r="C194" s="146" t="str">
        <f>IF(D194&lt;&gt;"",'DATA TILL SLU'!$K$3,"")</f>
        <v/>
      </c>
      <c r="D194" s="2" t="str">
        <f>IF('DATA TILL SLU'!$D$7*1&lt;&gt;"",IF(COUNT(Beräkningshjälp!$AC$3:$AC$1082)&gt;=ROW(D193),'DATA TILL SLU'!$D$7*1,""),"")</f>
        <v/>
      </c>
      <c r="E194" s="136" t="str">
        <f>IF(D194&lt;&gt;"",VLOOKUP(ROW(E193),Beräkningshjälp!AC$2:AH$1082,COLUMN(Beräkningshjälp!AF$2)-COLUMN(Beräkningshjälp!AC$2)+1,FALSE),"")</f>
        <v/>
      </c>
      <c r="F194" s="352" t="str">
        <f t="shared" si="5"/>
        <v/>
      </c>
      <c r="G194" s="2" t="str">
        <f>IF(D194&lt;&gt;"",IF(VLOOKUP(VLOOKUP(E194,Beräkningshjälp!O$2:U$60,7,FALSE),Artuppgifter!$I$11:$P$22,8,FALSE)=TRUE,"Medelvikter!!","ALLA"),"")</f>
        <v/>
      </c>
      <c r="H194" s="2" t="str">
        <f>IF(D194&lt;&gt;"",VLOOKUP(ROW(H193),Beräkningshjälp!AC$2:AH$1082,COLUMN(Beräkningshjälp!AH$2)-COLUMN(Beräkningshjälp!AC$2)+1,FALSE),"")</f>
        <v/>
      </c>
      <c r="I194" s="116" t="str">
        <f>IF(D194&lt;&gt;"",VLOOKUP(ROW(E193),Beräkningshjälp!AC$2:AI$1082,COLUMN(Beräkningshjälp!AI$2)-COLUMN(Beräkningshjälp!AC$2)+1,FALSE),"")</f>
        <v/>
      </c>
    </row>
    <row r="195" spans="1:9" x14ac:dyDescent="0.25">
      <c r="A195" s="2" t="str">
        <f t="shared" ref="A195:A258" si="6">IF(D195&lt;&gt;"","LANGDVIKTER","")</f>
        <v/>
      </c>
      <c r="B195" s="136" t="str">
        <f>IF(D195&lt;&gt;"",'DATA TILL SLU'!$J$3,"")</f>
        <v/>
      </c>
      <c r="C195" s="146" t="str">
        <f>IF(D195&lt;&gt;"",'DATA TILL SLU'!$K$3,"")</f>
        <v/>
      </c>
      <c r="D195" s="2" t="str">
        <f>IF('DATA TILL SLU'!$D$7*1&lt;&gt;"",IF(COUNT(Beräkningshjälp!$AC$3:$AC$1082)&gt;=ROW(D194),'DATA TILL SLU'!$D$7*1,""),"")</f>
        <v/>
      </c>
      <c r="E195" s="136" t="str">
        <f>IF(D195&lt;&gt;"",VLOOKUP(ROW(E194),Beräkningshjälp!AC$2:AH$1082,COLUMN(Beräkningshjälp!AF$2)-COLUMN(Beräkningshjälp!AC$2)+1,FALSE),"")</f>
        <v/>
      </c>
      <c r="F195" s="352" t="str">
        <f t="shared" ref="F195:F258" si="7">IF(D195&lt;&gt;"","IND","")</f>
        <v/>
      </c>
      <c r="G195" s="2" t="str">
        <f>IF(D195&lt;&gt;"",IF(VLOOKUP(VLOOKUP(E195,Beräkningshjälp!O$2:U$60,7,FALSE),Artuppgifter!$I$11:$P$22,8,FALSE)=TRUE,"Medelvikter!!","ALLA"),"")</f>
        <v/>
      </c>
      <c r="H195" s="2" t="str">
        <f>IF(D195&lt;&gt;"",VLOOKUP(ROW(H194),Beräkningshjälp!AC$2:AH$1082,COLUMN(Beräkningshjälp!AH$2)-COLUMN(Beräkningshjälp!AC$2)+1,FALSE),"")</f>
        <v/>
      </c>
      <c r="I195" s="116" t="str">
        <f>IF(D195&lt;&gt;"",VLOOKUP(ROW(E194),Beräkningshjälp!AC$2:AI$1082,COLUMN(Beräkningshjälp!AI$2)-COLUMN(Beräkningshjälp!AC$2)+1,FALSE),"")</f>
        <v/>
      </c>
    </row>
    <row r="196" spans="1:9" x14ac:dyDescent="0.25">
      <c r="A196" s="2" t="str">
        <f t="shared" si="6"/>
        <v/>
      </c>
      <c r="B196" s="136" t="str">
        <f>IF(D196&lt;&gt;"",'DATA TILL SLU'!$J$3,"")</f>
        <v/>
      </c>
      <c r="C196" s="146" t="str">
        <f>IF(D196&lt;&gt;"",'DATA TILL SLU'!$K$3,"")</f>
        <v/>
      </c>
      <c r="D196" s="2" t="str">
        <f>IF('DATA TILL SLU'!$D$7*1&lt;&gt;"",IF(COUNT(Beräkningshjälp!$AC$3:$AC$1082)&gt;=ROW(D195),'DATA TILL SLU'!$D$7*1,""),"")</f>
        <v/>
      </c>
      <c r="E196" s="136" t="str">
        <f>IF(D196&lt;&gt;"",VLOOKUP(ROW(E195),Beräkningshjälp!AC$2:AH$1082,COLUMN(Beräkningshjälp!AF$2)-COLUMN(Beräkningshjälp!AC$2)+1,FALSE),"")</f>
        <v/>
      </c>
      <c r="F196" s="352" t="str">
        <f t="shared" si="7"/>
        <v/>
      </c>
      <c r="G196" s="2" t="str">
        <f>IF(D196&lt;&gt;"",IF(VLOOKUP(VLOOKUP(E196,Beräkningshjälp!O$2:U$60,7,FALSE),Artuppgifter!$I$11:$P$22,8,FALSE)=TRUE,"Medelvikter!!","ALLA"),"")</f>
        <v/>
      </c>
      <c r="H196" s="2" t="str">
        <f>IF(D196&lt;&gt;"",VLOOKUP(ROW(H195),Beräkningshjälp!AC$2:AH$1082,COLUMN(Beräkningshjälp!AH$2)-COLUMN(Beräkningshjälp!AC$2)+1,FALSE),"")</f>
        <v/>
      </c>
      <c r="I196" s="116" t="str">
        <f>IF(D196&lt;&gt;"",VLOOKUP(ROW(E195),Beräkningshjälp!AC$2:AI$1082,COLUMN(Beräkningshjälp!AI$2)-COLUMN(Beräkningshjälp!AC$2)+1,FALSE),"")</f>
        <v/>
      </c>
    </row>
    <row r="197" spans="1:9" x14ac:dyDescent="0.25">
      <c r="A197" s="2" t="str">
        <f t="shared" si="6"/>
        <v/>
      </c>
      <c r="B197" s="136" t="str">
        <f>IF(D197&lt;&gt;"",'DATA TILL SLU'!$J$3,"")</f>
        <v/>
      </c>
      <c r="C197" s="146" t="str">
        <f>IF(D197&lt;&gt;"",'DATA TILL SLU'!$K$3,"")</f>
        <v/>
      </c>
      <c r="D197" s="2" t="str">
        <f>IF('DATA TILL SLU'!$D$7*1&lt;&gt;"",IF(COUNT(Beräkningshjälp!$AC$3:$AC$1082)&gt;=ROW(D196),'DATA TILL SLU'!$D$7*1,""),"")</f>
        <v/>
      </c>
      <c r="E197" s="136" t="str">
        <f>IF(D197&lt;&gt;"",VLOOKUP(ROW(E196),Beräkningshjälp!AC$2:AH$1082,COLUMN(Beräkningshjälp!AF$2)-COLUMN(Beräkningshjälp!AC$2)+1,FALSE),"")</f>
        <v/>
      </c>
      <c r="F197" s="352" t="str">
        <f t="shared" si="7"/>
        <v/>
      </c>
      <c r="G197" s="2" t="str">
        <f>IF(D197&lt;&gt;"",IF(VLOOKUP(VLOOKUP(E197,Beräkningshjälp!O$2:U$60,7,FALSE),Artuppgifter!$I$11:$P$22,8,FALSE)=TRUE,"Medelvikter!!","ALLA"),"")</f>
        <v/>
      </c>
      <c r="H197" s="2" t="str">
        <f>IF(D197&lt;&gt;"",VLOOKUP(ROW(H196),Beräkningshjälp!AC$2:AH$1082,COLUMN(Beräkningshjälp!AH$2)-COLUMN(Beräkningshjälp!AC$2)+1,FALSE),"")</f>
        <v/>
      </c>
      <c r="I197" s="116" t="str">
        <f>IF(D197&lt;&gt;"",VLOOKUP(ROW(E196),Beräkningshjälp!AC$2:AI$1082,COLUMN(Beräkningshjälp!AI$2)-COLUMN(Beräkningshjälp!AC$2)+1,FALSE),"")</f>
        <v/>
      </c>
    </row>
    <row r="198" spans="1:9" x14ac:dyDescent="0.25">
      <c r="A198" s="2" t="str">
        <f t="shared" si="6"/>
        <v/>
      </c>
      <c r="B198" s="136" t="str">
        <f>IF(D198&lt;&gt;"",'DATA TILL SLU'!$J$3,"")</f>
        <v/>
      </c>
      <c r="C198" s="146" t="str">
        <f>IF(D198&lt;&gt;"",'DATA TILL SLU'!$K$3,"")</f>
        <v/>
      </c>
      <c r="D198" s="2" t="str">
        <f>IF('DATA TILL SLU'!$D$7*1&lt;&gt;"",IF(COUNT(Beräkningshjälp!$AC$3:$AC$1082)&gt;=ROW(D197),'DATA TILL SLU'!$D$7*1,""),"")</f>
        <v/>
      </c>
      <c r="E198" s="136" t="str">
        <f>IF(D198&lt;&gt;"",VLOOKUP(ROW(E197),Beräkningshjälp!AC$2:AH$1082,COLUMN(Beräkningshjälp!AF$2)-COLUMN(Beräkningshjälp!AC$2)+1,FALSE),"")</f>
        <v/>
      </c>
      <c r="F198" s="352" t="str">
        <f t="shared" si="7"/>
        <v/>
      </c>
      <c r="G198" s="2" t="str">
        <f>IF(D198&lt;&gt;"",IF(VLOOKUP(VLOOKUP(E198,Beräkningshjälp!O$2:U$60,7,FALSE),Artuppgifter!$I$11:$P$22,8,FALSE)=TRUE,"Medelvikter!!","ALLA"),"")</f>
        <v/>
      </c>
      <c r="H198" s="2" t="str">
        <f>IF(D198&lt;&gt;"",VLOOKUP(ROW(H197),Beräkningshjälp!AC$2:AH$1082,COLUMN(Beräkningshjälp!AH$2)-COLUMN(Beräkningshjälp!AC$2)+1,FALSE),"")</f>
        <v/>
      </c>
      <c r="I198" s="116" t="str">
        <f>IF(D198&lt;&gt;"",VLOOKUP(ROW(E197),Beräkningshjälp!AC$2:AI$1082,COLUMN(Beräkningshjälp!AI$2)-COLUMN(Beräkningshjälp!AC$2)+1,FALSE),"")</f>
        <v/>
      </c>
    </row>
    <row r="199" spans="1:9" x14ac:dyDescent="0.25">
      <c r="A199" s="2" t="str">
        <f t="shared" si="6"/>
        <v/>
      </c>
      <c r="B199" s="136" t="str">
        <f>IF(D199&lt;&gt;"",'DATA TILL SLU'!$J$3,"")</f>
        <v/>
      </c>
      <c r="C199" s="146" t="str">
        <f>IF(D199&lt;&gt;"",'DATA TILL SLU'!$K$3,"")</f>
        <v/>
      </c>
      <c r="D199" s="2" t="str">
        <f>IF('DATA TILL SLU'!$D$7*1&lt;&gt;"",IF(COUNT(Beräkningshjälp!$AC$3:$AC$1082)&gt;=ROW(D198),'DATA TILL SLU'!$D$7*1,""),"")</f>
        <v/>
      </c>
      <c r="E199" s="136" t="str">
        <f>IF(D199&lt;&gt;"",VLOOKUP(ROW(E198),Beräkningshjälp!AC$2:AH$1082,COLUMN(Beräkningshjälp!AF$2)-COLUMN(Beräkningshjälp!AC$2)+1,FALSE),"")</f>
        <v/>
      </c>
      <c r="F199" s="352" t="str">
        <f t="shared" si="7"/>
        <v/>
      </c>
      <c r="G199" s="2" t="str">
        <f>IF(D199&lt;&gt;"",IF(VLOOKUP(VLOOKUP(E199,Beräkningshjälp!O$2:U$60,7,FALSE),Artuppgifter!$I$11:$P$22,8,FALSE)=TRUE,"Medelvikter!!","ALLA"),"")</f>
        <v/>
      </c>
      <c r="H199" s="2" t="str">
        <f>IF(D199&lt;&gt;"",VLOOKUP(ROW(H198),Beräkningshjälp!AC$2:AH$1082,COLUMN(Beräkningshjälp!AH$2)-COLUMN(Beräkningshjälp!AC$2)+1,FALSE),"")</f>
        <v/>
      </c>
      <c r="I199" s="116" t="str">
        <f>IF(D199&lt;&gt;"",VLOOKUP(ROW(E198),Beräkningshjälp!AC$2:AI$1082,COLUMN(Beräkningshjälp!AI$2)-COLUMN(Beräkningshjälp!AC$2)+1,FALSE),"")</f>
        <v/>
      </c>
    </row>
    <row r="200" spans="1:9" x14ac:dyDescent="0.25">
      <c r="A200" s="2" t="str">
        <f t="shared" si="6"/>
        <v/>
      </c>
      <c r="B200" s="136" t="str">
        <f>IF(D200&lt;&gt;"",'DATA TILL SLU'!$J$3,"")</f>
        <v/>
      </c>
      <c r="C200" s="146" t="str">
        <f>IF(D200&lt;&gt;"",'DATA TILL SLU'!$K$3,"")</f>
        <v/>
      </c>
      <c r="D200" s="2" t="str">
        <f>IF('DATA TILL SLU'!$D$7*1&lt;&gt;"",IF(COUNT(Beräkningshjälp!$AC$3:$AC$1082)&gt;=ROW(D199),'DATA TILL SLU'!$D$7*1,""),"")</f>
        <v/>
      </c>
      <c r="E200" s="136" t="str">
        <f>IF(D200&lt;&gt;"",VLOOKUP(ROW(E199),Beräkningshjälp!AC$2:AH$1082,COLUMN(Beräkningshjälp!AF$2)-COLUMN(Beräkningshjälp!AC$2)+1,FALSE),"")</f>
        <v/>
      </c>
      <c r="F200" s="352" t="str">
        <f t="shared" si="7"/>
        <v/>
      </c>
      <c r="G200" s="2" t="str">
        <f>IF(D200&lt;&gt;"",IF(VLOOKUP(VLOOKUP(E200,Beräkningshjälp!O$2:U$60,7,FALSE),Artuppgifter!$I$11:$P$22,8,FALSE)=TRUE,"Medelvikter!!","ALLA"),"")</f>
        <v/>
      </c>
      <c r="H200" s="2" t="str">
        <f>IF(D200&lt;&gt;"",VLOOKUP(ROW(H199),Beräkningshjälp!AC$2:AH$1082,COLUMN(Beräkningshjälp!AH$2)-COLUMN(Beräkningshjälp!AC$2)+1,FALSE),"")</f>
        <v/>
      </c>
      <c r="I200" s="116" t="str">
        <f>IF(D200&lt;&gt;"",VLOOKUP(ROW(E199),Beräkningshjälp!AC$2:AI$1082,COLUMN(Beräkningshjälp!AI$2)-COLUMN(Beräkningshjälp!AC$2)+1,FALSE),"")</f>
        <v/>
      </c>
    </row>
    <row r="201" spans="1:9" x14ac:dyDescent="0.25">
      <c r="A201" s="2" t="str">
        <f t="shared" si="6"/>
        <v/>
      </c>
      <c r="B201" s="136" t="str">
        <f>IF(D201&lt;&gt;"",'DATA TILL SLU'!$J$3,"")</f>
        <v/>
      </c>
      <c r="C201" s="146" t="str">
        <f>IF(D201&lt;&gt;"",'DATA TILL SLU'!$K$3,"")</f>
        <v/>
      </c>
      <c r="D201" s="2" t="str">
        <f>IF('DATA TILL SLU'!$D$7*1&lt;&gt;"",IF(COUNT(Beräkningshjälp!$AC$3:$AC$1082)&gt;=ROW(D200),'DATA TILL SLU'!$D$7*1,""),"")</f>
        <v/>
      </c>
      <c r="E201" s="136" t="str">
        <f>IF(D201&lt;&gt;"",VLOOKUP(ROW(E200),Beräkningshjälp!AC$2:AH$1082,COLUMN(Beräkningshjälp!AF$2)-COLUMN(Beräkningshjälp!AC$2)+1,FALSE),"")</f>
        <v/>
      </c>
      <c r="F201" s="352" t="str">
        <f t="shared" si="7"/>
        <v/>
      </c>
      <c r="G201" s="2" t="str">
        <f>IF(D201&lt;&gt;"",IF(VLOOKUP(VLOOKUP(E201,Beräkningshjälp!O$2:U$60,7,FALSE),Artuppgifter!$I$11:$P$22,8,FALSE)=TRUE,"Medelvikter!!","ALLA"),"")</f>
        <v/>
      </c>
      <c r="H201" s="2" t="str">
        <f>IF(D201&lt;&gt;"",VLOOKUP(ROW(H200),Beräkningshjälp!AC$2:AH$1082,COLUMN(Beräkningshjälp!AH$2)-COLUMN(Beräkningshjälp!AC$2)+1,FALSE),"")</f>
        <v/>
      </c>
      <c r="I201" s="116" t="str">
        <f>IF(D201&lt;&gt;"",VLOOKUP(ROW(E200),Beräkningshjälp!AC$2:AI$1082,COLUMN(Beräkningshjälp!AI$2)-COLUMN(Beräkningshjälp!AC$2)+1,FALSE),"")</f>
        <v/>
      </c>
    </row>
    <row r="202" spans="1:9" x14ac:dyDescent="0.25">
      <c r="A202" s="2" t="str">
        <f t="shared" si="6"/>
        <v/>
      </c>
      <c r="B202" s="136" t="str">
        <f>IF(D202&lt;&gt;"",'DATA TILL SLU'!$J$3,"")</f>
        <v/>
      </c>
      <c r="C202" s="146" t="str">
        <f>IF(D202&lt;&gt;"",'DATA TILL SLU'!$K$3,"")</f>
        <v/>
      </c>
      <c r="D202" s="2" t="str">
        <f>IF('DATA TILL SLU'!$D$7*1&lt;&gt;"",IF(COUNT(Beräkningshjälp!$AC$3:$AC$1082)&gt;=ROW(D201),'DATA TILL SLU'!$D$7*1,""),"")</f>
        <v/>
      </c>
      <c r="E202" s="136" t="str">
        <f>IF(D202&lt;&gt;"",VLOOKUP(ROW(E201),Beräkningshjälp!AC$2:AH$1082,COLUMN(Beräkningshjälp!AF$2)-COLUMN(Beräkningshjälp!AC$2)+1,FALSE),"")</f>
        <v/>
      </c>
      <c r="F202" s="352" t="str">
        <f t="shared" si="7"/>
        <v/>
      </c>
      <c r="G202" s="2" t="str">
        <f>IF(D202&lt;&gt;"",IF(VLOOKUP(VLOOKUP(E202,Beräkningshjälp!O$2:U$60,7,FALSE),Artuppgifter!$I$11:$P$22,8,FALSE)=TRUE,"Medelvikter!!","ALLA"),"")</f>
        <v/>
      </c>
      <c r="H202" s="2" t="str">
        <f>IF(D202&lt;&gt;"",VLOOKUP(ROW(H201),Beräkningshjälp!AC$2:AH$1082,COLUMN(Beräkningshjälp!AH$2)-COLUMN(Beräkningshjälp!AC$2)+1,FALSE),"")</f>
        <v/>
      </c>
      <c r="I202" s="116" t="str">
        <f>IF(D202&lt;&gt;"",VLOOKUP(ROW(E201),Beräkningshjälp!AC$2:AI$1082,COLUMN(Beräkningshjälp!AI$2)-COLUMN(Beräkningshjälp!AC$2)+1,FALSE),"")</f>
        <v/>
      </c>
    </row>
    <row r="203" spans="1:9" x14ac:dyDescent="0.25">
      <c r="A203" s="2" t="str">
        <f t="shared" si="6"/>
        <v/>
      </c>
      <c r="B203" s="136" t="str">
        <f>IF(D203&lt;&gt;"",'DATA TILL SLU'!$J$3,"")</f>
        <v/>
      </c>
      <c r="C203" s="146" t="str">
        <f>IF(D203&lt;&gt;"",'DATA TILL SLU'!$K$3,"")</f>
        <v/>
      </c>
      <c r="D203" s="2" t="str">
        <f>IF('DATA TILL SLU'!$D$7*1&lt;&gt;"",IF(COUNT(Beräkningshjälp!$AC$3:$AC$1082)&gt;=ROW(D202),'DATA TILL SLU'!$D$7*1,""),"")</f>
        <v/>
      </c>
      <c r="E203" s="136" t="str">
        <f>IF(D203&lt;&gt;"",VLOOKUP(ROW(E202),Beräkningshjälp!AC$2:AH$1082,COLUMN(Beräkningshjälp!AF$2)-COLUMN(Beräkningshjälp!AC$2)+1,FALSE),"")</f>
        <v/>
      </c>
      <c r="F203" s="352" t="str">
        <f t="shared" si="7"/>
        <v/>
      </c>
      <c r="G203" s="2" t="str">
        <f>IF(D203&lt;&gt;"",IF(VLOOKUP(VLOOKUP(E203,Beräkningshjälp!O$2:U$60,7,FALSE),Artuppgifter!$I$11:$P$22,8,FALSE)=TRUE,"Medelvikter!!","ALLA"),"")</f>
        <v/>
      </c>
      <c r="H203" s="2" t="str">
        <f>IF(D203&lt;&gt;"",VLOOKUP(ROW(H202),Beräkningshjälp!AC$2:AH$1082,COLUMN(Beräkningshjälp!AH$2)-COLUMN(Beräkningshjälp!AC$2)+1,FALSE),"")</f>
        <v/>
      </c>
      <c r="I203" s="116" t="str">
        <f>IF(D203&lt;&gt;"",VLOOKUP(ROW(E202),Beräkningshjälp!AC$2:AI$1082,COLUMN(Beräkningshjälp!AI$2)-COLUMN(Beräkningshjälp!AC$2)+1,FALSE),"")</f>
        <v/>
      </c>
    </row>
    <row r="204" spans="1:9" x14ac:dyDescent="0.25">
      <c r="A204" s="2" t="str">
        <f t="shared" si="6"/>
        <v/>
      </c>
      <c r="B204" s="136" t="str">
        <f>IF(D204&lt;&gt;"",'DATA TILL SLU'!$J$3,"")</f>
        <v/>
      </c>
      <c r="C204" s="146" t="str">
        <f>IF(D204&lt;&gt;"",'DATA TILL SLU'!$K$3,"")</f>
        <v/>
      </c>
      <c r="D204" s="2" t="str">
        <f>IF('DATA TILL SLU'!$D$7*1&lt;&gt;"",IF(COUNT(Beräkningshjälp!$AC$3:$AC$1082)&gt;=ROW(D203),'DATA TILL SLU'!$D$7*1,""),"")</f>
        <v/>
      </c>
      <c r="E204" s="136" t="str">
        <f>IF(D204&lt;&gt;"",VLOOKUP(ROW(E203),Beräkningshjälp!AC$2:AH$1082,COLUMN(Beräkningshjälp!AF$2)-COLUMN(Beräkningshjälp!AC$2)+1,FALSE),"")</f>
        <v/>
      </c>
      <c r="F204" s="352" t="str">
        <f t="shared" si="7"/>
        <v/>
      </c>
      <c r="G204" s="2" t="str">
        <f>IF(D204&lt;&gt;"",IF(VLOOKUP(VLOOKUP(E204,Beräkningshjälp!O$2:U$60,7,FALSE),Artuppgifter!$I$11:$P$22,8,FALSE)=TRUE,"Medelvikter!!","ALLA"),"")</f>
        <v/>
      </c>
      <c r="H204" s="2" t="str">
        <f>IF(D204&lt;&gt;"",VLOOKUP(ROW(H203),Beräkningshjälp!AC$2:AH$1082,COLUMN(Beräkningshjälp!AH$2)-COLUMN(Beräkningshjälp!AC$2)+1,FALSE),"")</f>
        <v/>
      </c>
      <c r="I204" s="116" t="str">
        <f>IF(D204&lt;&gt;"",VLOOKUP(ROW(E203),Beräkningshjälp!AC$2:AI$1082,COLUMN(Beräkningshjälp!AI$2)-COLUMN(Beräkningshjälp!AC$2)+1,FALSE),"")</f>
        <v/>
      </c>
    </row>
    <row r="205" spans="1:9" x14ac:dyDescent="0.25">
      <c r="A205" s="2" t="str">
        <f t="shared" si="6"/>
        <v/>
      </c>
      <c r="B205" s="136" t="str">
        <f>IF(D205&lt;&gt;"",'DATA TILL SLU'!$J$3,"")</f>
        <v/>
      </c>
      <c r="C205" s="146" t="str">
        <f>IF(D205&lt;&gt;"",'DATA TILL SLU'!$K$3,"")</f>
        <v/>
      </c>
      <c r="D205" s="2" t="str">
        <f>IF('DATA TILL SLU'!$D$7*1&lt;&gt;"",IF(COUNT(Beräkningshjälp!$AC$3:$AC$1082)&gt;=ROW(D204),'DATA TILL SLU'!$D$7*1,""),"")</f>
        <v/>
      </c>
      <c r="E205" s="136" t="str">
        <f>IF(D205&lt;&gt;"",VLOOKUP(ROW(E204),Beräkningshjälp!AC$2:AH$1082,COLUMN(Beräkningshjälp!AF$2)-COLUMN(Beräkningshjälp!AC$2)+1,FALSE),"")</f>
        <v/>
      </c>
      <c r="F205" s="352" t="str">
        <f t="shared" si="7"/>
        <v/>
      </c>
      <c r="G205" s="2" t="str">
        <f>IF(D205&lt;&gt;"",IF(VLOOKUP(VLOOKUP(E205,Beräkningshjälp!O$2:U$60,7,FALSE),Artuppgifter!$I$11:$P$22,8,FALSE)=TRUE,"Medelvikter!!","ALLA"),"")</f>
        <v/>
      </c>
      <c r="H205" s="2" t="str">
        <f>IF(D205&lt;&gt;"",VLOOKUP(ROW(H204),Beräkningshjälp!AC$2:AH$1082,COLUMN(Beräkningshjälp!AH$2)-COLUMN(Beräkningshjälp!AC$2)+1,FALSE),"")</f>
        <v/>
      </c>
      <c r="I205" s="116" t="str">
        <f>IF(D205&lt;&gt;"",VLOOKUP(ROW(E204),Beräkningshjälp!AC$2:AI$1082,COLUMN(Beräkningshjälp!AI$2)-COLUMN(Beräkningshjälp!AC$2)+1,FALSE),"")</f>
        <v/>
      </c>
    </row>
    <row r="206" spans="1:9" x14ac:dyDescent="0.25">
      <c r="A206" s="2" t="str">
        <f t="shared" si="6"/>
        <v/>
      </c>
      <c r="B206" s="136" t="str">
        <f>IF(D206&lt;&gt;"",'DATA TILL SLU'!$J$3,"")</f>
        <v/>
      </c>
      <c r="C206" s="146" t="str">
        <f>IF(D206&lt;&gt;"",'DATA TILL SLU'!$K$3,"")</f>
        <v/>
      </c>
      <c r="D206" s="2" t="str">
        <f>IF('DATA TILL SLU'!$D$7*1&lt;&gt;"",IF(COUNT(Beräkningshjälp!$AC$3:$AC$1082)&gt;=ROW(D205),'DATA TILL SLU'!$D$7*1,""),"")</f>
        <v/>
      </c>
      <c r="E206" s="136" t="str">
        <f>IF(D206&lt;&gt;"",VLOOKUP(ROW(E205),Beräkningshjälp!AC$2:AH$1082,COLUMN(Beräkningshjälp!AF$2)-COLUMN(Beräkningshjälp!AC$2)+1,FALSE),"")</f>
        <v/>
      </c>
      <c r="F206" s="352" t="str">
        <f t="shared" si="7"/>
        <v/>
      </c>
      <c r="G206" s="2" t="str">
        <f>IF(D206&lt;&gt;"",IF(VLOOKUP(VLOOKUP(E206,Beräkningshjälp!O$2:U$60,7,FALSE),Artuppgifter!$I$11:$P$22,8,FALSE)=TRUE,"Medelvikter!!","ALLA"),"")</f>
        <v/>
      </c>
      <c r="H206" s="2" t="str">
        <f>IF(D206&lt;&gt;"",VLOOKUP(ROW(H205),Beräkningshjälp!AC$2:AH$1082,COLUMN(Beräkningshjälp!AH$2)-COLUMN(Beräkningshjälp!AC$2)+1,FALSE),"")</f>
        <v/>
      </c>
      <c r="I206" s="116" t="str">
        <f>IF(D206&lt;&gt;"",VLOOKUP(ROW(E205),Beräkningshjälp!AC$2:AI$1082,COLUMN(Beräkningshjälp!AI$2)-COLUMN(Beräkningshjälp!AC$2)+1,FALSE),"")</f>
        <v/>
      </c>
    </row>
    <row r="207" spans="1:9" x14ac:dyDescent="0.25">
      <c r="A207" s="2" t="str">
        <f t="shared" si="6"/>
        <v/>
      </c>
      <c r="B207" s="136" t="str">
        <f>IF(D207&lt;&gt;"",'DATA TILL SLU'!$J$3,"")</f>
        <v/>
      </c>
      <c r="C207" s="146" t="str">
        <f>IF(D207&lt;&gt;"",'DATA TILL SLU'!$K$3,"")</f>
        <v/>
      </c>
      <c r="D207" s="2" t="str">
        <f>IF('DATA TILL SLU'!$D$7*1&lt;&gt;"",IF(COUNT(Beräkningshjälp!$AC$3:$AC$1082)&gt;=ROW(D206),'DATA TILL SLU'!$D$7*1,""),"")</f>
        <v/>
      </c>
      <c r="E207" s="136" t="str">
        <f>IF(D207&lt;&gt;"",VLOOKUP(ROW(E206),Beräkningshjälp!AC$2:AH$1082,COLUMN(Beräkningshjälp!AF$2)-COLUMN(Beräkningshjälp!AC$2)+1,FALSE),"")</f>
        <v/>
      </c>
      <c r="F207" s="352" t="str">
        <f t="shared" si="7"/>
        <v/>
      </c>
      <c r="G207" s="2" t="str">
        <f>IF(D207&lt;&gt;"",IF(VLOOKUP(VLOOKUP(E207,Beräkningshjälp!O$2:U$60,7,FALSE),Artuppgifter!$I$11:$P$22,8,FALSE)=TRUE,"Medelvikter!!","ALLA"),"")</f>
        <v/>
      </c>
      <c r="H207" s="2" t="str">
        <f>IF(D207&lt;&gt;"",VLOOKUP(ROW(H206),Beräkningshjälp!AC$2:AH$1082,COLUMN(Beräkningshjälp!AH$2)-COLUMN(Beräkningshjälp!AC$2)+1,FALSE),"")</f>
        <v/>
      </c>
      <c r="I207" s="116" t="str">
        <f>IF(D207&lt;&gt;"",VLOOKUP(ROW(E206),Beräkningshjälp!AC$2:AI$1082,COLUMN(Beräkningshjälp!AI$2)-COLUMN(Beräkningshjälp!AC$2)+1,FALSE),"")</f>
        <v/>
      </c>
    </row>
    <row r="208" spans="1:9" x14ac:dyDescent="0.25">
      <c r="A208" s="2" t="str">
        <f t="shared" si="6"/>
        <v/>
      </c>
      <c r="B208" s="136" t="str">
        <f>IF(D208&lt;&gt;"",'DATA TILL SLU'!$J$3,"")</f>
        <v/>
      </c>
      <c r="C208" s="146" t="str">
        <f>IF(D208&lt;&gt;"",'DATA TILL SLU'!$K$3,"")</f>
        <v/>
      </c>
      <c r="D208" s="2" t="str">
        <f>IF('DATA TILL SLU'!$D$7*1&lt;&gt;"",IF(COUNT(Beräkningshjälp!$AC$3:$AC$1082)&gt;=ROW(D207),'DATA TILL SLU'!$D$7*1,""),"")</f>
        <v/>
      </c>
      <c r="E208" s="136" t="str">
        <f>IF(D208&lt;&gt;"",VLOOKUP(ROW(E207),Beräkningshjälp!AC$2:AH$1082,COLUMN(Beräkningshjälp!AF$2)-COLUMN(Beräkningshjälp!AC$2)+1,FALSE),"")</f>
        <v/>
      </c>
      <c r="F208" s="352" t="str">
        <f t="shared" si="7"/>
        <v/>
      </c>
      <c r="G208" s="2" t="str">
        <f>IF(D208&lt;&gt;"",IF(VLOOKUP(VLOOKUP(E208,Beräkningshjälp!O$2:U$60,7,FALSE),Artuppgifter!$I$11:$P$22,8,FALSE)=TRUE,"Medelvikter!!","ALLA"),"")</f>
        <v/>
      </c>
      <c r="H208" s="2" t="str">
        <f>IF(D208&lt;&gt;"",VLOOKUP(ROW(H207),Beräkningshjälp!AC$2:AH$1082,COLUMN(Beräkningshjälp!AH$2)-COLUMN(Beräkningshjälp!AC$2)+1,FALSE),"")</f>
        <v/>
      </c>
      <c r="I208" s="116" t="str">
        <f>IF(D208&lt;&gt;"",VLOOKUP(ROW(E207),Beräkningshjälp!AC$2:AI$1082,COLUMN(Beräkningshjälp!AI$2)-COLUMN(Beräkningshjälp!AC$2)+1,FALSE),"")</f>
        <v/>
      </c>
    </row>
    <row r="209" spans="1:9" x14ac:dyDescent="0.25">
      <c r="A209" s="2" t="str">
        <f t="shared" si="6"/>
        <v/>
      </c>
      <c r="B209" s="136" t="str">
        <f>IF(D209&lt;&gt;"",'DATA TILL SLU'!$J$3,"")</f>
        <v/>
      </c>
      <c r="C209" s="146" t="str">
        <f>IF(D209&lt;&gt;"",'DATA TILL SLU'!$K$3,"")</f>
        <v/>
      </c>
      <c r="D209" s="2" t="str">
        <f>IF('DATA TILL SLU'!$D$7*1&lt;&gt;"",IF(COUNT(Beräkningshjälp!$AC$3:$AC$1082)&gt;=ROW(D208),'DATA TILL SLU'!$D$7*1,""),"")</f>
        <v/>
      </c>
      <c r="E209" s="136" t="str">
        <f>IF(D209&lt;&gt;"",VLOOKUP(ROW(E208),Beräkningshjälp!AC$2:AH$1082,COLUMN(Beräkningshjälp!AF$2)-COLUMN(Beräkningshjälp!AC$2)+1,FALSE),"")</f>
        <v/>
      </c>
      <c r="F209" s="352" t="str">
        <f t="shared" si="7"/>
        <v/>
      </c>
      <c r="G209" s="2" t="str">
        <f>IF(D209&lt;&gt;"",IF(VLOOKUP(VLOOKUP(E209,Beräkningshjälp!O$2:U$60,7,FALSE),Artuppgifter!$I$11:$P$22,8,FALSE)=TRUE,"Medelvikter!!","ALLA"),"")</f>
        <v/>
      </c>
      <c r="H209" s="2" t="str">
        <f>IF(D209&lt;&gt;"",VLOOKUP(ROW(H208),Beräkningshjälp!AC$2:AH$1082,COLUMN(Beräkningshjälp!AH$2)-COLUMN(Beräkningshjälp!AC$2)+1,FALSE),"")</f>
        <v/>
      </c>
      <c r="I209" s="116" t="str">
        <f>IF(D209&lt;&gt;"",VLOOKUP(ROW(E208),Beräkningshjälp!AC$2:AI$1082,COLUMN(Beräkningshjälp!AI$2)-COLUMN(Beräkningshjälp!AC$2)+1,FALSE),"")</f>
        <v/>
      </c>
    </row>
    <row r="210" spans="1:9" x14ac:dyDescent="0.25">
      <c r="A210" s="2" t="str">
        <f t="shared" si="6"/>
        <v/>
      </c>
      <c r="B210" s="136" t="str">
        <f>IF(D210&lt;&gt;"",'DATA TILL SLU'!$J$3,"")</f>
        <v/>
      </c>
      <c r="C210" s="146" t="str">
        <f>IF(D210&lt;&gt;"",'DATA TILL SLU'!$K$3,"")</f>
        <v/>
      </c>
      <c r="D210" s="2" t="str">
        <f>IF('DATA TILL SLU'!$D$7*1&lt;&gt;"",IF(COUNT(Beräkningshjälp!$AC$3:$AC$1082)&gt;=ROW(D209),'DATA TILL SLU'!$D$7*1,""),"")</f>
        <v/>
      </c>
      <c r="E210" s="136" t="str">
        <f>IF(D210&lt;&gt;"",VLOOKUP(ROW(E209),Beräkningshjälp!AC$2:AH$1082,COLUMN(Beräkningshjälp!AF$2)-COLUMN(Beräkningshjälp!AC$2)+1,FALSE),"")</f>
        <v/>
      </c>
      <c r="F210" s="352" t="str">
        <f t="shared" si="7"/>
        <v/>
      </c>
      <c r="G210" s="2" t="str">
        <f>IF(D210&lt;&gt;"",IF(VLOOKUP(VLOOKUP(E210,Beräkningshjälp!O$2:U$60,7,FALSE),Artuppgifter!$I$11:$P$22,8,FALSE)=TRUE,"Medelvikter!!","ALLA"),"")</f>
        <v/>
      </c>
      <c r="H210" s="2" t="str">
        <f>IF(D210&lt;&gt;"",VLOOKUP(ROW(H209),Beräkningshjälp!AC$2:AH$1082,COLUMN(Beräkningshjälp!AH$2)-COLUMN(Beräkningshjälp!AC$2)+1,FALSE),"")</f>
        <v/>
      </c>
      <c r="I210" s="116" t="str">
        <f>IF(D210&lt;&gt;"",VLOOKUP(ROW(E209),Beräkningshjälp!AC$2:AI$1082,COLUMN(Beräkningshjälp!AI$2)-COLUMN(Beräkningshjälp!AC$2)+1,FALSE),"")</f>
        <v/>
      </c>
    </row>
    <row r="211" spans="1:9" x14ac:dyDescent="0.25">
      <c r="A211" s="2" t="str">
        <f t="shared" si="6"/>
        <v/>
      </c>
      <c r="B211" s="136" t="str">
        <f>IF(D211&lt;&gt;"",'DATA TILL SLU'!$J$3,"")</f>
        <v/>
      </c>
      <c r="C211" s="146" t="str">
        <f>IF(D211&lt;&gt;"",'DATA TILL SLU'!$K$3,"")</f>
        <v/>
      </c>
      <c r="D211" s="2" t="str">
        <f>IF('DATA TILL SLU'!$D$7*1&lt;&gt;"",IF(COUNT(Beräkningshjälp!$AC$3:$AC$1082)&gt;=ROW(D210),'DATA TILL SLU'!$D$7*1,""),"")</f>
        <v/>
      </c>
      <c r="E211" s="136" t="str">
        <f>IF(D211&lt;&gt;"",VLOOKUP(ROW(E210),Beräkningshjälp!AC$2:AH$1082,COLUMN(Beräkningshjälp!AF$2)-COLUMN(Beräkningshjälp!AC$2)+1,FALSE),"")</f>
        <v/>
      </c>
      <c r="F211" s="352" t="str">
        <f t="shared" si="7"/>
        <v/>
      </c>
      <c r="G211" s="2" t="str">
        <f>IF(D211&lt;&gt;"",IF(VLOOKUP(VLOOKUP(E211,Beräkningshjälp!O$2:U$60,7,FALSE),Artuppgifter!$I$11:$P$22,8,FALSE)=TRUE,"Medelvikter!!","ALLA"),"")</f>
        <v/>
      </c>
      <c r="H211" s="2" t="str">
        <f>IF(D211&lt;&gt;"",VLOOKUP(ROW(H210),Beräkningshjälp!AC$2:AH$1082,COLUMN(Beräkningshjälp!AH$2)-COLUMN(Beräkningshjälp!AC$2)+1,FALSE),"")</f>
        <v/>
      </c>
      <c r="I211" s="116" t="str">
        <f>IF(D211&lt;&gt;"",VLOOKUP(ROW(E210),Beräkningshjälp!AC$2:AI$1082,COLUMN(Beräkningshjälp!AI$2)-COLUMN(Beräkningshjälp!AC$2)+1,FALSE),"")</f>
        <v/>
      </c>
    </row>
    <row r="212" spans="1:9" x14ac:dyDescent="0.25">
      <c r="A212" s="2" t="str">
        <f t="shared" si="6"/>
        <v/>
      </c>
      <c r="B212" s="136" t="str">
        <f>IF(D212&lt;&gt;"",'DATA TILL SLU'!$J$3,"")</f>
        <v/>
      </c>
      <c r="C212" s="146" t="str">
        <f>IF(D212&lt;&gt;"",'DATA TILL SLU'!$K$3,"")</f>
        <v/>
      </c>
      <c r="D212" s="2" t="str">
        <f>IF('DATA TILL SLU'!$D$7*1&lt;&gt;"",IF(COUNT(Beräkningshjälp!$AC$3:$AC$1082)&gt;=ROW(D211),'DATA TILL SLU'!$D$7*1,""),"")</f>
        <v/>
      </c>
      <c r="E212" s="136" t="str">
        <f>IF(D212&lt;&gt;"",VLOOKUP(ROW(E211),Beräkningshjälp!AC$2:AH$1082,COLUMN(Beräkningshjälp!AF$2)-COLUMN(Beräkningshjälp!AC$2)+1,FALSE),"")</f>
        <v/>
      </c>
      <c r="F212" s="352" t="str">
        <f t="shared" si="7"/>
        <v/>
      </c>
      <c r="G212" s="2" t="str">
        <f>IF(D212&lt;&gt;"",IF(VLOOKUP(VLOOKUP(E212,Beräkningshjälp!O$2:U$60,7,FALSE),Artuppgifter!$I$11:$P$22,8,FALSE)=TRUE,"Medelvikter!!","ALLA"),"")</f>
        <v/>
      </c>
      <c r="H212" s="2" t="str">
        <f>IF(D212&lt;&gt;"",VLOOKUP(ROW(H211),Beräkningshjälp!AC$2:AH$1082,COLUMN(Beräkningshjälp!AH$2)-COLUMN(Beräkningshjälp!AC$2)+1,FALSE),"")</f>
        <v/>
      </c>
      <c r="I212" s="116" t="str">
        <f>IF(D212&lt;&gt;"",VLOOKUP(ROW(E211),Beräkningshjälp!AC$2:AI$1082,COLUMN(Beräkningshjälp!AI$2)-COLUMN(Beräkningshjälp!AC$2)+1,FALSE),"")</f>
        <v/>
      </c>
    </row>
    <row r="213" spans="1:9" x14ac:dyDescent="0.25">
      <c r="A213" s="2" t="str">
        <f t="shared" si="6"/>
        <v/>
      </c>
      <c r="B213" s="136" t="str">
        <f>IF(D213&lt;&gt;"",'DATA TILL SLU'!$J$3,"")</f>
        <v/>
      </c>
      <c r="C213" s="146" t="str">
        <f>IF(D213&lt;&gt;"",'DATA TILL SLU'!$K$3,"")</f>
        <v/>
      </c>
      <c r="D213" s="2" t="str">
        <f>IF('DATA TILL SLU'!$D$7*1&lt;&gt;"",IF(COUNT(Beräkningshjälp!$AC$3:$AC$1082)&gt;=ROW(D212),'DATA TILL SLU'!$D$7*1,""),"")</f>
        <v/>
      </c>
      <c r="E213" s="136" t="str">
        <f>IF(D213&lt;&gt;"",VLOOKUP(ROW(E212),Beräkningshjälp!AC$2:AH$1082,COLUMN(Beräkningshjälp!AF$2)-COLUMN(Beräkningshjälp!AC$2)+1,FALSE),"")</f>
        <v/>
      </c>
      <c r="F213" s="352" t="str">
        <f t="shared" si="7"/>
        <v/>
      </c>
      <c r="G213" s="2" t="str">
        <f>IF(D213&lt;&gt;"",IF(VLOOKUP(VLOOKUP(E213,Beräkningshjälp!O$2:U$60,7,FALSE),Artuppgifter!$I$11:$P$22,8,FALSE)=TRUE,"Medelvikter!!","ALLA"),"")</f>
        <v/>
      </c>
      <c r="H213" s="2" t="str">
        <f>IF(D213&lt;&gt;"",VLOOKUP(ROW(H212),Beräkningshjälp!AC$2:AH$1082,COLUMN(Beräkningshjälp!AH$2)-COLUMN(Beräkningshjälp!AC$2)+1,FALSE),"")</f>
        <v/>
      </c>
      <c r="I213" s="116" t="str">
        <f>IF(D213&lt;&gt;"",VLOOKUP(ROW(E212),Beräkningshjälp!AC$2:AI$1082,COLUMN(Beräkningshjälp!AI$2)-COLUMN(Beräkningshjälp!AC$2)+1,FALSE),"")</f>
        <v/>
      </c>
    </row>
    <row r="214" spans="1:9" x14ac:dyDescent="0.25">
      <c r="A214" s="2" t="str">
        <f t="shared" si="6"/>
        <v/>
      </c>
      <c r="B214" s="136" t="str">
        <f>IF(D214&lt;&gt;"",'DATA TILL SLU'!$J$3,"")</f>
        <v/>
      </c>
      <c r="C214" s="146" t="str">
        <f>IF(D214&lt;&gt;"",'DATA TILL SLU'!$K$3,"")</f>
        <v/>
      </c>
      <c r="D214" s="2" t="str">
        <f>IF('DATA TILL SLU'!$D$7*1&lt;&gt;"",IF(COUNT(Beräkningshjälp!$AC$3:$AC$1082)&gt;=ROW(D213),'DATA TILL SLU'!$D$7*1,""),"")</f>
        <v/>
      </c>
      <c r="E214" s="136" t="str">
        <f>IF(D214&lt;&gt;"",VLOOKUP(ROW(E213),Beräkningshjälp!AC$2:AH$1082,COLUMN(Beräkningshjälp!AF$2)-COLUMN(Beräkningshjälp!AC$2)+1,FALSE),"")</f>
        <v/>
      </c>
      <c r="F214" s="352" t="str">
        <f t="shared" si="7"/>
        <v/>
      </c>
      <c r="G214" s="2" t="str">
        <f>IF(D214&lt;&gt;"",IF(VLOOKUP(VLOOKUP(E214,Beräkningshjälp!O$2:U$60,7,FALSE),Artuppgifter!$I$11:$P$22,8,FALSE)=TRUE,"Medelvikter!!","ALLA"),"")</f>
        <v/>
      </c>
      <c r="H214" s="2" t="str">
        <f>IF(D214&lt;&gt;"",VLOOKUP(ROW(H213),Beräkningshjälp!AC$2:AH$1082,COLUMN(Beräkningshjälp!AH$2)-COLUMN(Beräkningshjälp!AC$2)+1,FALSE),"")</f>
        <v/>
      </c>
      <c r="I214" s="116" t="str">
        <f>IF(D214&lt;&gt;"",VLOOKUP(ROW(E213),Beräkningshjälp!AC$2:AI$1082,COLUMN(Beräkningshjälp!AI$2)-COLUMN(Beräkningshjälp!AC$2)+1,FALSE),"")</f>
        <v/>
      </c>
    </row>
    <row r="215" spans="1:9" x14ac:dyDescent="0.25">
      <c r="A215" s="2" t="str">
        <f t="shared" si="6"/>
        <v/>
      </c>
      <c r="B215" s="136" t="str">
        <f>IF(D215&lt;&gt;"",'DATA TILL SLU'!$J$3,"")</f>
        <v/>
      </c>
      <c r="C215" s="146" t="str">
        <f>IF(D215&lt;&gt;"",'DATA TILL SLU'!$K$3,"")</f>
        <v/>
      </c>
      <c r="D215" s="2" t="str">
        <f>IF('DATA TILL SLU'!$D$7*1&lt;&gt;"",IF(COUNT(Beräkningshjälp!$AC$3:$AC$1082)&gt;=ROW(D214),'DATA TILL SLU'!$D$7*1,""),"")</f>
        <v/>
      </c>
      <c r="E215" s="136" t="str">
        <f>IF(D215&lt;&gt;"",VLOOKUP(ROW(E214),Beräkningshjälp!AC$2:AH$1082,COLUMN(Beräkningshjälp!AF$2)-COLUMN(Beräkningshjälp!AC$2)+1,FALSE),"")</f>
        <v/>
      </c>
      <c r="F215" s="352" t="str">
        <f t="shared" si="7"/>
        <v/>
      </c>
      <c r="G215" s="2" t="str">
        <f>IF(D215&lt;&gt;"",IF(VLOOKUP(VLOOKUP(E215,Beräkningshjälp!O$2:U$60,7,FALSE),Artuppgifter!$I$11:$P$22,8,FALSE)=TRUE,"Medelvikter!!","ALLA"),"")</f>
        <v/>
      </c>
      <c r="H215" s="2" t="str">
        <f>IF(D215&lt;&gt;"",VLOOKUP(ROW(H214),Beräkningshjälp!AC$2:AH$1082,COLUMN(Beräkningshjälp!AH$2)-COLUMN(Beräkningshjälp!AC$2)+1,FALSE),"")</f>
        <v/>
      </c>
      <c r="I215" s="116" t="str">
        <f>IF(D215&lt;&gt;"",VLOOKUP(ROW(E214),Beräkningshjälp!AC$2:AI$1082,COLUMN(Beräkningshjälp!AI$2)-COLUMN(Beräkningshjälp!AC$2)+1,FALSE),"")</f>
        <v/>
      </c>
    </row>
    <row r="216" spans="1:9" x14ac:dyDescent="0.25">
      <c r="A216" s="2" t="str">
        <f t="shared" si="6"/>
        <v/>
      </c>
      <c r="B216" s="136" t="str">
        <f>IF(D216&lt;&gt;"",'DATA TILL SLU'!$J$3,"")</f>
        <v/>
      </c>
      <c r="C216" s="146" t="str">
        <f>IF(D216&lt;&gt;"",'DATA TILL SLU'!$K$3,"")</f>
        <v/>
      </c>
      <c r="D216" s="2" t="str">
        <f>IF('DATA TILL SLU'!$D$7*1&lt;&gt;"",IF(COUNT(Beräkningshjälp!$AC$3:$AC$1082)&gt;=ROW(D215),'DATA TILL SLU'!$D$7*1,""),"")</f>
        <v/>
      </c>
      <c r="E216" s="136" t="str">
        <f>IF(D216&lt;&gt;"",VLOOKUP(ROW(E215),Beräkningshjälp!AC$2:AH$1082,COLUMN(Beräkningshjälp!AF$2)-COLUMN(Beräkningshjälp!AC$2)+1,FALSE),"")</f>
        <v/>
      </c>
      <c r="F216" s="352" t="str">
        <f t="shared" si="7"/>
        <v/>
      </c>
      <c r="G216" s="2" t="str">
        <f>IF(D216&lt;&gt;"",IF(VLOOKUP(VLOOKUP(E216,Beräkningshjälp!O$2:U$60,7,FALSE),Artuppgifter!$I$11:$P$22,8,FALSE)=TRUE,"Medelvikter!!","ALLA"),"")</f>
        <v/>
      </c>
      <c r="H216" s="2" t="str">
        <f>IF(D216&lt;&gt;"",VLOOKUP(ROW(H215),Beräkningshjälp!AC$2:AH$1082,COLUMN(Beräkningshjälp!AH$2)-COLUMN(Beräkningshjälp!AC$2)+1,FALSE),"")</f>
        <v/>
      </c>
      <c r="I216" s="116" t="str">
        <f>IF(D216&lt;&gt;"",VLOOKUP(ROW(E215),Beräkningshjälp!AC$2:AI$1082,COLUMN(Beräkningshjälp!AI$2)-COLUMN(Beräkningshjälp!AC$2)+1,FALSE),"")</f>
        <v/>
      </c>
    </row>
    <row r="217" spans="1:9" x14ac:dyDescent="0.25">
      <c r="A217" s="2" t="str">
        <f t="shared" si="6"/>
        <v/>
      </c>
      <c r="B217" s="136" t="str">
        <f>IF(D217&lt;&gt;"",'DATA TILL SLU'!$J$3,"")</f>
        <v/>
      </c>
      <c r="C217" s="146" t="str">
        <f>IF(D217&lt;&gt;"",'DATA TILL SLU'!$K$3,"")</f>
        <v/>
      </c>
      <c r="D217" s="2" t="str">
        <f>IF('DATA TILL SLU'!$D$7*1&lt;&gt;"",IF(COUNT(Beräkningshjälp!$AC$3:$AC$1082)&gt;=ROW(D216),'DATA TILL SLU'!$D$7*1,""),"")</f>
        <v/>
      </c>
      <c r="E217" s="136" t="str">
        <f>IF(D217&lt;&gt;"",VLOOKUP(ROW(E216),Beräkningshjälp!AC$2:AH$1082,COLUMN(Beräkningshjälp!AF$2)-COLUMN(Beräkningshjälp!AC$2)+1,FALSE),"")</f>
        <v/>
      </c>
      <c r="F217" s="352" t="str">
        <f t="shared" si="7"/>
        <v/>
      </c>
      <c r="G217" s="2" t="str">
        <f>IF(D217&lt;&gt;"",IF(VLOOKUP(VLOOKUP(E217,Beräkningshjälp!O$2:U$60,7,FALSE),Artuppgifter!$I$11:$P$22,8,FALSE)=TRUE,"Medelvikter!!","ALLA"),"")</f>
        <v/>
      </c>
      <c r="H217" s="2" t="str">
        <f>IF(D217&lt;&gt;"",VLOOKUP(ROW(H216),Beräkningshjälp!AC$2:AH$1082,COLUMN(Beräkningshjälp!AH$2)-COLUMN(Beräkningshjälp!AC$2)+1,FALSE),"")</f>
        <v/>
      </c>
      <c r="I217" s="116" t="str">
        <f>IF(D217&lt;&gt;"",VLOOKUP(ROW(E216),Beräkningshjälp!AC$2:AI$1082,COLUMN(Beräkningshjälp!AI$2)-COLUMN(Beräkningshjälp!AC$2)+1,FALSE),"")</f>
        <v/>
      </c>
    </row>
    <row r="218" spans="1:9" x14ac:dyDescent="0.25">
      <c r="A218" s="2" t="str">
        <f t="shared" si="6"/>
        <v/>
      </c>
      <c r="B218" s="136" t="str">
        <f>IF(D218&lt;&gt;"",'DATA TILL SLU'!$J$3,"")</f>
        <v/>
      </c>
      <c r="C218" s="146" t="str">
        <f>IF(D218&lt;&gt;"",'DATA TILL SLU'!$K$3,"")</f>
        <v/>
      </c>
      <c r="D218" s="2" t="str">
        <f>IF('DATA TILL SLU'!$D$7*1&lt;&gt;"",IF(COUNT(Beräkningshjälp!$AC$3:$AC$1082)&gt;=ROW(D217),'DATA TILL SLU'!$D$7*1,""),"")</f>
        <v/>
      </c>
      <c r="E218" s="136" t="str">
        <f>IF(D218&lt;&gt;"",VLOOKUP(ROW(E217),Beräkningshjälp!AC$2:AH$1082,COLUMN(Beräkningshjälp!AF$2)-COLUMN(Beräkningshjälp!AC$2)+1,FALSE),"")</f>
        <v/>
      </c>
      <c r="F218" s="352" t="str">
        <f t="shared" si="7"/>
        <v/>
      </c>
      <c r="G218" s="2" t="str">
        <f>IF(D218&lt;&gt;"",IF(VLOOKUP(VLOOKUP(E218,Beräkningshjälp!O$2:U$60,7,FALSE),Artuppgifter!$I$11:$P$22,8,FALSE)=TRUE,"Medelvikter!!","ALLA"),"")</f>
        <v/>
      </c>
      <c r="H218" s="2" t="str">
        <f>IF(D218&lt;&gt;"",VLOOKUP(ROW(H217),Beräkningshjälp!AC$2:AH$1082,COLUMN(Beräkningshjälp!AH$2)-COLUMN(Beräkningshjälp!AC$2)+1,FALSE),"")</f>
        <v/>
      </c>
      <c r="I218" s="116" t="str">
        <f>IF(D218&lt;&gt;"",VLOOKUP(ROW(E217),Beräkningshjälp!AC$2:AI$1082,COLUMN(Beräkningshjälp!AI$2)-COLUMN(Beräkningshjälp!AC$2)+1,FALSE),"")</f>
        <v/>
      </c>
    </row>
    <row r="219" spans="1:9" x14ac:dyDescent="0.25">
      <c r="A219" s="2" t="str">
        <f t="shared" si="6"/>
        <v/>
      </c>
      <c r="B219" s="136" t="str">
        <f>IF(D219&lt;&gt;"",'DATA TILL SLU'!$J$3,"")</f>
        <v/>
      </c>
      <c r="C219" s="146" t="str">
        <f>IF(D219&lt;&gt;"",'DATA TILL SLU'!$K$3,"")</f>
        <v/>
      </c>
      <c r="D219" s="2" t="str">
        <f>IF('DATA TILL SLU'!$D$7*1&lt;&gt;"",IF(COUNT(Beräkningshjälp!$AC$3:$AC$1082)&gt;=ROW(D218),'DATA TILL SLU'!$D$7*1,""),"")</f>
        <v/>
      </c>
      <c r="E219" s="136" t="str">
        <f>IF(D219&lt;&gt;"",VLOOKUP(ROW(E218),Beräkningshjälp!AC$2:AH$1082,COLUMN(Beräkningshjälp!AF$2)-COLUMN(Beräkningshjälp!AC$2)+1,FALSE),"")</f>
        <v/>
      </c>
      <c r="F219" s="352" t="str">
        <f t="shared" si="7"/>
        <v/>
      </c>
      <c r="G219" s="2" t="str">
        <f>IF(D219&lt;&gt;"",IF(VLOOKUP(VLOOKUP(E219,Beräkningshjälp!O$2:U$60,7,FALSE),Artuppgifter!$I$11:$P$22,8,FALSE)=TRUE,"Medelvikter!!","ALLA"),"")</f>
        <v/>
      </c>
      <c r="H219" s="2" t="str">
        <f>IF(D219&lt;&gt;"",VLOOKUP(ROW(H218),Beräkningshjälp!AC$2:AH$1082,COLUMN(Beräkningshjälp!AH$2)-COLUMN(Beräkningshjälp!AC$2)+1,FALSE),"")</f>
        <v/>
      </c>
      <c r="I219" s="116" t="str">
        <f>IF(D219&lt;&gt;"",VLOOKUP(ROW(E218),Beräkningshjälp!AC$2:AI$1082,COLUMN(Beräkningshjälp!AI$2)-COLUMN(Beräkningshjälp!AC$2)+1,FALSE),"")</f>
        <v/>
      </c>
    </row>
    <row r="220" spans="1:9" x14ac:dyDescent="0.25">
      <c r="A220" s="2" t="str">
        <f t="shared" si="6"/>
        <v/>
      </c>
      <c r="B220" s="136" t="str">
        <f>IF(D220&lt;&gt;"",'DATA TILL SLU'!$J$3,"")</f>
        <v/>
      </c>
      <c r="C220" s="146" t="str">
        <f>IF(D220&lt;&gt;"",'DATA TILL SLU'!$K$3,"")</f>
        <v/>
      </c>
      <c r="D220" s="2" t="str">
        <f>IF('DATA TILL SLU'!$D$7*1&lt;&gt;"",IF(COUNT(Beräkningshjälp!$AC$3:$AC$1082)&gt;=ROW(D219),'DATA TILL SLU'!$D$7*1,""),"")</f>
        <v/>
      </c>
      <c r="E220" s="136" t="str">
        <f>IF(D220&lt;&gt;"",VLOOKUP(ROW(E219),Beräkningshjälp!AC$2:AH$1082,COLUMN(Beräkningshjälp!AF$2)-COLUMN(Beräkningshjälp!AC$2)+1,FALSE),"")</f>
        <v/>
      </c>
      <c r="F220" s="352" t="str">
        <f t="shared" si="7"/>
        <v/>
      </c>
      <c r="G220" s="2" t="str">
        <f>IF(D220&lt;&gt;"",IF(VLOOKUP(VLOOKUP(E220,Beräkningshjälp!O$2:U$60,7,FALSE),Artuppgifter!$I$11:$P$22,8,FALSE)=TRUE,"Medelvikter!!","ALLA"),"")</f>
        <v/>
      </c>
      <c r="H220" s="2" t="str">
        <f>IF(D220&lt;&gt;"",VLOOKUP(ROW(H219),Beräkningshjälp!AC$2:AH$1082,COLUMN(Beräkningshjälp!AH$2)-COLUMN(Beräkningshjälp!AC$2)+1,FALSE),"")</f>
        <v/>
      </c>
      <c r="I220" s="116" t="str">
        <f>IF(D220&lt;&gt;"",VLOOKUP(ROW(E219),Beräkningshjälp!AC$2:AI$1082,COLUMN(Beräkningshjälp!AI$2)-COLUMN(Beräkningshjälp!AC$2)+1,FALSE),"")</f>
        <v/>
      </c>
    </row>
    <row r="221" spans="1:9" x14ac:dyDescent="0.25">
      <c r="A221" s="2" t="str">
        <f t="shared" si="6"/>
        <v/>
      </c>
      <c r="B221" s="136" t="str">
        <f>IF(D221&lt;&gt;"",'DATA TILL SLU'!$J$3,"")</f>
        <v/>
      </c>
      <c r="C221" s="146" t="str">
        <f>IF(D221&lt;&gt;"",'DATA TILL SLU'!$K$3,"")</f>
        <v/>
      </c>
      <c r="D221" s="2" t="str">
        <f>IF('DATA TILL SLU'!$D$7*1&lt;&gt;"",IF(COUNT(Beräkningshjälp!$AC$3:$AC$1082)&gt;=ROW(D220),'DATA TILL SLU'!$D$7*1,""),"")</f>
        <v/>
      </c>
      <c r="E221" s="136" t="str">
        <f>IF(D221&lt;&gt;"",VLOOKUP(ROW(E220),Beräkningshjälp!AC$2:AH$1082,COLUMN(Beräkningshjälp!AF$2)-COLUMN(Beräkningshjälp!AC$2)+1,FALSE),"")</f>
        <v/>
      </c>
      <c r="F221" s="352" t="str">
        <f t="shared" si="7"/>
        <v/>
      </c>
      <c r="G221" s="2" t="str">
        <f>IF(D221&lt;&gt;"",IF(VLOOKUP(VLOOKUP(E221,Beräkningshjälp!O$2:U$60,7,FALSE),Artuppgifter!$I$11:$P$22,8,FALSE)=TRUE,"Medelvikter!!","ALLA"),"")</f>
        <v/>
      </c>
      <c r="H221" s="2" t="str">
        <f>IF(D221&lt;&gt;"",VLOOKUP(ROW(H220),Beräkningshjälp!AC$2:AH$1082,COLUMN(Beräkningshjälp!AH$2)-COLUMN(Beräkningshjälp!AC$2)+1,FALSE),"")</f>
        <v/>
      </c>
      <c r="I221" s="116" t="str">
        <f>IF(D221&lt;&gt;"",VLOOKUP(ROW(E220),Beräkningshjälp!AC$2:AI$1082,COLUMN(Beräkningshjälp!AI$2)-COLUMN(Beräkningshjälp!AC$2)+1,FALSE),"")</f>
        <v/>
      </c>
    </row>
    <row r="222" spans="1:9" x14ac:dyDescent="0.25">
      <c r="A222" s="2" t="str">
        <f t="shared" si="6"/>
        <v/>
      </c>
      <c r="B222" s="136" t="str">
        <f>IF(D222&lt;&gt;"",'DATA TILL SLU'!$J$3,"")</f>
        <v/>
      </c>
      <c r="C222" s="146" t="str">
        <f>IF(D222&lt;&gt;"",'DATA TILL SLU'!$K$3,"")</f>
        <v/>
      </c>
      <c r="D222" s="2" t="str">
        <f>IF('DATA TILL SLU'!$D$7*1&lt;&gt;"",IF(COUNT(Beräkningshjälp!$AC$3:$AC$1082)&gt;=ROW(D221),'DATA TILL SLU'!$D$7*1,""),"")</f>
        <v/>
      </c>
      <c r="E222" s="136" t="str">
        <f>IF(D222&lt;&gt;"",VLOOKUP(ROW(E221),Beräkningshjälp!AC$2:AH$1082,COLUMN(Beräkningshjälp!AF$2)-COLUMN(Beräkningshjälp!AC$2)+1,FALSE),"")</f>
        <v/>
      </c>
      <c r="F222" s="352" t="str">
        <f t="shared" si="7"/>
        <v/>
      </c>
      <c r="G222" s="2" t="str">
        <f>IF(D222&lt;&gt;"",IF(VLOOKUP(VLOOKUP(E222,Beräkningshjälp!O$2:U$60,7,FALSE),Artuppgifter!$I$11:$P$22,8,FALSE)=TRUE,"Medelvikter!!","ALLA"),"")</f>
        <v/>
      </c>
      <c r="H222" s="2" t="str">
        <f>IF(D222&lt;&gt;"",VLOOKUP(ROW(H221),Beräkningshjälp!AC$2:AH$1082,COLUMN(Beräkningshjälp!AH$2)-COLUMN(Beräkningshjälp!AC$2)+1,FALSE),"")</f>
        <v/>
      </c>
      <c r="I222" s="116" t="str">
        <f>IF(D222&lt;&gt;"",VLOOKUP(ROW(E221),Beräkningshjälp!AC$2:AI$1082,COLUMN(Beräkningshjälp!AI$2)-COLUMN(Beräkningshjälp!AC$2)+1,FALSE),"")</f>
        <v/>
      </c>
    </row>
    <row r="223" spans="1:9" x14ac:dyDescent="0.25">
      <c r="A223" s="2" t="str">
        <f t="shared" si="6"/>
        <v/>
      </c>
      <c r="B223" s="136" t="str">
        <f>IF(D223&lt;&gt;"",'DATA TILL SLU'!$J$3,"")</f>
        <v/>
      </c>
      <c r="C223" s="146" t="str">
        <f>IF(D223&lt;&gt;"",'DATA TILL SLU'!$K$3,"")</f>
        <v/>
      </c>
      <c r="D223" s="2" t="str">
        <f>IF('DATA TILL SLU'!$D$7*1&lt;&gt;"",IF(COUNT(Beräkningshjälp!$AC$3:$AC$1082)&gt;=ROW(D222),'DATA TILL SLU'!$D$7*1,""),"")</f>
        <v/>
      </c>
      <c r="E223" s="136" t="str">
        <f>IF(D223&lt;&gt;"",VLOOKUP(ROW(E222),Beräkningshjälp!AC$2:AH$1082,COLUMN(Beräkningshjälp!AF$2)-COLUMN(Beräkningshjälp!AC$2)+1,FALSE),"")</f>
        <v/>
      </c>
      <c r="F223" s="352" t="str">
        <f t="shared" si="7"/>
        <v/>
      </c>
      <c r="G223" s="2" t="str">
        <f>IF(D223&lt;&gt;"",IF(VLOOKUP(VLOOKUP(E223,Beräkningshjälp!O$2:U$60,7,FALSE),Artuppgifter!$I$11:$P$22,8,FALSE)=TRUE,"Medelvikter!!","ALLA"),"")</f>
        <v/>
      </c>
      <c r="H223" s="2" t="str">
        <f>IF(D223&lt;&gt;"",VLOOKUP(ROW(H222),Beräkningshjälp!AC$2:AH$1082,COLUMN(Beräkningshjälp!AH$2)-COLUMN(Beräkningshjälp!AC$2)+1,FALSE),"")</f>
        <v/>
      </c>
      <c r="I223" s="116" t="str">
        <f>IF(D223&lt;&gt;"",VLOOKUP(ROW(E222),Beräkningshjälp!AC$2:AI$1082,COLUMN(Beräkningshjälp!AI$2)-COLUMN(Beräkningshjälp!AC$2)+1,FALSE),"")</f>
        <v/>
      </c>
    </row>
    <row r="224" spans="1:9" x14ac:dyDescent="0.25">
      <c r="A224" s="2" t="str">
        <f t="shared" si="6"/>
        <v/>
      </c>
      <c r="B224" s="136" t="str">
        <f>IF(D224&lt;&gt;"",'DATA TILL SLU'!$J$3,"")</f>
        <v/>
      </c>
      <c r="C224" s="146" t="str">
        <f>IF(D224&lt;&gt;"",'DATA TILL SLU'!$K$3,"")</f>
        <v/>
      </c>
      <c r="D224" s="2" t="str">
        <f>IF('DATA TILL SLU'!$D$7*1&lt;&gt;"",IF(COUNT(Beräkningshjälp!$AC$3:$AC$1082)&gt;=ROW(D223),'DATA TILL SLU'!$D$7*1,""),"")</f>
        <v/>
      </c>
      <c r="E224" s="136" t="str">
        <f>IF(D224&lt;&gt;"",VLOOKUP(ROW(E223),Beräkningshjälp!AC$2:AH$1082,COLUMN(Beräkningshjälp!AF$2)-COLUMN(Beräkningshjälp!AC$2)+1,FALSE),"")</f>
        <v/>
      </c>
      <c r="F224" s="352" t="str">
        <f t="shared" si="7"/>
        <v/>
      </c>
      <c r="G224" s="2" t="str">
        <f>IF(D224&lt;&gt;"",IF(VLOOKUP(VLOOKUP(E224,Beräkningshjälp!O$2:U$60,7,FALSE),Artuppgifter!$I$11:$P$22,8,FALSE)=TRUE,"Medelvikter!!","ALLA"),"")</f>
        <v/>
      </c>
      <c r="H224" s="2" t="str">
        <f>IF(D224&lt;&gt;"",VLOOKUP(ROW(H223),Beräkningshjälp!AC$2:AH$1082,COLUMN(Beräkningshjälp!AH$2)-COLUMN(Beräkningshjälp!AC$2)+1,FALSE),"")</f>
        <v/>
      </c>
      <c r="I224" s="116" t="str">
        <f>IF(D224&lt;&gt;"",VLOOKUP(ROW(E223),Beräkningshjälp!AC$2:AI$1082,COLUMN(Beräkningshjälp!AI$2)-COLUMN(Beräkningshjälp!AC$2)+1,FALSE),"")</f>
        <v/>
      </c>
    </row>
    <row r="225" spans="1:9" x14ac:dyDescent="0.25">
      <c r="A225" s="2" t="str">
        <f t="shared" si="6"/>
        <v/>
      </c>
      <c r="B225" s="136" t="str">
        <f>IF(D225&lt;&gt;"",'DATA TILL SLU'!$J$3,"")</f>
        <v/>
      </c>
      <c r="C225" s="146" t="str">
        <f>IF(D225&lt;&gt;"",'DATA TILL SLU'!$K$3,"")</f>
        <v/>
      </c>
      <c r="D225" s="2" t="str">
        <f>IF('DATA TILL SLU'!$D$7*1&lt;&gt;"",IF(COUNT(Beräkningshjälp!$AC$3:$AC$1082)&gt;=ROW(D224),'DATA TILL SLU'!$D$7*1,""),"")</f>
        <v/>
      </c>
      <c r="E225" s="136" t="str">
        <f>IF(D225&lt;&gt;"",VLOOKUP(ROW(E224),Beräkningshjälp!AC$2:AH$1082,COLUMN(Beräkningshjälp!AF$2)-COLUMN(Beräkningshjälp!AC$2)+1,FALSE),"")</f>
        <v/>
      </c>
      <c r="F225" s="352" t="str">
        <f t="shared" si="7"/>
        <v/>
      </c>
      <c r="G225" s="2" t="str">
        <f>IF(D225&lt;&gt;"",IF(VLOOKUP(VLOOKUP(E225,Beräkningshjälp!O$2:U$60,7,FALSE),Artuppgifter!$I$11:$P$22,8,FALSE)=TRUE,"Medelvikter!!","ALLA"),"")</f>
        <v/>
      </c>
      <c r="H225" s="2" t="str">
        <f>IF(D225&lt;&gt;"",VLOOKUP(ROW(H224),Beräkningshjälp!AC$2:AH$1082,COLUMN(Beräkningshjälp!AH$2)-COLUMN(Beräkningshjälp!AC$2)+1,FALSE),"")</f>
        <v/>
      </c>
      <c r="I225" s="116" t="str">
        <f>IF(D225&lt;&gt;"",VLOOKUP(ROW(E224),Beräkningshjälp!AC$2:AI$1082,COLUMN(Beräkningshjälp!AI$2)-COLUMN(Beräkningshjälp!AC$2)+1,FALSE),"")</f>
        <v/>
      </c>
    </row>
    <row r="226" spans="1:9" x14ac:dyDescent="0.25">
      <c r="A226" s="2" t="str">
        <f t="shared" si="6"/>
        <v/>
      </c>
      <c r="B226" s="136" t="str">
        <f>IF(D226&lt;&gt;"",'DATA TILL SLU'!$J$3,"")</f>
        <v/>
      </c>
      <c r="C226" s="146" t="str">
        <f>IF(D226&lt;&gt;"",'DATA TILL SLU'!$K$3,"")</f>
        <v/>
      </c>
      <c r="D226" s="2" t="str">
        <f>IF('DATA TILL SLU'!$D$7*1&lt;&gt;"",IF(COUNT(Beräkningshjälp!$AC$3:$AC$1082)&gt;=ROW(D225),'DATA TILL SLU'!$D$7*1,""),"")</f>
        <v/>
      </c>
      <c r="E226" s="136" t="str">
        <f>IF(D226&lt;&gt;"",VLOOKUP(ROW(E225),Beräkningshjälp!AC$2:AH$1082,COLUMN(Beräkningshjälp!AF$2)-COLUMN(Beräkningshjälp!AC$2)+1,FALSE),"")</f>
        <v/>
      </c>
      <c r="F226" s="352" t="str">
        <f t="shared" si="7"/>
        <v/>
      </c>
      <c r="G226" s="2" t="str">
        <f>IF(D226&lt;&gt;"",IF(VLOOKUP(VLOOKUP(E226,Beräkningshjälp!O$2:U$60,7,FALSE),Artuppgifter!$I$11:$P$22,8,FALSE)=TRUE,"Medelvikter!!","ALLA"),"")</f>
        <v/>
      </c>
      <c r="H226" s="2" t="str">
        <f>IF(D226&lt;&gt;"",VLOOKUP(ROW(H225),Beräkningshjälp!AC$2:AH$1082,COLUMN(Beräkningshjälp!AH$2)-COLUMN(Beräkningshjälp!AC$2)+1,FALSE),"")</f>
        <v/>
      </c>
      <c r="I226" s="116" t="str">
        <f>IF(D226&lt;&gt;"",VLOOKUP(ROW(E225),Beräkningshjälp!AC$2:AI$1082,COLUMN(Beräkningshjälp!AI$2)-COLUMN(Beräkningshjälp!AC$2)+1,FALSE),"")</f>
        <v/>
      </c>
    </row>
    <row r="227" spans="1:9" x14ac:dyDescent="0.25">
      <c r="A227" s="2" t="str">
        <f t="shared" si="6"/>
        <v/>
      </c>
      <c r="B227" s="136" t="str">
        <f>IF(D227&lt;&gt;"",'DATA TILL SLU'!$J$3,"")</f>
        <v/>
      </c>
      <c r="C227" s="146" t="str">
        <f>IF(D227&lt;&gt;"",'DATA TILL SLU'!$K$3,"")</f>
        <v/>
      </c>
      <c r="D227" s="2" t="str">
        <f>IF('DATA TILL SLU'!$D$7*1&lt;&gt;"",IF(COUNT(Beräkningshjälp!$AC$3:$AC$1082)&gt;=ROW(D226),'DATA TILL SLU'!$D$7*1,""),"")</f>
        <v/>
      </c>
      <c r="E227" s="136" t="str">
        <f>IF(D227&lt;&gt;"",VLOOKUP(ROW(E226),Beräkningshjälp!AC$2:AH$1082,COLUMN(Beräkningshjälp!AF$2)-COLUMN(Beräkningshjälp!AC$2)+1,FALSE),"")</f>
        <v/>
      </c>
      <c r="F227" s="352" t="str">
        <f t="shared" si="7"/>
        <v/>
      </c>
      <c r="G227" s="2" t="str">
        <f>IF(D227&lt;&gt;"",IF(VLOOKUP(VLOOKUP(E227,Beräkningshjälp!O$2:U$60,7,FALSE),Artuppgifter!$I$11:$P$22,8,FALSE)=TRUE,"Medelvikter!!","ALLA"),"")</f>
        <v/>
      </c>
      <c r="H227" s="2" t="str">
        <f>IF(D227&lt;&gt;"",VLOOKUP(ROW(H226),Beräkningshjälp!AC$2:AH$1082,COLUMN(Beräkningshjälp!AH$2)-COLUMN(Beräkningshjälp!AC$2)+1,FALSE),"")</f>
        <v/>
      </c>
      <c r="I227" s="116" t="str">
        <f>IF(D227&lt;&gt;"",VLOOKUP(ROW(E226),Beräkningshjälp!AC$2:AI$1082,COLUMN(Beräkningshjälp!AI$2)-COLUMN(Beräkningshjälp!AC$2)+1,FALSE),"")</f>
        <v/>
      </c>
    </row>
    <row r="228" spans="1:9" x14ac:dyDescent="0.25">
      <c r="A228" s="2" t="str">
        <f t="shared" si="6"/>
        <v/>
      </c>
      <c r="B228" s="136" t="str">
        <f>IF(D228&lt;&gt;"",'DATA TILL SLU'!$J$3,"")</f>
        <v/>
      </c>
      <c r="C228" s="146" t="str">
        <f>IF(D228&lt;&gt;"",'DATA TILL SLU'!$K$3,"")</f>
        <v/>
      </c>
      <c r="D228" s="2" t="str">
        <f>IF('DATA TILL SLU'!$D$7*1&lt;&gt;"",IF(COUNT(Beräkningshjälp!$AC$3:$AC$1082)&gt;=ROW(D227),'DATA TILL SLU'!$D$7*1,""),"")</f>
        <v/>
      </c>
      <c r="E228" s="136" t="str">
        <f>IF(D228&lt;&gt;"",VLOOKUP(ROW(E227),Beräkningshjälp!AC$2:AH$1082,COLUMN(Beräkningshjälp!AF$2)-COLUMN(Beräkningshjälp!AC$2)+1,FALSE),"")</f>
        <v/>
      </c>
      <c r="F228" s="352" t="str">
        <f t="shared" si="7"/>
        <v/>
      </c>
      <c r="G228" s="2" t="str">
        <f>IF(D228&lt;&gt;"",IF(VLOOKUP(VLOOKUP(E228,Beräkningshjälp!O$2:U$60,7,FALSE),Artuppgifter!$I$11:$P$22,8,FALSE)=TRUE,"Medelvikter!!","ALLA"),"")</f>
        <v/>
      </c>
      <c r="H228" s="2" t="str">
        <f>IF(D228&lt;&gt;"",VLOOKUP(ROW(H227),Beräkningshjälp!AC$2:AH$1082,COLUMN(Beräkningshjälp!AH$2)-COLUMN(Beräkningshjälp!AC$2)+1,FALSE),"")</f>
        <v/>
      </c>
      <c r="I228" s="116" t="str">
        <f>IF(D228&lt;&gt;"",VLOOKUP(ROW(E227),Beräkningshjälp!AC$2:AI$1082,COLUMN(Beräkningshjälp!AI$2)-COLUMN(Beräkningshjälp!AC$2)+1,FALSE),"")</f>
        <v/>
      </c>
    </row>
    <row r="229" spans="1:9" x14ac:dyDescent="0.25">
      <c r="A229" s="2" t="str">
        <f t="shared" si="6"/>
        <v/>
      </c>
      <c r="B229" s="136" t="str">
        <f>IF(D229&lt;&gt;"",'DATA TILL SLU'!$J$3,"")</f>
        <v/>
      </c>
      <c r="C229" s="146" t="str">
        <f>IF(D229&lt;&gt;"",'DATA TILL SLU'!$K$3,"")</f>
        <v/>
      </c>
      <c r="D229" s="2" t="str">
        <f>IF('DATA TILL SLU'!$D$7*1&lt;&gt;"",IF(COUNT(Beräkningshjälp!$AC$3:$AC$1082)&gt;=ROW(D228),'DATA TILL SLU'!$D$7*1,""),"")</f>
        <v/>
      </c>
      <c r="E229" s="136" t="str">
        <f>IF(D229&lt;&gt;"",VLOOKUP(ROW(E228),Beräkningshjälp!AC$2:AH$1082,COLUMN(Beräkningshjälp!AF$2)-COLUMN(Beräkningshjälp!AC$2)+1,FALSE),"")</f>
        <v/>
      </c>
      <c r="F229" s="352" t="str">
        <f t="shared" si="7"/>
        <v/>
      </c>
      <c r="G229" s="2" t="str">
        <f>IF(D229&lt;&gt;"",IF(VLOOKUP(VLOOKUP(E229,Beräkningshjälp!O$2:U$60,7,FALSE),Artuppgifter!$I$11:$P$22,8,FALSE)=TRUE,"Medelvikter!!","ALLA"),"")</f>
        <v/>
      </c>
      <c r="H229" s="2" t="str">
        <f>IF(D229&lt;&gt;"",VLOOKUP(ROW(H228),Beräkningshjälp!AC$2:AH$1082,COLUMN(Beräkningshjälp!AH$2)-COLUMN(Beräkningshjälp!AC$2)+1,FALSE),"")</f>
        <v/>
      </c>
      <c r="I229" s="116" t="str">
        <f>IF(D229&lt;&gt;"",VLOOKUP(ROW(E228),Beräkningshjälp!AC$2:AI$1082,COLUMN(Beräkningshjälp!AI$2)-COLUMN(Beräkningshjälp!AC$2)+1,FALSE),"")</f>
        <v/>
      </c>
    </row>
    <row r="230" spans="1:9" x14ac:dyDescent="0.25">
      <c r="A230" s="2" t="str">
        <f t="shared" si="6"/>
        <v/>
      </c>
      <c r="B230" s="136" t="str">
        <f>IF(D230&lt;&gt;"",'DATA TILL SLU'!$J$3,"")</f>
        <v/>
      </c>
      <c r="C230" s="146" t="str">
        <f>IF(D230&lt;&gt;"",'DATA TILL SLU'!$K$3,"")</f>
        <v/>
      </c>
      <c r="D230" s="2" t="str">
        <f>IF('DATA TILL SLU'!$D$7*1&lt;&gt;"",IF(COUNT(Beräkningshjälp!$AC$3:$AC$1082)&gt;=ROW(D229),'DATA TILL SLU'!$D$7*1,""),"")</f>
        <v/>
      </c>
      <c r="E230" s="136" t="str">
        <f>IF(D230&lt;&gt;"",VLOOKUP(ROW(E229),Beräkningshjälp!AC$2:AH$1082,COLUMN(Beräkningshjälp!AF$2)-COLUMN(Beräkningshjälp!AC$2)+1,FALSE),"")</f>
        <v/>
      </c>
      <c r="F230" s="352" t="str">
        <f t="shared" si="7"/>
        <v/>
      </c>
      <c r="G230" s="2" t="str">
        <f>IF(D230&lt;&gt;"",IF(VLOOKUP(VLOOKUP(E230,Beräkningshjälp!O$2:U$60,7,FALSE),Artuppgifter!$I$11:$P$22,8,FALSE)=TRUE,"Medelvikter!!","ALLA"),"")</f>
        <v/>
      </c>
      <c r="H230" s="2" t="str">
        <f>IF(D230&lt;&gt;"",VLOOKUP(ROW(H229),Beräkningshjälp!AC$2:AH$1082,COLUMN(Beräkningshjälp!AH$2)-COLUMN(Beräkningshjälp!AC$2)+1,FALSE),"")</f>
        <v/>
      </c>
      <c r="I230" s="116" t="str">
        <f>IF(D230&lt;&gt;"",VLOOKUP(ROW(E229),Beräkningshjälp!AC$2:AI$1082,COLUMN(Beräkningshjälp!AI$2)-COLUMN(Beräkningshjälp!AC$2)+1,FALSE),"")</f>
        <v/>
      </c>
    </row>
    <row r="231" spans="1:9" x14ac:dyDescent="0.25">
      <c r="A231" s="2" t="str">
        <f t="shared" si="6"/>
        <v/>
      </c>
      <c r="B231" s="136" t="str">
        <f>IF(D231&lt;&gt;"",'DATA TILL SLU'!$J$3,"")</f>
        <v/>
      </c>
      <c r="C231" s="146" t="str">
        <f>IF(D231&lt;&gt;"",'DATA TILL SLU'!$K$3,"")</f>
        <v/>
      </c>
      <c r="D231" s="2" t="str">
        <f>IF('DATA TILL SLU'!$D$7*1&lt;&gt;"",IF(COUNT(Beräkningshjälp!$AC$3:$AC$1082)&gt;=ROW(D230),'DATA TILL SLU'!$D$7*1,""),"")</f>
        <v/>
      </c>
      <c r="E231" s="136" t="str">
        <f>IF(D231&lt;&gt;"",VLOOKUP(ROW(E230),Beräkningshjälp!AC$2:AH$1082,COLUMN(Beräkningshjälp!AF$2)-COLUMN(Beräkningshjälp!AC$2)+1,FALSE),"")</f>
        <v/>
      </c>
      <c r="F231" s="352" t="str">
        <f t="shared" si="7"/>
        <v/>
      </c>
      <c r="G231" s="2" t="str">
        <f>IF(D231&lt;&gt;"",IF(VLOOKUP(VLOOKUP(E231,Beräkningshjälp!O$2:U$60,7,FALSE),Artuppgifter!$I$11:$P$22,8,FALSE)=TRUE,"Medelvikter!!","ALLA"),"")</f>
        <v/>
      </c>
      <c r="H231" s="2" t="str">
        <f>IF(D231&lt;&gt;"",VLOOKUP(ROW(H230),Beräkningshjälp!AC$2:AH$1082,COLUMN(Beräkningshjälp!AH$2)-COLUMN(Beräkningshjälp!AC$2)+1,FALSE),"")</f>
        <v/>
      </c>
      <c r="I231" s="116" t="str">
        <f>IF(D231&lt;&gt;"",VLOOKUP(ROW(E230),Beräkningshjälp!AC$2:AI$1082,COLUMN(Beräkningshjälp!AI$2)-COLUMN(Beräkningshjälp!AC$2)+1,FALSE),"")</f>
        <v/>
      </c>
    </row>
    <row r="232" spans="1:9" x14ac:dyDescent="0.25">
      <c r="A232" s="2" t="str">
        <f t="shared" si="6"/>
        <v/>
      </c>
      <c r="B232" s="136" t="str">
        <f>IF(D232&lt;&gt;"",'DATA TILL SLU'!$J$3,"")</f>
        <v/>
      </c>
      <c r="C232" s="146" t="str">
        <f>IF(D232&lt;&gt;"",'DATA TILL SLU'!$K$3,"")</f>
        <v/>
      </c>
      <c r="D232" s="2" t="str">
        <f>IF('DATA TILL SLU'!$D$7*1&lt;&gt;"",IF(COUNT(Beräkningshjälp!$AC$3:$AC$1082)&gt;=ROW(D231),'DATA TILL SLU'!$D$7*1,""),"")</f>
        <v/>
      </c>
      <c r="E232" s="136" t="str">
        <f>IF(D232&lt;&gt;"",VLOOKUP(ROW(E231),Beräkningshjälp!AC$2:AH$1082,COLUMN(Beräkningshjälp!AF$2)-COLUMN(Beräkningshjälp!AC$2)+1,FALSE),"")</f>
        <v/>
      </c>
      <c r="F232" s="352" t="str">
        <f t="shared" si="7"/>
        <v/>
      </c>
      <c r="G232" s="2" t="str">
        <f>IF(D232&lt;&gt;"",IF(VLOOKUP(VLOOKUP(E232,Beräkningshjälp!O$2:U$60,7,FALSE),Artuppgifter!$I$11:$P$22,8,FALSE)=TRUE,"Medelvikter!!","ALLA"),"")</f>
        <v/>
      </c>
      <c r="H232" s="2" t="str">
        <f>IF(D232&lt;&gt;"",VLOOKUP(ROW(H231),Beräkningshjälp!AC$2:AH$1082,COLUMN(Beräkningshjälp!AH$2)-COLUMN(Beräkningshjälp!AC$2)+1,FALSE),"")</f>
        <v/>
      </c>
      <c r="I232" s="116" t="str">
        <f>IF(D232&lt;&gt;"",VLOOKUP(ROW(E231),Beräkningshjälp!AC$2:AI$1082,COLUMN(Beräkningshjälp!AI$2)-COLUMN(Beräkningshjälp!AC$2)+1,FALSE),"")</f>
        <v/>
      </c>
    </row>
    <row r="233" spans="1:9" x14ac:dyDescent="0.25">
      <c r="A233" s="2" t="str">
        <f t="shared" si="6"/>
        <v/>
      </c>
      <c r="B233" s="136" t="str">
        <f>IF(D233&lt;&gt;"",'DATA TILL SLU'!$J$3,"")</f>
        <v/>
      </c>
      <c r="C233" s="146" t="str">
        <f>IF(D233&lt;&gt;"",'DATA TILL SLU'!$K$3,"")</f>
        <v/>
      </c>
      <c r="D233" s="2" t="str">
        <f>IF('DATA TILL SLU'!$D$7*1&lt;&gt;"",IF(COUNT(Beräkningshjälp!$AC$3:$AC$1082)&gt;=ROW(D232),'DATA TILL SLU'!$D$7*1,""),"")</f>
        <v/>
      </c>
      <c r="E233" s="136" t="str">
        <f>IF(D233&lt;&gt;"",VLOOKUP(ROW(E232),Beräkningshjälp!AC$2:AH$1082,COLUMN(Beräkningshjälp!AF$2)-COLUMN(Beräkningshjälp!AC$2)+1,FALSE),"")</f>
        <v/>
      </c>
      <c r="F233" s="352" t="str">
        <f t="shared" si="7"/>
        <v/>
      </c>
      <c r="G233" s="2" t="str">
        <f>IF(D233&lt;&gt;"",IF(VLOOKUP(VLOOKUP(E233,Beräkningshjälp!O$2:U$60,7,FALSE),Artuppgifter!$I$11:$P$22,8,FALSE)=TRUE,"Medelvikter!!","ALLA"),"")</f>
        <v/>
      </c>
      <c r="H233" s="2" t="str">
        <f>IF(D233&lt;&gt;"",VLOOKUP(ROW(H232),Beräkningshjälp!AC$2:AH$1082,COLUMN(Beräkningshjälp!AH$2)-COLUMN(Beräkningshjälp!AC$2)+1,FALSE),"")</f>
        <v/>
      </c>
      <c r="I233" s="116" t="str">
        <f>IF(D233&lt;&gt;"",VLOOKUP(ROW(E232),Beräkningshjälp!AC$2:AI$1082,COLUMN(Beräkningshjälp!AI$2)-COLUMN(Beräkningshjälp!AC$2)+1,FALSE),"")</f>
        <v/>
      </c>
    </row>
    <row r="234" spans="1:9" x14ac:dyDescent="0.25">
      <c r="A234" s="2" t="str">
        <f t="shared" si="6"/>
        <v/>
      </c>
      <c r="B234" s="136" t="str">
        <f>IF(D234&lt;&gt;"",'DATA TILL SLU'!$J$3,"")</f>
        <v/>
      </c>
      <c r="C234" s="146" t="str">
        <f>IF(D234&lt;&gt;"",'DATA TILL SLU'!$K$3,"")</f>
        <v/>
      </c>
      <c r="D234" s="2" t="str">
        <f>IF('DATA TILL SLU'!$D$7*1&lt;&gt;"",IF(COUNT(Beräkningshjälp!$AC$3:$AC$1082)&gt;=ROW(D233),'DATA TILL SLU'!$D$7*1,""),"")</f>
        <v/>
      </c>
      <c r="E234" s="136" t="str">
        <f>IF(D234&lt;&gt;"",VLOOKUP(ROW(E233),Beräkningshjälp!AC$2:AH$1082,COLUMN(Beräkningshjälp!AF$2)-COLUMN(Beräkningshjälp!AC$2)+1,FALSE),"")</f>
        <v/>
      </c>
      <c r="F234" s="352" t="str">
        <f t="shared" si="7"/>
        <v/>
      </c>
      <c r="G234" s="2" t="str">
        <f>IF(D234&lt;&gt;"",IF(VLOOKUP(VLOOKUP(E234,Beräkningshjälp!O$2:U$60,7,FALSE),Artuppgifter!$I$11:$P$22,8,FALSE)=TRUE,"Medelvikter!!","ALLA"),"")</f>
        <v/>
      </c>
      <c r="H234" s="2" t="str">
        <f>IF(D234&lt;&gt;"",VLOOKUP(ROW(H233),Beräkningshjälp!AC$2:AH$1082,COLUMN(Beräkningshjälp!AH$2)-COLUMN(Beräkningshjälp!AC$2)+1,FALSE),"")</f>
        <v/>
      </c>
      <c r="I234" s="116" t="str">
        <f>IF(D234&lt;&gt;"",VLOOKUP(ROW(E233),Beräkningshjälp!AC$2:AI$1082,COLUMN(Beräkningshjälp!AI$2)-COLUMN(Beräkningshjälp!AC$2)+1,FALSE),"")</f>
        <v/>
      </c>
    </row>
    <row r="235" spans="1:9" x14ac:dyDescent="0.25">
      <c r="A235" s="2" t="str">
        <f t="shared" si="6"/>
        <v/>
      </c>
      <c r="B235" s="136" t="str">
        <f>IF(D235&lt;&gt;"",'DATA TILL SLU'!$J$3,"")</f>
        <v/>
      </c>
      <c r="C235" s="146" t="str">
        <f>IF(D235&lt;&gt;"",'DATA TILL SLU'!$K$3,"")</f>
        <v/>
      </c>
      <c r="D235" s="2" t="str">
        <f>IF('DATA TILL SLU'!$D$7*1&lt;&gt;"",IF(COUNT(Beräkningshjälp!$AC$3:$AC$1082)&gt;=ROW(D234),'DATA TILL SLU'!$D$7*1,""),"")</f>
        <v/>
      </c>
      <c r="E235" s="136" t="str">
        <f>IF(D235&lt;&gt;"",VLOOKUP(ROW(E234),Beräkningshjälp!AC$2:AH$1082,COLUMN(Beräkningshjälp!AF$2)-COLUMN(Beräkningshjälp!AC$2)+1,FALSE),"")</f>
        <v/>
      </c>
      <c r="F235" s="352" t="str">
        <f t="shared" si="7"/>
        <v/>
      </c>
      <c r="G235" s="2" t="str">
        <f>IF(D235&lt;&gt;"",IF(VLOOKUP(VLOOKUP(E235,Beräkningshjälp!O$2:U$60,7,FALSE),Artuppgifter!$I$11:$P$22,8,FALSE)=TRUE,"Medelvikter!!","ALLA"),"")</f>
        <v/>
      </c>
      <c r="H235" s="2" t="str">
        <f>IF(D235&lt;&gt;"",VLOOKUP(ROW(H234),Beräkningshjälp!AC$2:AH$1082,COLUMN(Beräkningshjälp!AH$2)-COLUMN(Beräkningshjälp!AC$2)+1,FALSE),"")</f>
        <v/>
      </c>
      <c r="I235" s="116" t="str">
        <f>IF(D235&lt;&gt;"",VLOOKUP(ROW(E234),Beräkningshjälp!AC$2:AI$1082,COLUMN(Beräkningshjälp!AI$2)-COLUMN(Beräkningshjälp!AC$2)+1,FALSE),"")</f>
        <v/>
      </c>
    </row>
    <row r="236" spans="1:9" x14ac:dyDescent="0.25">
      <c r="A236" s="2" t="str">
        <f t="shared" si="6"/>
        <v/>
      </c>
      <c r="B236" s="136" t="str">
        <f>IF(D236&lt;&gt;"",'DATA TILL SLU'!$J$3,"")</f>
        <v/>
      </c>
      <c r="C236" s="146" t="str">
        <f>IF(D236&lt;&gt;"",'DATA TILL SLU'!$K$3,"")</f>
        <v/>
      </c>
      <c r="D236" s="2" t="str">
        <f>IF('DATA TILL SLU'!$D$7*1&lt;&gt;"",IF(COUNT(Beräkningshjälp!$AC$3:$AC$1082)&gt;=ROW(D235),'DATA TILL SLU'!$D$7*1,""),"")</f>
        <v/>
      </c>
      <c r="E236" s="136" t="str">
        <f>IF(D236&lt;&gt;"",VLOOKUP(ROW(E235),Beräkningshjälp!AC$2:AH$1082,COLUMN(Beräkningshjälp!AF$2)-COLUMN(Beräkningshjälp!AC$2)+1,FALSE),"")</f>
        <v/>
      </c>
      <c r="F236" s="352" t="str">
        <f t="shared" si="7"/>
        <v/>
      </c>
      <c r="G236" s="2" t="str">
        <f>IF(D236&lt;&gt;"",IF(VLOOKUP(VLOOKUP(E236,Beräkningshjälp!O$2:U$60,7,FALSE),Artuppgifter!$I$11:$P$22,8,FALSE)=TRUE,"Medelvikter!!","ALLA"),"")</f>
        <v/>
      </c>
      <c r="H236" s="2" t="str">
        <f>IF(D236&lt;&gt;"",VLOOKUP(ROW(H235),Beräkningshjälp!AC$2:AH$1082,COLUMN(Beräkningshjälp!AH$2)-COLUMN(Beräkningshjälp!AC$2)+1,FALSE),"")</f>
        <v/>
      </c>
      <c r="I236" s="116" t="str">
        <f>IF(D236&lt;&gt;"",VLOOKUP(ROW(E235),Beräkningshjälp!AC$2:AI$1082,COLUMN(Beräkningshjälp!AI$2)-COLUMN(Beräkningshjälp!AC$2)+1,FALSE),"")</f>
        <v/>
      </c>
    </row>
    <row r="237" spans="1:9" x14ac:dyDescent="0.25">
      <c r="A237" s="2" t="str">
        <f t="shared" si="6"/>
        <v/>
      </c>
      <c r="B237" s="136" t="str">
        <f>IF(D237&lt;&gt;"",'DATA TILL SLU'!$J$3,"")</f>
        <v/>
      </c>
      <c r="C237" s="146" t="str">
        <f>IF(D237&lt;&gt;"",'DATA TILL SLU'!$K$3,"")</f>
        <v/>
      </c>
      <c r="D237" s="2" t="str">
        <f>IF('DATA TILL SLU'!$D$7*1&lt;&gt;"",IF(COUNT(Beräkningshjälp!$AC$3:$AC$1082)&gt;=ROW(D236),'DATA TILL SLU'!$D$7*1,""),"")</f>
        <v/>
      </c>
      <c r="E237" s="136" t="str">
        <f>IF(D237&lt;&gt;"",VLOOKUP(ROW(E236),Beräkningshjälp!AC$2:AH$1082,COLUMN(Beräkningshjälp!AF$2)-COLUMN(Beräkningshjälp!AC$2)+1,FALSE),"")</f>
        <v/>
      </c>
      <c r="F237" s="352" t="str">
        <f t="shared" si="7"/>
        <v/>
      </c>
      <c r="G237" s="2" t="str">
        <f>IF(D237&lt;&gt;"",IF(VLOOKUP(VLOOKUP(E237,Beräkningshjälp!O$2:U$60,7,FALSE),Artuppgifter!$I$11:$P$22,8,FALSE)=TRUE,"Medelvikter!!","ALLA"),"")</f>
        <v/>
      </c>
      <c r="H237" s="2" t="str">
        <f>IF(D237&lt;&gt;"",VLOOKUP(ROW(H236),Beräkningshjälp!AC$2:AH$1082,COLUMN(Beräkningshjälp!AH$2)-COLUMN(Beräkningshjälp!AC$2)+1,FALSE),"")</f>
        <v/>
      </c>
      <c r="I237" s="116" t="str">
        <f>IF(D237&lt;&gt;"",VLOOKUP(ROW(E236),Beräkningshjälp!AC$2:AI$1082,COLUMN(Beräkningshjälp!AI$2)-COLUMN(Beräkningshjälp!AC$2)+1,FALSE),"")</f>
        <v/>
      </c>
    </row>
    <row r="238" spans="1:9" x14ac:dyDescent="0.25">
      <c r="A238" s="2" t="str">
        <f t="shared" si="6"/>
        <v/>
      </c>
      <c r="B238" s="136" t="str">
        <f>IF(D238&lt;&gt;"",'DATA TILL SLU'!$J$3,"")</f>
        <v/>
      </c>
      <c r="C238" s="146" t="str">
        <f>IF(D238&lt;&gt;"",'DATA TILL SLU'!$K$3,"")</f>
        <v/>
      </c>
      <c r="D238" s="2" t="str">
        <f>IF('DATA TILL SLU'!$D$7*1&lt;&gt;"",IF(COUNT(Beräkningshjälp!$AC$3:$AC$1082)&gt;=ROW(D237),'DATA TILL SLU'!$D$7*1,""),"")</f>
        <v/>
      </c>
      <c r="E238" s="136" t="str">
        <f>IF(D238&lt;&gt;"",VLOOKUP(ROW(E237),Beräkningshjälp!AC$2:AH$1082,COLUMN(Beräkningshjälp!AF$2)-COLUMN(Beräkningshjälp!AC$2)+1,FALSE),"")</f>
        <v/>
      </c>
      <c r="F238" s="352" t="str">
        <f t="shared" si="7"/>
        <v/>
      </c>
      <c r="G238" s="2" t="str">
        <f>IF(D238&lt;&gt;"",IF(VLOOKUP(VLOOKUP(E238,Beräkningshjälp!O$2:U$60,7,FALSE),Artuppgifter!$I$11:$P$22,8,FALSE)=TRUE,"Medelvikter!!","ALLA"),"")</f>
        <v/>
      </c>
      <c r="H238" s="2" t="str">
        <f>IF(D238&lt;&gt;"",VLOOKUP(ROW(H237),Beräkningshjälp!AC$2:AH$1082,COLUMN(Beräkningshjälp!AH$2)-COLUMN(Beräkningshjälp!AC$2)+1,FALSE),"")</f>
        <v/>
      </c>
      <c r="I238" s="116" t="str">
        <f>IF(D238&lt;&gt;"",VLOOKUP(ROW(E237),Beräkningshjälp!AC$2:AI$1082,COLUMN(Beräkningshjälp!AI$2)-COLUMN(Beräkningshjälp!AC$2)+1,FALSE),"")</f>
        <v/>
      </c>
    </row>
    <row r="239" spans="1:9" x14ac:dyDescent="0.25">
      <c r="A239" s="2" t="str">
        <f t="shared" si="6"/>
        <v/>
      </c>
      <c r="B239" s="136" t="str">
        <f>IF(D239&lt;&gt;"",'DATA TILL SLU'!$J$3,"")</f>
        <v/>
      </c>
      <c r="C239" s="146" t="str">
        <f>IF(D239&lt;&gt;"",'DATA TILL SLU'!$K$3,"")</f>
        <v/>
      </c>
      <c r="D239" s="2" t="str">
        <f>IF('DATA TILL SLU'!$D$7*1&lt;&gt;"",IF(COUNT(Beräkningshjälp!$AC$3:$AC$1082)&gt;=ROW(D238),'DATA TILL SLU'!$D$7*1,""),"")</f>
        <v/>
      </c>
      <c r="E239" s="136" t="str">
        <f>IF(D239&lt;&gt;"",VLOOKUP(ROW(E238),Beräkningshjälp!AC$2:AH$1082,COLUMN(Beräkningshjälp!AF$2)-COLUMN(Beräkningshjälp!AC$2)+1,FALSE),"")</f>
        <v/>
      </c>
      <c r="F239" s="352" t="str">
        <f t="shared" si="7"/>
        <v/>
      </c>
      <c r="G239" s="2" t="str">
        <f>IF(D239&lt;&gt;"",IF(VLOOKUP(VLOOKUP(E239,Beräkningshjälp!O$2:U$60,7,FALSE),Artuppgifter!$I$11:$P$22,8,FALSE)=TRUE,"Medelvikter!!","ALLA"),"")</f>
        <v/>
      </c>
      <c r="H239" s="2" t="str">
        <f>IF(D239&lt;&gt;"",VLOOKUP(ROW(H238),Beräkningshjälp!AC$2:AH$1082,COLUMN(Beräkningshjälp!AH$2)-COLUMN(Beräkningshjälp!AC$2)+1,FALSE),"")</f>
        <v/>
      </c>
      <c r="I239" s="116" t="str">
        <f>IF(D239&lt;&gt;"",VLOOKUP(ROW(E238),Beräkningshjälp!AC$2:AI$1082,COLUMN(Beräkningshjälp!AI$2)-COLUMN(Beräkningshjälp!AC$2)+1,FALSE),"")</f>
        <v/>
      </c>
    </row>
    <row r="240" spans="1:9" x14ac:dyDescent="0.25">
      <c r="A240" s="2" t="str">
        <f t="shared" si="6"/>
        <v/>
      </c>
      <c r="B240" s="136" t="str">
        <f>IF(D240&lt;&gt;"",'DATA TILL SLU'!$J$3,"")</f>
        <v/>
      </c>
      <c r="C240" s="146" t="str">
        <f>IF(D240&lt;&gt;"",'DATA TILL SLU'!$K$3,"")</f>
        <v/>
      </c>
      <c r="D240" s="2" t="str">
        <f>IF('DATA TILL SLU'!$D$7*1&lt;&gt;"",IF(COUNT(Beräkningshjälp!$AC$3:$AC$1082)&gt;=ROW(D239),'DATA TILL SLU'!$D$7*1,""),"")</f>
        <v/>
      </c>
      <c r="E240" s="136" t="str">
        <f>IF(D240&lt;&gt;"",VLOOKUP(ROW(E239),Beräkningshjälp!AC$2:AH$1082,COLUMN(Beräkningshjälp!AF$2)-COLUMN(Beräkningshjälp!AC$2)+1,FALSE),"")</f>
        <v/>
      </c>
      <c r="F240" s="352" t="str">
        <f t="shared" si="7"/>
        <v/>
      </c>
      <c r="G240" s="2" t="str">
        <f>IF(D240&lt;&gt;"",IF(VLOOKUP(VLOOKUP(E240,Beräkningshjälp!O$2:U$60,7,FALSE),Artuppgifter!$I$11:$P$22,8,FALSE)=TRUE,"Medelvikter!!","ALLA"),"")</f>
        <v/>
      </c>
      <c r="H240" s="2" t="str">
        <f>IF(D240&lt;&gt;"",VLOOKUP(ROW(H239),Beräkningshjälp!AC$2:AH$1082,COLUMN(Beräkningshjälp!AH$2)-COLUMN(Beräkningshjälp!AC$2)+1,FALSE),"")</f>
        <v/>
      </c>
      <c r="I240" s="116" t="str">
        <f>IF(D240&lt;&gt;"",VLOOKUP(ROW(E239),Beräkningshjälp!AC$2:AI$1082,COLUMN(Beräkningshjälp!AI$2)-COLUMN(Beräkningshjälp!AC$2)+1,FALSE),"")</f>
        <v/>
      </c>
    </row>
    <row r="241" spans="1:9" x14ac:dyDescent="0.25">
      <c r="A241" s="2" t="str">
        <f t="shared" si="6"/>
        <v/>
      </c>
      <c r="B241" s="136" t="str">
        <f>IF(D241&lt;&gt;"",'DATA TILL SLU'!$J$3,"")</f>
        <v/>
      </c>
      <c r="C241" s="146" t="str">
        <f>IF(D241&lt;&gt;"",'DATA TILL SLU'!$K$3,"")</f>
        <v/>
      </c>
      <c r="D241" s="2" t="str">
        <f>IF('DATA TILL SLU'!$D$7*1&lt;&gt;"",IF(COUNT(Beräkningshjälp!$AC$3:$AC$1082)&gt;=ROW(D240),'DATA TILL SLU'!$D$7*1,""),"")</f>
        <v/>
      </c>
      <c r="E241" s="136" t="str">
        <f>IF(D241&lt;&gt;"",VLOOKUP(ROW(E240),Beräkningshjälp!AC$2:AH$1082,COLUMN(Beräkningshjälp!AF$2)-COLUMN(Beräkningshjälp!AC$2)+1,FALSE),"")</f>
        <v/>
      </c>
      <c r="F241" s="352" t="str">
        <f t="shared" si="7"/>
        <v/>
      </c>
      <c r="G241" s="2" t="str">
        <f>IF(D241&lt;&gt;"",IF(VLOOKUP(VLOOKUP(E241,Beräkningshjälp!O$2:U$60,7,FALSE),Artuppgifter!$I$11:$P$22,8,FALSE)=TRUE,"Medelvikter!!","ALLA"),"")</f>
        <v/>
      </c>
      <c r="H241" s="2" t="str">
        <f>IF(D241&lt;&gt;"",VLOOKUP(ROW(H240),Beräkningshjälp!AC$2:AH$1082,COLUMN(Beräkningshjälp!AH$2)-COLUMN(Beräkningshjälp!AC$2)+1,FALSE),"")</f>
        <v/>
      </c>
      <c r="I241" s="116" t="str">
        <f>IF(D241&lt;&gt;"",VLOOKUP(ROW(E240),Beräkningshjälp!AC$2:AI$1082,COLUMN(Beräkningshjälp!AI$2)-COLUMN(Beräkningshjälp!AC$2)+1,FALSE),"")</f>
        <v/>
      </c>
    </row>
    <row r="242" spans="1:9" x14ac:dyDescent="0.25">
      <c r="A242" s="2" t="str">
        <f t="shared" si="6"/>
        <v/>
      </c>
      <c r="B242" s="136" t="str">
        <f>IF(D242&lt;&gt;"",'DATA TILL SLU'!$J$3,"")</f>
        <v/>
      </c>
      <c r="C242" s="146" t="str">
        <f>IF(D242&lt;&gt;"",'DATA TILL SLU'!$K$3,"")</f>
        <v/>
      </c>
      <c r="D242" s="2" t="str">
        <f>IF('DATA TILL SLU'!$D$7*1&lt;&gt;"",IF(COUNT(Beräkningshjälp!$AC$3:$AC$1082)&gt;=ROW(D241),'DATA TILL SLU'!$D$7*1,""),"")</f>
        <v/>
      </c>
      <c r="E242" s="136" t="str">
        <f>IF(D242&lt;&gt;"",VLOOKUP(ROW(E241),Beräkningshjälp!AC$2:AH$1082,COLUMN(Beräkningshjälp!AF$2)-COLUMN(Beräkningshjälp!AC$2)+1,FALSE),"")</f>
        <v/>
      </c>
      <c r="F242" s="352" t="str">
        <f t="shared" si="7"/>
        <v/>
      </c>
      <c r="G242" s="2" t="str">
        <f>IF(D242&lt;&gt;"",IF(VLOOKUP(VLOOKUP(E242,Beräkningshjälp!O$2:U$60,7,FALSE),Artuppgifter!$I$11:$P$22,8,FALSE)=TRUE,"Medelvikter!!","ALLA"),"")</f>
        <v/>
      </c>
      <c r="H242" s="2" t="str">
        <f>IF(D242&lt;&gt;"",VLOOKUP(ROW(H241),Beräkningshjälp!AC$2:AH$1082,COLUMN(Beräkningshjälp!AH$2)-COLUMN(Beräkningshjälp!AC$2)+1,FALSE),"")</f>
        <v/>
      </c>
      <c r="I242" s="116" t="str">
        <f>IF(D242&lt;&gt;"",VLOOKUP(ROW(E241),Beräkningshjälp!AC$2:AI$1082,COLUMN(Beräkningshjälp!AI$2)-COLUMN(Beräkningshjälp!AC$2)+1,FALSE),"")</f>
        <v/>
      </c>
    </row>
    <row r="243" spans="1:9" x14ac:dyDescent="0.25">
      <c r="A243" s="2" t="str">
        <f t="shared" si="6"/>
        <v/>
      </c>
      <c r="B243" s="136" t="str">
        <f>IF(D243&lt;&gt;"",'DATA TILL SLU'!$J$3,"")</f>
        <v/>
      </c>
      <c r="C243" s="146" t="str">
        <f>IF(D243&lt;&gt;"",'DATA TILL SLU'!$K$3,"")</f>
        <v/>
      </c>
      <c r="D243" s="2" t="str">
        <f>IF('DATA TILL SLU'!$D$7*1&lt;&gt;"",IF(COUNT(Beräkningshjälp!$AC$3:$AC$1082)&gt;=ROW(D242),'DATA TILL SLU'!$D$7*1,""),"")</f>
        <v/>
      </c>
      <c r="E243" s="136" t="str">
        <f>IF(D243&lt;&gt;"",VLOOKUP(ROW(E242),Beräkningshjälp!AC$2:AH$1082,COLUMN(Beräkningshjälp!AF$2)-COLUMN(Beräkningshjälp!AC$2)+1,FALSE),"")</f>
        <v/>
      </c>
      <c r="F243" s="352" t="str">
        <f t="shared" si="7"/>
        <v/>
      </c>
      <c r="G243" s="2" t="str">
        <f>IF(D243&lt;&gt;"",IF(VLOOKUP(VLOOKUP(E243,Beräkningshjälp!O$2:U$60,7,FALSE),Artuppgifter!$I$11:$P$22,8,FALSE)=TRUE,"Medelvikter!!","ALLA"),"")</f>
        <v/>
      </c>
      <c r="H243" s="2" t="str">
        <f>IF(D243&lt;&gt;"",VLOOKUP(ROW(H242),Beräkningshjälp!AC$2:AH$1082,COLUMN(Beräkningshjälp!AH$2)-COLUMN(Beräkningshjälp!AC$2)+1,FALSE),"")</f>
        <v/>
      </c>
      <c r="I243" s="116" t="str">
        <f>IF(D243&lt;&gt;"",VLOOKUP(ROW(E242),Beräkningshjälp!AC$2:AI$1082,COLUMN(Beräkningshjälp!AI$2)-COLUMN(Beräkningshjälp!AC$2)+1,FALSE),"")</f>
        <v/>
      </c>
    </row>
    <row r="244" spans="1:9" x14ac:dyDescent="0.25">
      <c r="A244" s="2" t="str">
        <f t="shared" si="6"/>
        <v/>
      </c>
      <c r="B244" s="136" t="str">
        <f>IF(D244&lt;&gt;"",'DATA TILL SLU'!$J$3,"")</f>
        <v/>
      </c>
      <c r="C244" s="146" t="str">
        <f>IF(D244&lt;&gt;"",'DATA TILL SLU'!$K$3,"")</f>
        <v/>
      </c>
      <c r="D244" s="2" t="str">
        <f>IF('DATA TILL SLU'!$D$7*1&lt;&gt;"",IF(COUNT(Beräkningshjälp!$AC$3:$AC$1082)&gt;=ROW(D243),'DATA TILL SLU'!$D$7*1,""),"")</f>
        <v/>
      </c>
      <c r="E244" s="136" t="str">
        <f>IF(D244&lt;&gt;"",VLOOKUP(ROW(E243),Beräkningshjälp!AC$2:AH$1082,COLUMN(Beräkningshjälp!AF$2)-COLUMN(Beräkningshjälp!AC$2)+1,FALSE),"")</f>
        <v/>
      </c>
      <c r="F244" s="352" t="str">
        <f t="shared" si="7"/>
        <v/>
      </c>
      <c r="G244" s="2" t="str">
        <f>IF(D244&lt;&gt;"",IF(VLOOKUP(VLOOKUP(E244,Beräkningshjälp!O$2:U$60,7,FALSE),Artuppgifter!$I$11:$P$22,8,FALSE)=TRUE,"Medelvikter!!","ALLA"),"")</f>
        <v/>
      </c>
      <c r="H244" s="2" t="str">
        <f>IF(D244&lt;&gt;"",VLOOKUP(ROW(H243),Beräkningshjälp!AC$2:AH$1082,COLUMN(Beräkningshjälp!AH$2)-COLUMN(Beräkningshjälp!AC$2)+1,FALSE),"")</f>
        <v/>
      </c>
      <c r="I244" s="116" t="str">
        <f>IF(D244&lt;&gt;"",VLOOKUP(ROW(E243),Beräkningshjälp!AC$2:AI$1082,COLUMN(Beräkningshjälp!AI$2)-COLUMN(Beräkningshjälp!AC$2)+1,FALSE),"")</f>
        <v/>
      </c>
    </row>
    <row r="245" spans="1:9" x14ac:dyDescent="0.25">
      <c r="A245" s="2" t="str">
        <f t="shared" si="6"/>
        <v/>
      </c>
      <c r="B245" s="136" t="str">
        <f>IF(D245&lt;&gt;"",'DATA TILL SLU'!$J$3,"")</f>
        <v/>
      </c>
      <c r="C245" s="146" t="str">
        <f>IF(D245&lt;&gt;"",'DATA TILL SLU'!$K$3,"")</f>
        <v/>
      </c>
      <c r="D245" s="2" t="str">
        <f>IF('DATA TILL SLU'!$D$7*1&lt;&gt;"",IF(COUNT(Beräkningshjälp!$AC$3:$AC$1082)&gt;=ROW(D244),'DATA TILL SLU'!$D$7*1,""),"")</f>
        <v/>
      </c>
      <c r="E245" s="136" t="str">
        <f>IF(D245&lt;&gt;"",VLOOKUP(ROW(E244),Beräkningshjälp!AC$2:AH$1082,COLUMN(Beräkningshjälp!AF$2)-COLUMN(Beräkningshjälp!AC$2)+1,FALSE),"")</f>
        <v/>
      </c>
      <c r="F245" s="352" t="str">
        <f t="shared" si="7"/>
        <v/>
      </c>
      <c r="G245" s="2" t="str">
        <f>IF(D245&lt;&gt;"",IF(VLOOKUP(VLOOKUP(E245,Beräkningshjälp!O$2:U$60,7,FALSE),Artuppgifter!$I$11:$P$22,8,FALSE)=TRUE,"Medelvikter!!","ALLA"),"")</f>
        <v/>
      </c>
      <c r="H245" s="2" t="str">
        <f>IF(D245&lt;&gt;"",VLOOKUP(ROW(H244),Beräkningshjälp!AC$2:AH$1082,COLUMN(Beräkningshjälp!AH$2)-COLUMN(Beräkningshjälp!AC$2)+1,FALSE),"")</f>
        <v/>
      </c>
      <c r="I245" s="116" t="str">
        <f>IF(D245&lt;&gt;"",VLOOKUP(ROW(E244),Beräkningshjälp!AC$2:AI$1082,COLUMN(Beräkningshjälp!AI$2)-COLUMN(Beräkningshjälp!AC$2)+1,FALSE),"")</f>
        <v/>
      </c>
    </row>
    <row r="246" spans="1:9" x14ac:dyDescent="0.25">
      <c r="A246" s="2" t="str">
        <f t="shared" si="6"/>
        <v/>
      </c>
      <c r="B246" s="136" t="str">
        <f>IF(D246&lt;&gt;"",'DATA TILL SLU'!$J$3,"")</f>
        <v/>
      </c>
      <c r="C246" s="146" t="str">
        <f>IF(D246&lt;&gt;"",'DATA TILL SLU'!$K$3,"")</f>
        <v/>
      </c>
      <c r="D246" s="2" t="str">
        <f>IF('DATA TILL SLU'!$D$7*1&lt;&gt;"",IF(COUNT(Beräkningshjälp!$AC$3:$AC$1082)&gt;=ROW(D245),'DATA TILL SLU'!$D$7*1,""),"")</f>
        <v/>
      </c>
      <c r="E246" s="136" t="str">
        <f>IF(D246&lt;&gt;"",VLOOKUP(ROW(E245),Beräkningshjälp!AC$2:AH$1082,COLUMN(Beräkningshjälp!AF$2)-COLUMN(Beräkningshjälp!AC$2)+1,FALSE),"")</f>
        <v/>
      </c>
      <c r="F246" s="352" t="str">
        <f t="shared" si="7"/>
        <v/>
      </c>
      <c r="G246" s="2" t="str">
        <f>IF(D246&lt;&gt;"",IF(VLOOKUP(VLOOKUP(E246,Beräkningshjälp!O$2:U$60,7,FALSE),Artuppgifter!$I$11:$P$22,8,FALSE)=TRUE,"Medelvikter!!","ALLA"),"")</f>
        <v/>
      </c>
      <c r="H246" s="2" t="str">
        <f>IF(D246&lt;&gt;"",VLOOKUP(ROW(H245),Beräkningshjälp!AC$2:AH$1082,COLUMN(Beräkningshjälp!AH$2)-COLUMN(Beräkningshjälp!AC$2)+1,FALSE),"")</f>
        <v/>
      </c>
      <c r="I246" s="116" t="str">
        <f>IF(D246&lt;&gt;"",VLOOKUP(ROW(E245),Beräkningshjälp!AC$2:AI$1082,COLUMN(Beräkningshjälp!AI$2)-COLUMN(Beräkningshjälp!AC$2)+1,FALSE),"")</f>
        <v/>
      </c>
    </row>
    <row r="247" spans="1:9" x14ac:dyDescent="0.25">
      <c r="A247" s="2" t="str">
        <f t="shared" si="6"/>
        <v/>
      </c>
      <c r="B247" s="136" t="str">
        <f>IF(D247&lt;&gt;"",'DATA TILL SLU'!$J$3,"")</f>
        <v/>
      </c>
      <c r="C247" s="146" t="str">
        <f>IF(D247&lt;&gt;"",'DATA TILL SLU'!$K$3,"")</f>
        <v/>
      </c>
      <c r="D247" s="2" t="str">
        <f>IF('DATA TILL SLU'!$D$7*1&lt;&gt;"",IF(COUNT(Beräkningshjälp!$AC$3:$AC$1082)&gt;=ROW(D246),'DATA TILL SLU'!$D$7*1,""),"")</f>
        <v/>
      </c>
      <c r="E247" s="136" t="str">
        <f>IF(D247&lt;&gt;"",VLOOKUP(ROW(E246),Beräkningshjälp!AC$2:AH$1082,COLUMN(Beräkningshjälp!AF$2)-COLUMN(Beräkningshjälp!AC$2)+1,FALSE),"")</f>
        <v/>
      </c>
      <c r="F247" s="352" t="str">
        <f t="shared" si="7"/>
        <v/>
      </c>
      <c r="G247" s="2" t="str">
        <f>IF(D247&lt;&gt;"",IF(VLOOKUP(VLOOKUP(E247,Beräkningshjälp!O$2:U$60,7,FALSE),Artuppgifter!$I$11:$P$22,8,FALSE)=TRUE,"Medelvikter!!","ALLA"),"")</f>
        <v/>
      </c>
      <c r="H247" s="2" t="str">
        <f>IF(D247&lt;&gt;"",VLOOKUP(ROW(H246),Beräkningshjälp!AC$2:AH$1082,COLUMN(Beräkningshjälp!AH$2)-COLUMN(Beräkningshjälp!AC$2)+1,FALSE),"")</f>
        <v/>
      </c>
      <c r="I247" s="116" t="str">
        <f>IF(D247&lt;&gt;"",VLOOKUP(ROW(E246),Beräkningshjälp!AC$2:AI$1082,COLUMN(Beräkningshjälp!AI$2)-COLUMN(Beräkningshjälp!AC$2)+1,FALSE),"")</f>
        <v/>
      </c>
    </row>
    <row r="248" spans="1:9" x14ac:dyDescent="0.25">
      <c r="A248" s="2" t="str">
        <f t="shared" si="6"/>
        <v/>
      </c>
      <c r="B248" s="136" t="str">
        <f>IF(D248&lt;&gt;"",'DATA TILL SLU'!$J$3,"")</f>
        <v/>
      </c>
      <c r="C248" s="146" t="str">
        <f>IF(D248&lt;&gt;"",'DATA TILL SLU'!$K$3,"")</f>
        <v/>
      </c>
      <c r="D248" s="2" t="str">
        <f>IF('DATA TILL SLU'!$D$7*1&lt;&gt;"",IF(COUNT(Beräkningshjälp!$AC$3:$AC$1082)&gt;=ROW(D247),'DATA TILL SLU'!$D$7*1,""),"")</f>
        <v/>
      </c>
      <c r="E248" s="136" t="str">
        <f>IF(D248&lt;&gt;"",VLOOKUP(ROW(E247),Beräkningshjälp!AC$2:AH$1082,COLUMN(Beräkningshjälp!AF$2)-COLUMN(Beräkningshjälp!AC$2)+1,FALSE),"")</f>
        <v/>
      </c>
      <c r="F248" s="352" t="str">
        <f t="shared" si="7"/>
        <v/>
      </c>
      <c r="G248" s="2" t="str">
        <f>IF(D248&lt;&gt;"",IF(VLOOKUP(VLOOKUP(E248,Beräkningshjälp!O$2:U$60,7,FALSE),Artuppgifter!$I$11:$P$22,8,FALSE)=TRUE,"Medelvikter!!","ALLA"),"")</f>
        <v/>
      </c>
      <c r="H248" s="2" t="str">
        <f>IF(D248&lt;&gt;"",VLOOKUP(ROW(H247),Beräkningshjälp!AC$2:AH$1082,COLUMN(Beräkningshjälp!AH$2)-COLUMN(Beräkningshjälp!AC$2)+1,FALSE),"")</f>
        <v/>
      </c>
      <c r="I248" s="116" t="str">
        <f>IF(D248&lt;&gt;"",VLOOKUP(ROW(E247),Beräkningshjälp!AC$2:AI$1082,COLUMN(Beräkningshjälp!AI$2)-COLUMN(Beräkningshjälp!AC$2)+1,FALSE),"")</f>
        <v/>
      </c>
    </row>
    <row r="249" spans="1:9" x14ac:dyDescent="0.25">
      <c r="A249" s="2" t="str">
        <f t="shared" si="6"/>
        <v/>
      </c>
      <c r="B249" s="136" t="str">
        <f>IF(D249&lt;&gt;"",'DATA TILL SLU'!$J$3,"")</f>
        <v/>
      </c>
      <c r="C249" s="146" t="str">
        <f>IF(D249&lt;&gt;"",'DATA TILL SLU'!$K$3,"")</f>
        <v/>
      </c>
      <c r="D249" s="2" t="str">
        <f>IF('DATA TILL SLU'!$D$7*1&lt;&gt;"",IF(COUNT(Beräkningshjälp!$AC$3:$AC$1082)&gt;=ROW(D248),'DATA TILL SLU'!$D$7*1,""),"")</f>
        <v/>
      </c>
      <c r="E249" s="136" t="str">
        <f>IF(D249&lt;&gt;"",VLOOKUP(ROW(E248),Beräkningshjälp!AC$2:AH$1082,COLUMN(Beräkningshjälp!AF$2)-COLUMN(Beräkningshjälp!AC$2)+1,FALSE),"")</f>
        <v/>
      </c>
      <c r="F249" s="352" t="str">
        <f t="shared" si="7"/>
        <v/>
      </c>
      <c r="G249" s="2" t="str">
        <f>IF(D249&lt;&gt;"",IF(VLOOKUP(VLOOKUP(E249,Beräkningshjälp!O$2:U$60,7,FALSE),Artuppgifter!$I$11:$P$22,8,FALSE)=TRUE,"Medelvikter!!","ALLA"),"")</f>
        <v/>
      </c>
      <c r="H249" s="2" t="str">
        <f>IF(D249&lt;&gt;"",VLOOKUP(ROW(H248),Beräkningshjälp!AC$2:AH$1082,COLUMN(Beräkningshjälp!AH$2)-COLUMN(Beräkningshjälp!AC$2)+1,FALSE),"")</f>
        <v/>
      </c>
      <c r="I249" s="116" t="str">
        <f>IF(D249&lt;&gt;"",VLOOKUP(ROW(E248),Beräkningshjälp!AC$2:AI$1082,COLUMN(Beräkningshjälp!AI$2)-COLUMN(Beräkningshjälp!AC$2)+1,FALSE),"")</f>
        <v/>
      </c>
    </row>
    <row r="250" spans="1:9" x14ac:dyDescent="0.25">
      <c r="A250" s="2" t="str">
        <f t="shared" si="6"/>
        <v/>
      </c>
      <c r="B250" s="136" t="str">
        <f>IF(D250&lt;&gt;"",'DATA TILL SLU'!$J$3,"")</f>
        <v/>
      </c>
      <c r="C250" s="146" t="str">
        <f>IF(D250&lt;&gt;"",'DATA TILL SLU'!$K$3,"")</f>
        <v/>
      </c>
      <c r="D250" s="2" t="str">
        <f>IF('DATA TILL SLU'!$D$7*1&lt;&gt;"",IF(COUNT(Beräkningshjälp!$AC$3:$AC$1082)&gt;=ROW(D249),'DATA TILL SLU'!$D$7*1,""),"")</f>
        <v/>
      </c>
      <c r="E250" s="136" t="str">
        <f>IF(D250&lt;&gt;"",VLOOKUP(ROW(E249),Beräkningshjälp!AC$2:AH$1082,COLUMN(Beräkningshjälp!AF$2)-COLUMN(Beräkningshjälp!AC$2)+1,FALSE),"")</f>
        <v/>
      </c>
      <c r="F250" s="352" t="str">
        <f t="shared" si="7"/>
        <v/>
      </c>
      <c r="G250" s="2" t="str">
        <f>IF(D250&lt;&gt;"",IF(VLOOKUP(VLOOKUP(E250,Beräkningshjälp!O$2:U$60,7,FALSE),Artuppgifter!$I$11:$P$22,8,FALSE)=TRUE,"Medelvikter!!","ALLA"),"")</f>
        <v/>
      </c>
      <c r="H250" s="2" t="str">
        <f>IF(D250&lt;&gt;"",VLOOKUP(ROW(H249),Beräkningshjälp!AC$2:AH$1082,COLUMN(Beräkningshjälp!AH$2)-COLUMN(Beräkningshjälp!AC$2)+1,FALSE),"")</f>
        <v/>
      </c>
      <c r="I250" s="116" t="str">
        <f>IF(D250&lt;&gt;"",VLOOKUP(ROW(E249),Beräkningshjälp!AC$2:AI$1082,COLUMN(Beräkningshjälp!AI$2)-COLUMN(Beräkningshjälp!AC$2)+1,FALSE),"")</f>
        <v/>
      </c>
    </row>
    <row r="251" spans="1:9" x14ac:dyDescent="0.25">
      <c r="A251" s="2" t="str">
        <f t="shared" si="6"/>
        <v/>
      </c>
      <c r="B251" s="136" t="str">
        <f>IF(D251&lt;&gt;"",'DATA TILL SLU'!$J$3,"")</f>
        <v/>
      </c>
      <c r="C251" s="146" t="str">
        <f>IF(D251&lt;&gt;"",'DATA TILL SLU'!$K$3,"")</f>
        <v/>
      </c>
      <c r="D251" s="2" t="str">
        <f>IF('DATA TILL SLU'!$D$7*1&lt;&gt;"",IF(COUNT(Beräkningshjälp!$AC$3:$AC$1082)&gt;=ROW(D250),'DATA TILL SLU'!$D$7*1,""),"")</f>
        <v/>
      </c>
      <c r="E251" s="136" t="str">
        <f>IF(D251&lt;&gt;"",VLOOKUP(ROW(E250),Beräkningshjälp!AC$2:AH$1082,COLUMN(Beräkningshjälp!AF$2)-COLUMN(Beräkningshjälp!AC$2)+1,FALSE),"")</f>
        <v/>
      </c>
      <c r="F251" s="352" t="str">
        <f t="shared" si="7"/>
        <v/>
      </c>
      <c r="G251" s="2" t="str">
        <f>IF(D251&lt;&gt;"",IF(VLOOKUP(VLOOKUP(E251,Beräkningshjälp!O$2:U$60,7,FALSE),Artuppgifter!$I$11:$P$22,8,FALSE)=TRUE,"Medelvikter!!","ALLA"),"")</f>
        <v/>
      </c>
      <c r="H251" s="2" t="str">
        <f>IF(D251&lt;&gt;"",VLOOKUP(ROW(H250),Beräkningshjälp!AC$2:AH$1082,COLUMN(Beräkningshjälp!AH$2)-COLUMN(Beräkningshjälp!AC$2)+1,FALSE),"")</f>
        <v/>
      </c>
      <c r="I251" s="116" t="str">
        <f>IF(D251&lt;&gt;"",VLOOKUP(ROW(E250),Beräkningshjälp!AC$2:AI$1082,COLUMN(Beräkningshjälp!AI$2)-COLUMN(Beräkningshjälp!AC$2)+1,FALSE),"")</f>
        <v/>
      </c>
    </row>
    <row r="252" spans="1:9" x14ac:dyDescent="0.25">
      <c r="A252" s="2" t="str">
        <f t="shared" si="6"/>
        <v/>
      </c>
      <c r="B252" s="136" t="str">
        <f>IF(D252&lt;&gt;"",'DATA TILL SLU'!$J$3,"")</f>
        <v/>
      </c>
      <c r="C252" s="146" t="str">
        <f>IF(D252&lt;&gt;"",'DATA TILL SLU'!$K$3,"")</f>
        <v/>
      </c>
      <c r="D252" s="2" t="str">
        <f>IF('DATA TILL SLU'!$D$7*1&lt;&gt;"",IF(COUNT(Beräkningshjälp!$AC$3:$AC$1082)&gt;=ROW(D251),'DATA TILL SLU'!$D$7*1,""),"")</f>
        <v/>
      </c>
      <c r="E252" s="136" t="str">
        <f>IF(D252&lt;&gt;"",VLOOKUP(ROW(E251),Beräkningshjälp!AC$2:AH$1082,COLUMN(Beräkningshjälp!AF$2)-COLUMN(Beräkningshjälp!AC$2)+1,FALSE),"")</f>
        <v/>
      </c>
      <c r="F252" s="352" t="str">
        <f t="shared" si="7"/>
        <v/>
      </c>
      <c r="G252" s="2" t="str">
        <f>IF(D252&lt;&gt;"",IF(VLOOKUP(VLOOKUP(E252,Beräkningshjälp!O$2:U$60,7,FALSE),Artuppgifter!$I$11:$P$22,8,FALSE)=TRUE,"Medelvikter!!","ALLA"),"")</f>
        <v/>
      </c>
      <c r="H252" s="2" t="str">
        <f>IF(D252&lt;&gt;"",VLOOKUP(ROW(H251),Beräkningshjälp!AC$2:AH$1082,COLUMN(Beräkningshjälp!AH$2)-COLUMN(Beräkningshjälp!AC$2)+1,FALSE),"")</f>
        <v/>
      </c>
      <c r="I252" s="116" t="str">
        <f>IF(D252&lt;&gt;"",VLOOKUP(ROW(E251),Beräkningshjälp!AC$2:AI$1082,COLUMN(Beräkningshjälp!AI$2)-COLUMN(Beräkningshjälp!AC$2)+1,FALSE),"")</f>
        <v/>
      </c>
    </row>
    <row r="253" spans="1:9" x14ac:dyDescent="0.25">
      <c r="A253" s="2" t="str">
        <f t="shared" si="6"/>
        <v/>
      </c>
      <c r="B253" s="136" t="str">
        <f>IF(D253&lt;&gt;"",'DATA TILL SLU'!$J$3,"")</f>
        <v/>
      </c>
      <c r="C253" s="146" t="str">
        <f>IF(D253&lt;&gt;"",'DATA TILL SLU'!$K$3,"")</f>
        <v/>
      </c>
      <c r="D253" s="2" t="str">
        <f>IF('DATA TILL SLU'!$D$7*1&lt;&gt;"",IF(COUNT(Beräkningshjälp!$AC$3:$AC$1082)&gt;=ROW(D252),'DATA TILL SLU'!$D$7*1,""),"")</f>
        <v/>
      </c>
      <c r="E253" s="136" t="str">
        <f>IF(D253&lt;&gt;"",VLOOKUP(ROW(E252),Beräkningshjälp!AC$2:AH$1082,COLUMN(Beräkningshjälp!AF$2)-COLUMN(Beräkningshjälp!AC$2)+1,FALSE),"")</f>
        <v/>
      </c>
      <c r="F253" s="352" t="str">
        <f t="shared" si="7"/>
        <v/>
      </c>
      <c r="G253" s="2" t="str">
        <f>IF(D253&lt;&gt;"",IF(VLOOKUP(VLOOKUP(E253,Beräkningshjälp!O$2:U$60,7,FALSE),Artuppgifter!$I$11:$P$22,8,FALSE)=TRUE,"Medelvikter!!","ALLA"),"")</f>
        <v/>
      </c>
      <c r="H253" s="2" t="str">
        <f>IF(D253&lt;&gt;"",VLOOKUP(ROW(H252),Beräkningshjälp!AC$2:AH$1082,COLUMN(Beräkningshjälp!AH$2)-COLUMN(Beräkningshjälp!AC$2)+1,FALSE),"")</f>
        <v/>
      </c>
      <c r="I253" s="116" t="str">
        <f>IF(D253&lt;&gt;"",VLOOKUP(ROW(E252),Beräkningshjälp!AC$2:AI$1082,COLUMN(Beräkningshjälp!AI$2)-COLUMN(Beräkningshjälp!AC$2)+1,FALSE),"")</f>
        <v/>
      </c>
    </row>
    <row r="254" spans="1:9" x14ac:dyDescent="0.25">
      <c r="A254" s="2" t="str">
        <f t="shared" si="6"/>
        <v/>
      </c>
      <c r="B254" s="136" t="str">
        <f>IF(D254&lt;&gt;"",'DATA TILL SLU'!$J$3,"")</f>
        <v/>
      </c>
      <c r="C254" s="146" t="str">
        <f>IF(D254&lt;&gt;"",'DATA TILL SLU'!$K$3,"")</f>
        <v/>
      </c>
      <c r="D254" s="2" t="str">
        <f>IF('DATA TILL SLU'!$D$7*1&lt;&gt;"",IF(COUNT(Beräkningshjälp!$AC$3:$AC$1082)&gt;=ROW(D253),'DATA TILL SLU'!$D$7*1,""),"")</f>
        <v/>
      </c>
      <c r="E254" s="136" t="str">
        <f>IF(D254&lt;&gt;"",VLOOKUP(ROW(E253),Beräkningshjälp!AC$2:AH$1082,COLUMN(Beräkningshjälp!AF$2)-COLUMN(Beräkningshjälp!AC$2)+1,FALSE),"")</f>
        <v/>
      </c>
      <c r="F254" s="352" t="str">
        <f t="shared" si="7"/>
        <v/>
      </c>
      <c r="G254" s="2" t="str">
        <f>IF(D254&lt;&gt;"",IF(VLOOKUP(VLOOKUP(E254,Beräkningshjälp!O$2:U$60,7,FALSE),Artuppgifter!$I$11:$P$22,8,FALSE)=TRUE,"Medelvikter!!","ALLA"),"")</f>
        <v/>
      </c>
      <c r="H254" s="2" t="str">
        <f>IF(D254&lt;&gt;"",VLOOKUP(ROW(H253),Beräkningshjälp!AC$2:AH$1082,COLUMN(Beräkningshjälp!AH$2)-COLUMN(Beräkningshjälp!AC$2)+1,FALSE),"")</f>
        <v/>
      </c>
      <c r="I254" s="116" t="str">
        <f>IF(D254&lt;&gt;"",VLOOKUP(ROW(E253),Beräkningshjälp!AC$2:AI$1082,COLUMN(Beräkningshjälp!AI$2)-COLUMN(Beräkningshjälp!AC$2)+1,FALSE),"")</f>
        <v/>
      </c>
    </row>
    <row r="255" spans="1:9" x14ac:dyDescent="0.25">
      <c r="A255" s="2" t="str">
        <f t="shared" si="6"/>
        <v/>
      </c>
      <c r="B255" s="136" t="str">
        <f>IF(D255&lt;&gt;"",'DATA TILL SLU'!$J$3,"")</f>
        <v/>
      </c>
      <c r="C255" s="146" t="str">
        <f>IF(D255&lt;&gt;"",'DATA TILL SLU'!$K$3,"")</f>
        <v/>
      </c>
      <c r="D255" s="2" t="str">
        <f>IF('DATA TILL SLU'!$D$7*1&lt;&gt;"",IF(COUNT(Beräkningshjälp!$AC$3:$AC$1082)&gt;=ROW(D254),'DATA TILL SLU'!$D$7*1,""),"")</f>
        <v/>
      </c>
      <c r="E255" s="136" t="str">
        <f>IF(D255&lt;&gt;"",VLOOKUP(ROW(E254),Beräkningshjälp!AC$2:AH$1082,COLUMN(Beräkningshjälp!AF$2)-COLUMN(Beräkningshjälp!AC$2)+1,FALSE),"")</f>
        <v/>
      </c>
      <c r="F255" s="352" t="str">
        <f t="shared" si="7"/>
        <v/>
      </c>
      <c r="G255" s="2" t="str">
        <f>IF(D255&lt;&gt;"",IF(VLOOKUP(VLOOKUP(E255,Beräkningshjälp!O$2:U$60,7,FALSE),Artuppgifter!$I$11:$P$22,8,FALSE)=TRUE,"Medelvikter!!","ALLA"),"")</f>
        <v/>
      </c>
      <c r="H255" s="2" t="str">
        <f>IF(D255&lt;&gt;"",VLOOKUP(ROW(H254),Beräkningshjälp!AC$2:AH$1082,COLUMN(Beräkningshjälp!AH$2)-COLUMN(Beräkningshjälp!AC$2)+1,FALSE),"")</f>
        <v/>
      </c>
      <c r="I255" s="116" t="str">
        <f>IF(D255&lt;&gt;"",VLOOKUP(ROW(E254),Beräkningshjälp!AC$2:AI$1082,COLUMN(Beräkningshjälp!AI$2)-COLUMN(Beräkningshjälp!AC$2)+1,FALSE),"")</f>
        <v/>
      </c>
    </row>
    <row r="256" spans="1:9" x14ac:dyDescent="0.25">
      <c r="A256" s="2" t="str">
        <f t="shared" si="6"/>
        <v/>
      </c>
      <c r="B256" s="136" t="str">
        <f>IF(D256&lt;&gt;"",'DATA TILL SLU'!$J$3,"")</f>
        <v/>
      </c>
      <c r="C256" s="146" t="str">
        <f>IF(D256&lt;&gt;"",'DATA TILL SLU'!$K$3,"")</f>
        <v/>
      </c>
      <c r="D256" s="2" t="str">
        <f>IF('DATA TILL SLU'!$D$7*1&lt;&gt;"",IF(COUNT(Beräkningshjälp!$AC$3:$AC$1082)&gt;=ROW(D255),'DATA TILL SLU'!$D$7*1,""),"")</f>
        <v/>
      </c>
      <c r="E256" s="136" t="str">
        <f>IF(D256&lt;&gt;"",VLOOKUP(ROW(E255),Beräkningshjälp!AC$2:AH$1082,COLUMN(Beräkningshjälp!AF$2)-COLUMN(Beräkningshjälp!AC$2)+1,FALSE),"")</f>
        <v/>
      </c>
      <c r="F256" s="352" t="str">
        <f t="shared" si="7"/>
        <v/>
      </c>
      <c r="G256" s="2" t="str">
        <f>IF(D256&lt;&gt;"",IF(VLOOKUP(VLOOKUP(E256,Beräkningshjälp!O$2:U$60,7,FALSE),Artuppgifter!$I$11:$P$22,8,FALSE)=TRUE,"Medelvikter!!","ALLA"),"")</f>
        <v/>
      </c>
      <c r="H256" s="2" t="str">
        <f>IF(D256&lt;&gt;"",VLOOKUP(ROW(H255),Beräkningshjälp!AC$2:AH$1082,COLUMN(Beräkningshjälp!AH$2)-COLUMN(Beräkningshjälp!AC$2)+1,FALSE),"")</f>
        <v/>
      </c>
      <c r="I256" s="116" t="str">
        <f>IF(D256&lt;&gt;"",VLOOKUP(ROW(E255),Beräkningshjälp!AC$2:AI$1082,COLUMN(Beräkningshjälp!AI$2)-COLUMN(Beräkningshjälp!AC$2)+1,FALSE),"")</f>
        <v/>
      </c>
    </row>
    <row r="257" spans="1:9" x14ac:dyDescent="0.25">
      <c r="A257" s="2" t="str">
        <f t="shared" si="6"/>
        <v/>
      </c>
      <c r="B257" s="136" t="str">
        <f>IF(D257&lt;&gt;"",'DATA TILL SLU'!$J$3,"")</f>
        <v/>
      </c>
      <c r="C257" s="146" t="str">
        <f>IF(D257&lt;&gt;"",'DATA TILL SLU'!$K$3,"")</f>
        <v/>
      </c>
      <c r="D257" s="2" t="str">
        <f>IF('DATA TILL SLU'!$D$7*1&lt;&gt;"",IF(COUNT(Beräkningshjälp!$AC$3:$AC$1082)&gt;=ROW(D256),'DATA TILL SLU'!$D$7*1,""),"")</f>
        <v/>
      </c>
      <c r="E257" s="136" t="str">
        <f>IF(D257&lt;&gt;"",VLOOKUP(ROW(E256),Beräkningshjälp!AC$2:AH$1082,COLUMN(Beräkningshjälp!AF$2)-COLUMN(Beräkningshjälp!AC$2)+1,FALSE),"")</f>
        <v/>
      </c>
      <c r="F257" s="352" t="str">
        <f t="shared" si="7"/>
        <v/>
      </c>
      <c r="G257" s="2" t="str">
        <f>IF(D257&lt;&gt;"",IF(VLOOKUP(VLOOKUP(E257,Beräkningshjälp!O$2:U$60,7,FALSE),Artuppgifter!$I$11:$P$22,8,FALSE)=TRUE,"Medelvikter!!","ALLA"),"")</f>
        <v/>
      </c>
      <c r="H257" s="2" t="str">
        <f>IF(D257&lt;&gt;"",VLOOKUP(ROW(H256),Beräkningshjälp!AC$2:AH$1082,COLUMN(Beräkningshjälp!AH$2)-COLUMN(Beräkningshjälp!AC$2)+1,FALSE),"")</f>
        <v/>
      </c>
      <c r="I257" s="116" t="str">
        <f>IF(D257&lt;&gt;"",VLOOKUP(ROW(E256),Beräkningshjälp!AC$2:AI$1082,COLUMN(Beräkningshjälp!AI$2)-COLUMN(Beräkningshjälp!AC$2)+1,FALSE),"")</f>
        <v/>
      </c>
    </row>
    <row r="258" spans="1:9" x14ac:dyDescent="0.25">
      <c r="A258" s="2" t="str">
        <f t="shared" si="6"/>
        <v/>
      </c>
      <c r="B258" s="136" t="str">
        <f>IF(D258&lt;&gt;"",'DATA TILL SLU'!$J$3,"")</f>
        <v/>
      </c>
      <c r="C258" s="146" t="str">
        <f>IF(D258&lt;&gt;"",'DATA TILL SLU'!$K$3,"")</f>
        <v/>
      </c>
      <c r="D258" s="2" t="str">
        <f>IF('DATA TILL SLU'!$D$7*1&lt;&gt;"",IF(COUNT(Beräkningshjälp!$AC$3:$AC$1082)&gt;=ROW(D257),'DATA TILL SLU'!$D$7*1,""),"")</f>
        <v/>
      </c>
      <c r="E258" s="136" t="str">
        <f>IF(D258&lt;&gt;"",VLOOKUP(ROW(E257),Beräkningshjälp!AC$2:AH$1082,COLUMN(Beräkningshjälp!AF$2)-COLUMN(Beräkningshjälp!AC$2)+1,FALSE),"")</f>
        <v/>
      </c>
      <c r="F258" s="352" t="str">
        <f t="shared" si="7"/>
        <v/>
      </c>
      <c r="G258" s="2" t="str">
        <f>IF(D258&lt;&gt;"",IF(VLOOKUP(VLOOKUP(E258,Beräkningshjälp!O$2:U$60,7,FALSE),Artuppgifter!$I$11:$P$22,8,FALSE)=TRUE,"Medelvikter!!","ALLA"),"")</f>
        <v/>
      </c>
      <c r="H258" s="2" t="str">
        <f>IF(D258&lt;&gt;"",VLOOKUP(ROW(H257),Beräkningshjälp!AC$2:AH$1082,COLUMN(Beräkningshjälp!AH$2)-COLUMN(Beräkningshjälp!AC$2)+1,FALSE),"")</f>
        <v/>
      </c>
      <c r="I258" s="116" t="str">
        <f>IF(D258&lt;&gt;"",VLOOKUP(ROW(E257),Beräkningshjälp!AC$2:AI$1082,COLUMN(Beräkningshjälp!AI$2)-COLUMN(Beräkningshjälp!AC$2)+1,FALSE),"")</f>
        <v/>
      </c>
    </row>
    <row r="259" spans="1:9" x14ac:dyDescent="0.25">
      <c r="A259" s="2" t="str">
        <f t="shared" ref="A259:A322" si="8">IF(D259&lt;&gt;"","LANGDVIKTER","")</f>
        <v/>
      </c>
      <c r="B259" s="136" t="str">
        <f>IF(D259&lt;&gt;"",'DATA TILL SLU'!$J$3,"")</f>
        <v/>
      </c>
      <c r="C259" s="146" t="str">
        <f>IF(D259&lt;&gt;"",'DATA TILL SLU'!$K$3,"")</f>
        <v/>
      </c>
      <c r="D259" s="2" t="str">
        <f>IF('DATA TILL SLU'!$D$7*1&lt;&gt;"",IF(COUNT(Beräkningshjälp!$AC$3:$AC$1082)&gt;=ROW(D258),'DATA TILL SLU'!$D$7*1,""),"")</f>
        <v/>
      </c>
      <c r="E259" s="136" t="str">
        <f>IF(D259&lt;&gt;"",VLOOKUP(ROW(E258),Beräkningshjälp!AC$2:AH$1082,COLUMN(Beräkningshjälp!AF$2)-COLUMN(Beräkningshjälp!AC$2)+1,FALSE),"")</f>
        <v/>
      </c>
      <c r="F259" s="352" t="str">
        <f t="shared" ref="F259:F322" si="9">IF(D259&lt;&gt;"","IND","")</f>
        <v/>
      </c>
      <c r="G259" s="2" t="str">
        <f>IF(D259&lt;&gt;"",IF(VLOOKUP(VLOOKUP(E259,Beräkningshjälp!O$2:U$60,7,FALSE),Artuppgifter!$I$11:$P$22,8,FALSE)=TRUE,"Medelvikter!!","ALLA"),"")</f>
        <v/>
      </c>
      <c r="H259" s="2" t="str">
        <f>IF(D259&lt;&gt;"",VLOOKUP(ROW(H258),Beräkningshjälp!AC$2:AH$1082,COLUMN(Beräkningshjälp!AH$2)-COLUMN(Beräkningshjälp!AC$2)+1,FALSE),"")</f>
        <v/>
      </c>
      <c r="I259" s="116" t="str">
        <f>IF(D259&lt;&gt;"",VLOOKUP(ROW(E258),Beräkningshjälp!AC$2:AI$1082,COLUMN(Beräkningshjälp!AI$2)-COLUMN(Beräkningshjälp!AC$2)+1,FALSE),"")</f>
        <v/>
      </c>
    </row>
    <row r="260" spans="1:9" x14ac:dyDescent="0.25">
      <c r="A260" s="2" t="str">
        <f t="shared" si="8"/>
        <v/>
      </c>
      <c r="B260" s="136" t="str">
        <f>IF(D260&lt;&gt;"",'DATA TILL SLU'!$J$3,"")</f>
        <v/>
      </c>
      <c r="C260" s="146" t="str">
        <f>IF(D260&lt;&gt;"",'DATA TILL SLU'!$K$3,"")</f>
        <v/>
      </c>
      <c r="D260" s="2" t="str">
        <f>IF('DATA TILL SLU'!$D$7*1&lt;&gt;"",IF(COUNT(Beräkningshjälp!$AC$3:$AC$1082)&gt;=ROW(D259),'DATA TILL SLU'!$D$7*1,""),"")</f>
        <v/>
      </c>
      <c r="E260" s="136" t="str">
        <f>IF(D260&lt;&gt;"",VLOOKUP(ROW(E259),Beräkningshjälp!AC$2:AH$1082,COLUMN(Beräkningshjälp!AF$2)-COLUMN(Beräkningshjälp!AC$2)+1,FALSE),"")</f>
        <v/>
      </c>
      <c r="F260" s="352" t="str">
        <f t="shared" si="9"/>
        <v/>
      </c>
      <c r="G260" s="2" t="str">
        <f>IF(D260&lt;&gt;"",IF(VLOOKUP(VLOOKUP(E260,Beräkningshjälp!O$2:U$60,7,FALSE),Artuppgifter!$I$11:$P$22,8,FALSE)=TRUE,"Medelvikter!!","ALLA"),"")</f>
        <v/>
      </c>
      <c r="H260" s="2" t="str">
        <f>IF(D260&lt;&gt;"",VLOOKUP(ROW(H259),Beräkningshjälp!AC$2:AH$1082,COLUMN(Beräkningshjälp!AH$2)-COLUMN(Beräkningshjälp!AC$2)+1,FALSE),"")</f>
        <v/>
      </c>
      <c r="I260" s="116" t="str">
        <f>IF(D260&lt;&gt;"",VLOOKUP(ROW(E259),Beräkningshjälp!AC$2:AI$1082,COLUMN(Beräkningshjälp!AI$2)-COLUMN(Beräkningshjälp!AC$2)+1,FALSE),"")</f>
        <v/>
      </c>
    </row>
    <row r="261" spans="1:9" x14ac:dyDescent="0.25">
      <c r="A261" s="2" t="str">
        <f t="shared" si="8"/>
        <v/>
      </c>
      <c r="B261" s="136" t="str">
        <f>IF(D261&lt;&gt;"",'DATA TILL SLU'!$J$3,"")</f>
        <v/>
      </c>
      <c r="C261" s="146" t="str">
        <f>IF(D261&lt;&gt;"",'DATA TILL SLU'!$K$3,"")</f>
        <v/>
      </c>
      <c r="D261" s="2" t="str">
        <f>IF('DATA TILL SLU'!$D$7*1&lt;&gt;"",IF(COUNT(Beräkningshjälp!$AC$3:$AC$1082)&gt;=ROW(D260),'DATA TILL SLU'!$D$7*1,""),"")</f>
        <v/>
      </c>
      <c r="E261" s="136" t="str">
        <f>IF(D261&lt;&gt;"",VLOOKUP(ROW(E260),Beräkningshjälp!AC$2:AH$1082,COLUMN(Beräkningshjälp!AF$2)-COLUMN(Beräkningshjälp!AC$2)+1,FALSE),"")</f>
        <v/>
      </c>
      <c r="F261" s="352" t="str">
        <f t="shared" si="9"/>
        <v/>
      </c>
      <c r="G261" s="2" t="str">
        <f>IF(D261&lt;&gt;"",IF(VLOOKUP(VLOOKUP(E261,Beräkningshjälp!O$2:U$60,7,FALSE),Artuppgifter!$I$11:$P$22,8,FALSE)=TRUE,"Medelvikter!!","ALLA"),"")</f>
        <v/>
      </c>
      <c r="H261" s="2" t="str">
        <f>IF(D261&lt;&gt;"",VLOOKUP(ROW(H260),Beräkningshjälp!AC$2:AH$1082,COLUMN(Beräkningshjälp!AH$2)-COLUMN(Beräkningshjälp!AC$2)+1,FALSE),"")</f>
        <v/>
      </c>
      <c r="I261" s="116" t="str">
        <f>IF(D261&lt;&gt;"",VLOOKUP(ROW(E260),Beräkningshjälp!AC$2:AI$1082,COLUMN(Beräkningshjälp!AI$2)-COLUMN(Beräkningshjälp!AC$2)+1,FALSE),"")</f>
        <v/>
      </c>
    </row>
    <row r="262" spans="1:9" x14ac:dyDescent="0.25">
      <c r="A262" s="2" t="str">
        <f t="shared" si="8"/>
        <v/>
      </c>
      <c r="B262" s="136" t="str">
        <f>IF(D262&lt;&gt;"",'DATA TILL SLU'!$J$3,"")</f>
        <v/>
      </c>
      <c r="C262" s="146" t="str">
        <f>IF(D262&lt;&gt;"",'DATA TILL SLU'!$K$3,"")</f>
        <v/>
      </c>
      <c r="D262" s="2" t="str">
        <f>IF('DATA TILL SLU'!$D$7*1&lt;&gt;"",IF(COUNT(Beräkningshjälp!$AC$3:$AC$1082)&gt;=ROW(D261),'DATA TILL SLU'!$D$7*1,""),"")</f>
        <v/>
      </c>
      <c r="E262" s="136" t="str">
        <f>IF(D262&lt;&gt;"",VLOOKUP(ROW(E261),Beräkningshjälp!AC$2:AH$1082,COLUMN(Beräkningshjälp!AF$2)-COLUMN(Beräkningshjälp!AC$2)+1,FALSE),"")</f>
        <v/>
      </c>
      <c r="F262" s="352" t="str">
        <f t="shared" si="9"/>
        <v/>
      </c>
      <c r="G262" s="2" t="str">
        <f>IF(D262&lt;&gt;"",IF(VLOOKUP(VLOOKUP(E262,Beräkningshjälp!O$2:U$60,7,FALSE),Artuppgifter!$I$11:$P$22,8,FALSE)=TRUE,"Medelvikter!!","ALLA"),"")</f>
        <v/>
      </c>
      <c r="H262" s="2" t="str">
        <f>IF(D262&lt;&gt;"",VLOOKUP(ROW(H261),Beräkningshjälp!AC$2:AH$1082,COLUMN(Beräkningshjälp!AH$2)-COLUMN(Beräkningshjälp!AC$2)+1,FALSE),"")</f>
        <v/>
      </c>
      <c r="I262" s="116" t="str">
        <f>IF(D262&lt;&gt;"",VLOOKUP(ROW(E261),Beräkningshjälp!AC$2:AI$1082,COLUMN(Beräkningshjälp!AI$2)-COLUMN(Beräkningshjälp!AC$2)+1,FALSE),"")</f>
        <v/>
      </c>
    </row>
    <row r="263" spans="1:9" x14ac:dyDescent="0.25">
      <c r="A263" s="2" t="str">
        <f t="shared" si="8"/>
        <v/>
      </c>
      <c r="B263" s="136" t="str">
        <f>IF(D263&lt;&gt;"",'DATA TILL SLU'!$J$3,"")</f>
        <v/>
      </c>
      <c r="C263" s="146" t="str">
        <f>IF(D263&lt;&gt;"",'DATA TILL SLU'!$K$3,"")</f>
        <v/>
      </c>
      <c r="D263" s="2" t="str">
        <f>IF('DATA TILL SLU'!$D$7*1&lt;&gt;"",IF(COUNT(Beräkningshjälp!$AC$3:$AC$1082)&gt;=ROW(D262),'DATA TILL SLU'!$D$7*1,""),"")</f>
        <v/>
      </c>
      <c r="E263" s="136" t="str">
        <f>IF(D263&lt;&gt;"",VLOOKUP(ROW(E262),Beräkningshjälp!AC$2:AH$1082,COLUMN(Beräkningshjälp!AF$2)-COLUMN(Beräkningshjälp!AC$2)+1,FALSE),"")</f>
        <v/>
      </c>
      <c r="F263" s="352" t="str">
        <f t="shared" si="9"/>
        <v/>
      </c>
      <c r="G263" s="2" t="str">
        <f>IF(D263&lt;&gt;"",IF(VLOOKUP(VLOOKUP(E263,Beräkningshjälp!O$2:U$60,7,FALSE),Artuppgifter!$I$11:$P$22,8,FALSE)=TRUE,"Medelvikter!!","ALLA"),"")</f>
        <v/>
      </c>
      <c r="H263" s="2" t="str">
        <f>IF(D263&lt;&gt;"",VLOOKUP(ROW(H262),Beräkningshjälp!AC$2:AH$1082,COLUMN(Beräkningshjälp!AH$2)-COLUMN(Beräkningshjälp!AC$2)+1,FALSE),"")</f>
        <v/>
      </c>
      <c r="I263" s="116" t="str">
        <f>IF(D263&lt;&gt;"",VLOOKUP(ROW(E262),Beräkningshjälp!AC$2:AI$1082,COLUMN(Beräkningshjälp!AI$2)-COLUMN(Beräkningshjälp!AC$2)+1,FALSE),"")</f>
        <v/>
      </c>
    </row>
    <row r="264" spans="1:9" x14ac:dyDescent="0.25">
      <c r="A264" s="2" t="str">
        <f t="shared" si="8"/>
        <v/>
      </c>
      <c r="B264" s="136" t="str">
        <f>IF(D264&lt;&gt;"",'DATA TILL SLU'!$J$3,"")</f>
        <v/>
      </c>
      <c r="C264" s="146" t="str">
        <f>IF(D264&lt;&gt;"",'DATA TILL SLU'!$K$3,"")</f>
        <v/>
      </c>
      <c r="D264" s="2" t="str">
        <f>IF('DATA TILL SLU'!$D$7*1&lt;&gt;"",IF(COUNT(Beräkningshjälp!$AC$3:$AC$1082)&gt;=ROW(D263),'DATA TILL SLU'!$D$7*1,""),"")</f>
        <v/>
      </c>
      <c r="E264" s="136" t="str">
        <f>IF(D264&lt;&gt;"",VLOOKUP(ROW(E263),Beräkningshjälp!AC$2:AH$1082,COLUMN(Beräkningshjälp!AF$2)-COLUMN(Beräkningshjälp!AC$2)+1,FALSE),"")</f>
        <v/>
      </c>
      <c r="F264" s="352" t="str">
        <f t="shared" si="9"/>
        <v/>
      </c>
      <c r="G264" s="2" t="str">
        <f>IF(D264&lt;&gt;"",IF(VLOOKUP(VLOOKUP(E264,Beräkningshjälp!O$2:U$60,7,FALSE),Artuppgifter!$I$11:$P$22,8,FALSE)=TRUE,"Medelvikter!!","ALLA"),"")</f>
        <v/>
      </c>
      <c r="H264" s="2" t="str">
        <f>IF(D264&lt;&gt;"",VLOOKUP(ROW(H263),Beräkningshjälp!AC$2:AH$1082,COLUMN(Beräkningshjälp!AH$2)-COLUMN(Beräkningshjälp!AC$2)+1,FALSE),"")</f>
        <v/>
      </c>
      <c r="I264" s="116" t="str">
        <f>IF(D264&lt;&gt;"",VLOOKUP(ROW(E263),Beräkningshjälp!AC$2:AI$1082,COLUMN(Beräkningshjälp!AI$2)-COLUMN(Beräkningshjälp!AC$2)+1,FALSE),"")</f>
        <v/>
      </c>
    </row>
    <row r="265" spans="1:9" x14ac:dyDescent="0.25">
      <c r="A265" s="2" t="str">
        <f t="shared" si="8"/>
        <v/>
      </c>
      <c r="B265" s="136" t="str">
        <f>IF(D265&lt;&gt;"",'DATA TILL SLU'!$J$3,"")</f>
        <v/>
      </c>
      <c r="C265" s="146" t="str">
        <f>IF(D265&lt;&gt;"",'DATA TILL SLU'!$K$3,"")</f>
        <v/>
      </c>
      <c r="D265" s="2" t="str">
        <f>IF('DATA TILL SLU'!$D$7*1&lt;&gt;"",IF(COUNT(Beräkningshjälp!$AC$3:$AC$1082)&gt;=ROW(D264),'DATA TILL SLU'!$D$7*1,""),"")</f>
        <v/>
      </c>
      <c r="E265" s="136" t="str">
        <f>IF(D265&lt;&gt;"",VLOOKUP(ROW(E264),Beräkningshjälp!AC$2:AH$1082,COLUMN(Beräkningshjälp!AF$2)-COLUMN(Beräkningshjälp!AC$2)+1,FALSE),"")</f>
        <v/>
      </c>
      <c r="F265" s="352" t="str">
        <f t="shared" si="9"/>
        <v/>
      </c>
      <c r="G265" s="2" t="str">
        <f>IF(D265&lt;&gt;"",IF(VLOOKUP(VLOOKUP(E265,Beräkningshjälp!O$2:U$60,7,FALSE),Artuppgifter!$I$11:$P$22,8,FALSE)=TRUE,"Medelvikter!!","ALLA"),"")</f>
        <v/>
      </c>
      <c r="H265" s="2" t="str">
        <f>IF(D265&lt;&gt;"",VLOOKUP(ROW(H264),Beräkningshjälp!AC$2:AH$1082,COLUMN(Beräkningshjälp!AH$2)-COLUMN(Beräkningshjälp!AC$2)+1,FALSE),"")</f>
        <v/>
      </c>
      <c r="I265" s="116" t="str">
        <f>IF(D265&lt;&gt;"",VLOOKUP(ROW(E264),Beräkningshjälp!AC$2:AI$1082,COLUMN(Beräkningshjälp!AI$2)-COLUMN(Beräkningshjälp!AC$2)+1,FALSE),"")</f>
        <v/>
      </c>
    </row>
    <row r="266" spans="1:9" x14ac:dyDescent="0.25">
      <c r="A266" s="2" t="str">
        <f t="shared" si="8"/>
        <v/>
      </c>
      <c r="B266" s="136" t="str">
        <f>IF(D266&lt;&gt;"",'DATA TILL SLU'!$J$3,"")</f>
        <v/>
      </c>
      <c r="C266" s="146" t="str">
        <f>IF(D266&lt;&gt;"",'DATA TILL SLU'!$K$3,"")</f>
        <v/>
      </c>
      <c r="D266" s="2" t="str">
        <f>IF('DATA TILL SLU'!$D$7*1&lt;&gt;"",IF(COUNT(Beräkningshjälp!$AC$3:$AC$1082)&gt;=ROW(D265),'DATA TILL SLU'!$D$7*1,""),"")</f>
        <v/>
      </c>
      <c r="E266" s="136" t="str">
        <f>IF(D266&lt;&gt;"",VLOOKUP(ROW(E265),Beräkningshjälp!AC$2:AH$1082,COLUMN(Beräkningshjälp!AF$2)-COLUMN(Beräkningshjälp!AC$2)+1,FALSE),"")</f>
        <v/>
      </c>
      <c r="F266" s="352" t="str">
        <f t="shared" si="9"/>
        <v/>
      </c>
      <c r="G266" s="2" t="str">
        <f>IF(D266&lt;&gt;"",IF(VLOOKUP(VLOOKUP(E266,Beräkningshjälp!O$2:U$60,7,FALSE),Artuppgifter!$I$11:$P$22,8,FALSE)=TRUE,"Medelvikter!!","ALLA"),"")</f>
        <v/>
      </c>
      <c r="H266" s="2" t="str">
        <f>IF(D266&lt;&gt;"",VLOOKUP(ROW(H265),Beräkningshjälp!AC$2:AH$1082,COLUMN(Beräkningshjälp!AH$2)-COLUMN(Beräkningshjälp!AC$2)+1,FALSE),"")</f>
        <v/>
      </c>
      <c r="I266" s="116" t="str">
        <f>IF(D266&lt;&gt;"",VLOOKUP(ROW(E265),Beräkningshjälp!AC$2:AI$1082,COLUMN(Beräkningshjälp!AI$2)-COLUMN(Beräkningshjälp!AC$2)+1,FALSE),"")</f>
        <v/>
      </c>
    </row>
    <row r="267" spans="1:9" x14ac:dyDescent="0.25">
      <c r="A267" s="2" t="str">
        <f t="shared" si="8"/>
        <v/>
      </c>
      <c r="B267" s="136" t="str">
        <f>IF(D267&lt;&gt;"",'DATA TILL SLU'!$J$3,"")</f>
        <v/>
      </c>
      <c r="C267" s="146" t="str">
        <f>IF(D267&lt;&gt;"",'DATA TILL SLU'!$K$3,"")</f>
        <v/>
      </c>
      <c r="D267" s="2" t="str">
        <f>IF('DATA TILL SLU'!$D$7*1&lt;&gt;"",IF(COUNT(Beräkningshjälp!$AC$3:$AC$1082)&gt;=ROW(D266),'DATA TILL SLU'!$D$7*1,""),"")</f>
        <v/>
      </c>
      <c r="E267" s="136" t="str">
        <f>IF(D267&lt;&gt;"",VLOOKUP(ROW(E266),Beräkningshjälp!AC$2:AH$1082,COLUMN(Beräkningshjälp!AF$2)-COLUMN(Beräkningshjälp!AC$2)+1,FALSE),"")</f>
        <v/>
      </c>
      <c r="F267" s="352" t="str">
        <f t="shared" si="9"/>
        <v/>
      </c>
      <c r="G267" s="2" t="str">
        <f>IF(D267&lt;&gt;"",IF(VLOOKUP(VLOOKUP(E267,Beräkningshjälp!O$2:U$60,7,FALSE),Artuppgifter!$I$11:$P$22,8,FALSE)=TRUE,"Medelvikter!!","ALLA"),"")</f>
        <v/>
      </c>
      <c r="H267" s="2" t="str">
        <f>IF(D267&lt;&gt;"",VLOOKUP(ROW(H266),Beräkningshjälp!AC$2:AH$1082,COLUMN(Beräkningshjälp!AH$2)-COLUMN(Beräkningshjälp!AC$2)+1,FALSE),"")</f>
        <v/>
      </c>
      <c r="I267" s="116" t="str">
        <f>IF(D267&lt;&gt;"",VLOOKUP(ROW(E266),Beräkningshjälp!AC$2:AI$1082,COLUMN(Beräkningshjälp!AI$2)-COLUMN(Beräkningshjälp!AC$2)+1,FALSE),"")</f>
        <v/>
      </c>
    </row>
    <row r="268" spans="1:9" x14ac:dyDescent="0.25">
      <c r="A268" s="2" t="str">
        <f t="shared" si="8"/>
        <v/>
      </c>
      <c r="B268" s="136" t="str">
        <f>IF(D268&lt;&gt;"",'DATA TILL SLU'!$J$3,"")</f>
        <v/>
      </c>
      <c r="C268" s="146" t="str">
        <f>IF(D268&lt;&gt;"",'DATA TILL SLU'!$K$3,"")</f>
        <v/>
      </c>
      <c r="D268" s="2" t="str">
        <f>IF('DATA TILL SLU'!$D$7*1&lt;&gt;"",IF(COUNT(Beräkningshjälp!$AC$3:$AC$1082)&gt;=ROW(D267),'DATA TILL SLU'!$D$7*1,""),"")</f>
        <v/>
      </c>
      <c r="E268" s="136" t="str">
        <f>IF(D268&lt;&gt;"",VLOOKUP(ROW(E267),Beräkningshjälp!AC$2:AH$1082,COLUMN(Beräkningshjälp!AF$2)-COLUMN(Beräkningshjälp!AC$2)+1,FALSE),"")</f>
        <v/>
      </c>
      <c r="F268" s="352" t="str">
        <f t="shared" si="9"/>
        <v/>
      </c>
      <c r="G268" s="2" t="str">
        <f>IF(D268&lt;&gt;"",IF(VLOOKUP(VLOOKUP(E268,Beräkningshjälp!O$2:U$60,7,FALSE),Artuppgifter!$I$11:$P$22,8,FALSE)=TRUE,"Medelvikter!!","ALLA"),"")</f>
        <v/>
      </c>
      <c r="H268" s="2" t="str">
        <f>IF(D268&lt;&gt;"",VLOOKUP(ROW(H267),Beräkningshjälp!AC$2:AH$1082,COLUMN(Beräkningshjälp!AH$2)-COLUMN(Beräkningshjälp!AC$2)+1,FALSE),"")</f>
        <v/>
      </c>
      <c r="I268" s="116" t="str">
        <f>IF(D268&lt;&gt;"",VLOOKUP(ROW(E267),Beräkningshjälp!AC$2:AI$1082,COLUMN(Beräkningshjälp!AI$2)-COLUMN(Beräkningshjälp!AC$2)+1,FALSE),"")</f>
        <v/>
      </c>
    </row>
    <row r="269" spans="1:9" x14ac:dyDescent="0.25">
      <c r="A269" s="2" t="str">
        <f t="shared" si="8"/>
        <v/>
      </c>
      <c r="B269" s="136" t="str">
        <f>IF(D269&lt;&gt;"",'DATA TILL SLU'!$J$3,"")</f>
        <v/>
      </c>
      <c r="C269" s="146" t="str">
        <f>IF(D269&lt;&gt;"",'DATA TILL SLU'!$K$3,"")</f>
        <v/>
      </c>
      <c r="D269" s="2" t="str">
        <f>IF('DATA TILL SLU'!$D$7*1&lt;&gt;"",IF(COUNT(Beräkningshjälp!$AC$3:$AC$1082)&gt;=ROW(D268),'DATA TILL SLU'!$D$7*1,""),"")</f>
        <v/>
      </c>
      <c r="E269" s="136" t="str">
        <f>IF(D269&lt;&gt;"",VLOOKUP(ROW(E268),Beräkningshjälp!AC$2:AH$1082,COLUMN(Beräkningshjälp!AF$2)-COLUMN(Beräkningshjälp!AC$2)+1,FALSE),"")</f>
        <v/>
      </c>
      <c r="F269" s="352" t="str">
        <f t="shared" si="9"/>
        <v/>
      </c>
      <c r="G269" s="2" t="str">
        <f>IF(D269&lt;&gt;"",IF(VLOOKUP(VLOOKUP(E269,Beräkningshjälp!O$2:U$60,7,FALSE),Artuppgifter!$I$11:$P$22,8,FALSE)=TRUE,"Medelvikter!!","ALLA"),"")</f>
        <v/>
      </c>
      <c r="H269" s="2" t="str">
        <f>IF(D269&lt;&gt;"",VLOOKUP(ROW(H268),Beräkningshjälp!AC$2:AH$1082,COLUMN(Beräkningshjälp!AH$2)-COLUMN(Beräkningshjälp!AC$2)+1,FALSE),"")</f>
        <v/>
      </c>
      <c r="I269" s="116" t="str">
        <f>IF(D269&lt;&gt;"",VLOOKUP(ROW(E268),Beräkningshjälp!AC$2:AI$1082,COLUMN(Beräkningshjälp!AI$2)-COLUMN(Beräkningshjälp!AC$2)+1,FALSE),"")</f>
        <v/>
      </c>
    </row>
    <row r="270" spans="1:9" x14ac:dyDescent="0.25">
      <c r="A270" s="2" t="str">
        <f t="shared" si="8"/>
        <v/>
      </c>
      <c r="B270" s="136" t="str">
        <f>IF(D270&lt;&gt;"",'DATA TILL SLU'!$J$3,"")</f>
        <v/>
      </c>
      <c r="C270" s="146" t="str">
        <f>IF(D270&lt;&gt;"",'DATA TILL SLU'!$K$3,"")</f>
        <v/>
      </c>
      <c r="D270" s="2" t="str">
        <f>IF('DATA TILL SLU'!$D$7*1&lt;&gt;"",IF(COUNT(Beräkningshjälp!$AC$3:$AC$1082)&gt;=ROW(D269),'DATA TILL SLU'!$D$7*1,""),"")</f>
        <v/>
      </c>
      <c r="E270" s="136" t="str">
        <f>IF(D270&lt;&gt;"",VLOOKUP(ROW(E269),Beräkningshjälp!AC$2:AH$1082,COLUMN(Beräkningshjälp!AF$2)-COLUMN(Beräkningshjälp!AC$2)+1,FALSE),"")</f>
        <v/>
      </c>
      <c r="F270" s="352" t="str">
        <f t="shared" si="9"/>
        <v/>
      </c>
      <c r="G270" s="2" t="str">
        <f>IF(D270&lt;&gt;"",IF(VLOOKUP(VLOOKUP(E270,Beräkningshjälp!O$2:U$60,7,FALSE),Artuppgifter!$I$11:$P$22,8,FALSE)=TRUE,"Medelvikter!!","ALLA"),"")</f>
        <v/>
      </c>
      <c r="H270" s="2" t="str">
        <f>IF(D270&lt;&gt;"",VLOOKUP(ROW(H269),Beräkningshjälp!AC$2:AH$1082,COLUMN(Beräkningshjälp!AH$2)-COLUMN(Beräkningshjälp!AC$2)+1,FALSE),"")</f>
        <v/>
      </c>
      <c r="I270" s="116" t="str">
        <f>IF(D270&lt;&gt;"",VLOOKUP(ROW(E269),Beräkningshjälp!AC$2:AI$1082,COLUMN(Beräkningshjälp!AI$2)-COLUMN(Beräkningshjälp!AC$2)+1,FALSE),"")</f>
        <v/>
      </c>
    </row>
    <row r="271" spans="1:9" x14ac:dyDescent="0.25">
      <c r="A271" s="2" t="str">
        <f t="shared" si="8"/>
        <v/>
      </c>
      <c r="B271" s="136" t="str">
        <f>IF(D271&lt;&gt;"",'DATA TILL SLU'!$J$3,"")</f>
        <v/>
      </c>
      <c r="C271" s="146" t="str">
        <f>IF(D271&lt;&gt;"",'DATA TILL SLU'!$K$3,"")</f>
        <v/>
      </c>
      <c r="D271" s="2" t="str">
        <f>IF('DATA TILL SLU'!$D$7*1&lt;&gt;"",IF(COUNT(Beräkningshjälp!$AC$3:$AC$1082)&gt;=ROW(D270),'DATA TILL SLU'!$D$7*1,""),"")</f>
        <v/>
      </c>
      <c r="E271" s="136" t="str">
        <f>IF(D271&lt;&gt;"",VLOOKUP(ROW(E270),Beräkningshjälp!AC$2:AH$1082,COLUMN(Beräkningshjälp!AF$2)-COLUMN(Beräkningshjälp!AC$2)+1,FALSE),"")</f>
        <v/>
      </c>
      <c r="F271" s="352" t="str">
        <f t="shared" si="9"/>
        <v/>
      </c>
      <c r="G271" s="2" t="str">
        <f>IF(D271&lt;&gt;"",IF(VLOOKUP(VLOOKUP(E271,Beräkningshjälp!O$2:U$60,7,FALSE),Artuppgifter!$I$11:$P$22,8,FALSE)=TRUE,"Medelvikter!!","ALLA"),"")</f>
        <v/>
      </c>
      <c r="H271" s="2" t="str">
        <f>IF(D271&lt;&gt;"",VLOOKUP(ROW(H270),Beräkningshjälp!AC$2:AH$1082,COLUMN(Beräkningshjälp!AH$2)-COLUMN(Beräkningshjälp!AC$2)+1,FALSE),"")</f>
        <v/>
      </c>
      <c r="I271" s="116" t="str">
        <f>IF(D271&lt;&gt;"",VLOOKUP(ROW(E270),Beräkningshjälp!AC$2:AI$1082,COLUMN(Beräkningshjälp!AI$2)-COLUMN(Beräkningshjälp!AC$2)+1,FALSE),"")</f>
        <v/>
      </c>
    </row>
    <row r="272" spans="1:9" x14ac:dyDescent="0.25">
      <c r="A272" s="2" t="str">
        <f t="shared" si="8"/>
        <v/>
      </c>
      <c r="B272" s="136" t="str">
        <f>IF(D272&lt;&gt;"",'DATA TILL SLU'!$J$3,"")</f>
        <v/>
      </c>
      <c r="C272" s="146" t="str">
        <f>IF(D272&lt;&gt;"",'DATA TILL SLU'!$K$3,"")</f>
        <v/>
      </c>
      <c r="D272" s="2" t="str">
        <f>IF('DATA TILL SLU'!$D$7*1&lt;&gt;"",IF(COUNT(Beräkningshjälp!$AC$3:$AC$1082)&gt;=ROW(D271),'DATA TILL SLU'!$D$7*1,""),"")</f>
        <v/>
      </c>
      <c r="E272" s="136" t="str">
        <f>IF(D272&lt;&gt;"",VLOOKUP(ROW(E271),Beräkningshjälp!AC$2:AH$1082,COLUMN(Beräkningshjälp!AF$2)-COLUMN(Beräkningshjälp!AC$2)+1,FALSE),"")</f>
        <v/>
      </c>
      <c r="F272" s="352" t="str">
        <f t="shared" si="9"/>
        <v/>
      </c>
      <c r="G272" s="2" t="str">
        <f>IF(D272&lt;&gt;"",IF(VLOOKUP(VLOOKUP(E272,Beräkningshjälp!O$2:U$60,7,FALSE),Artuppgifter!$I$11:$P$22,8,FALSE)=TRUE,"Medelvikter!!","ALLA"),"")</f>
        <v/>
      </c>
      <c r="H272" s="2" t="str">
        <f>IF(D272&lt;&gt;"",VLOOKUP(ROW(H271),Beräkningshjälp!AC$2:AH$1082,COLUMN(Beräkningshjälp!AH$2)-COLUMN(Beräkningshjälp!AC$2)+1,FALSE),"")</f>
        <v/>
      </c>
      <c r="I272" s="116" t="str">
        <f>IF(D272&lt;&gt;"",VLOOKUP(ROW(E271),Beräkningshjälp!AC$2:AI$1082,COLUMN(Beräkningshjälp!AI$2)-COLUMN(Beräkningshjälp!AC$2)+1,FALSE),"")</f>
        <v/>
      </c>
    </row>
    <row r="273" spans="1:9" x14ac:dyDescent="0.25">
      <c r="A273" s="2" t="str">
        <f t="shared" si="8"/>
        <v/>
      </c>
      <c r="B273" s="136" t="str">
        <f>IF(D273&lt;&gt;"",'DATA TILL SLU'!$J$3,"")</f>
        <v/>
      </c>
      <c r="C273" s="146" t="str">
        <f>IF(D273&lt;&gt;"",'DATA TILL SLU'!$K$3,"")</f>
        <v/>
      </c>
      <c r="D273" s="2" t="str">
        <f>IF('DATA TILL SLU'!$D$7*1&lt;&gt;"",IF(COUNT(Beräkningshjälp!$AC$3:$AC$1082)&gt;=ROW(D272),'DATA TILL SLU'!$D$7*1,""),"")</f>
        <v/>
      </c>
      <c r="E273" s="136" t="str">
        <f>IF(D273&lt;&gt;"",VLOOKUP(ROW(E272),Beräkningshjälp!AC$2:AH$1082,COLUMN(Beräkningshjälp!AF$2)-COLUMN(Beräkningshjälp!AC$2)+1,FALSE),"")</f>
        <v/>
      </c>
      <c r="F273" s="352" t="str">
        <f t="shared" si="9"/>
        <v/>
      </c>
      <c r="G273" s="2" t="str">
        <f>IF(D273&lt;&gt;"",IF(VLOOKUP(VLOOKUP(E273,Beräkningshjälp!O$2:U$60,7,FALSE),Artuppgifter!$I$11:$P$22,8,FALSE)=TRUE,"Medelvikter!!","ALLA"),"")</f>
        <v/>
      </c>
      <c r="H273" s="2" t="str">
        <f>IF(D273&lt;&gt;"",VLOOKUP(ROW(H272),Beräkningshjälp!AC$2:AH$1082,COLUMN(Beräkningshjälp!AH$2)-COLUMN(Beräkningshjälp!AC$2)+1,FALSE),"")</f>
        <v/>
      </c>
      <c r="I273" s="116" t="str">
        <f>IF(D273&lt;&gt;"",VLOOKUP(ROW(E272),Beräkningshjälp!AC$2:AI$1082,COLUMN(Beräkningshjälp!AI$2)-COLUMN(Beräkningshjälp!AC$2)+1,FALSE),"")</f>
        <v/>
      </c>
    </row>
    <row r="274" spans="1:9" x14ac:dyDescent="0.25">
      <c r="A274" s="2" t="str">
        <f t="shared" si="8"/>
        <v/>
      </c>
      <c r="B274" s="136" t="str">
        <f>IF(D274&lt;&gt;"",'DATA TILL SLU'!$J$3,"")</f>
        <v/>
      </c>
      <c r="C274" s="146" t="str">
        <f>IF(D274&lt;&gt;"",'DATA TILL SLU'!$K$3,"")</f>
        <v/>
      </c>
      <c r="D274" s="2" t="str">
        <f>IF('DATA TILL SLU'!$D$7*1&lt;&gt;"",IF(COUNT(Beräkningshjälp!$AC$3:$AC$1082)&gt;=ROW(D273),'DATA TILL SLU'!$D$7*1,""),"")</f>
        <v/>
      </c>
      <c r="E274" s="136" t="str">
        <f>IF(D274&lt;&gt;"",VLOOKUP(ROW(E273),Beräkningshjälp!AC$2:AH$1082,COLUMN(Beräkningshjälp!AF$2)-COLUMN(Beräkningshjälp!AC$2)+1,FALSE),"")</f>
        <v/>
      </c>
      <c r="F274" s="352" t="str">
        <f t="shared" si="9"/>
        <v/>
      </c>
      <c r="G274" s="2" t="str">
        <f>IF(D274&lt;&gt;"",IF(VLOOKUP(VLOOKUP(E274,Beräkningshjälp!O$2:U$60,7,FALSE),Artuppgifter!$I$11:$P$22,8,FALSE)=TRUE,"Medelvikter!!","ALLA"),"")</f>
        <v/>
      </c>
      <c r="H274" s="2" t="str">
        <f>IF(D274&lt;&gt;"",VLOOKUP(ROW(H273),Beräkningshjälp!AC$2:AH$1082,COLUMN(Beräkningshjälp!AH$2)-COLUMN(Beräkningshjälp!AC$2)+1,FALSE),"")</f>
        <v/>
      </c>
      <c r="I274" s="116" t="str">
        <f>IF(D274&lt;&gt;"",VLOOKUP(ROW(E273),Beräkningshjälp!AC$2:AI$1082,COLUMN(Beräkningshjälp!AI$2)-COLUMN(Beräkningshjälp!AC$2)+1,FALSE),"")</f>
        <v/>
      </c>
    </row>
    <row r="275" spans="1:9" x14ac:dyDescent="0.25">
      <c r="A275" s="2" t="str">
        <f t="shared" si="8"/>
        <v/>
      </c>
      <c r="B275" s="136" t="str">
        <f>IF(D275&lt;&gt;"",'DATA TILL SLU'!$J$3,"")</f>
        <v/>
      </c>
      <c r="C275" s="146" t="str">
        <f>IF(D275&lt;&gt;"",'DATA TILL SLU'!$K$3,"")</f>
        <v/>
      </c>
      <c r="D275" s="2" t="str">
        <f>IF('DATA TILL SLU'!$D$7*1&lt;&gt;"",IF(COUNT(Beräkningshjälp!$AC$3:$AC$1082)&gt;=ROW(D274),'DATA TILL SLU'!$D$7*1,""),"")</f>
        <v/>
      </c>
      <c r="E275" s="136" t="str">
        <f>IF(D275&lt;&gt;"",VLOOKUP(ROW(E274),Beräkningshjälp!AC$2:AH$1082,COLUMN(Beräkningshjälp!AF$2)-COLUMN(Beräkningshjälp!AC$2)+1,FALSE),"")</f>
        <v/>
      </c>
      <c r="F275" s="352" t="str">
        <f t="shared" si="9"/>
        <v/>
      </c>
      <c r="G275" s="2" t="str">
        <f>IF(D275&lt;&gt;"",IF(VLOOKUP(VLOOKUP(E275,Beräkningshjälp!O$2:U$60,7,FALSE),Artuppgifter!$I$11:$P$22,8,FALSE)=TRUE,"Medelvikter!!","ALLA"),"")</f>
        <v/>
      </c>
      <c r="H275" s="2" t="str">
        <f>IF(D275&lt;&gt;"",VLOOKUP(ROW(H274),Beräkningshjälp!AC$2:AH$1082,COLUMN(Beräkningshjälp!AH$2)-COLUMN(Beräkningshjälp!AC$2)+1,FALSE),"")</f>
        <v/>
      </c>
      <c r="I275" s="116" t="str">
        <f>IF(D275&lt;&gt;"",VLOOKUP(ROW(E274),Beräkningshjälp!AC$2:AI$1082,COLUMN(Beräkningshjälp!AI$2)-COLUMN(Beräkningshjälp!AC$2)+1,FALSE),"")</f>
        <v/>
      </c>
    </row>
    <row r="276" spans="1:9" x14ac:dyDescent="0.25">
      <c r="A276" s="2" t="str">
        <f t="shared" si="8"/>
        <v/>
      </c>
      <c r="B276" s="136" t="str">
        <f>IF(D276&lt;&gt;"",'DATA TILL SLU'!$J$3,"")</f>
        <v/>
      </c>
      <c r="C276" s="146" t="str">
        <f>IF(D276&lt;&gt;"",'DATA TILL SLU'!$K$3,"")</f>
        <v/>
      </c>
      <c r="D276" s="2" t="str">
        <f>IF('DATA TILL SLU'!$D$7*1&lt;&gt;"",IF(COUNT(Beräkningshjälp!$AC$3:$AC$1082)&gt;=ROW(D275),'DATA TILL SLU'!$D$7*1,""),"")</f>
        <v/>
      </c>
      <c r="E276" s="136" t="str">
        <f>IF(D276&lt;&gt;"",VLOOKUP(ROW(E275),Beräkningshjälp!AC$2:AH$1082,COLUMN(Beräkningshjälp!AF$2)-COLUMN(Beräkningshjälp!AC$2)+1,FALSE),"")</f>
        <v/>
      </c>
      <c r="F276" s="352" t="str">
        <f t="shared" si="9"/>
        <v/>
      </c>
      <c r="G276" s="2" t="str">
        <f>IF(D276&lt;&gt;"",IF(VLOOKUP(VLOOKUP(E276,Beräkningshjälp!O$2:U$60,7,FALSE),Artuppgifter!$I$11:$P$22,8,FALSE)=TRUE,"Medelvikter!!","ALLA"),"")</f>
        <v/>
      </c>
      <c r="H276" s="2" t="str">
        <f>IF(D276&lt;&gt;"",VLOOKUP(ROW(H275),Beräkningshjälp!AC$2:AH$1082,COLUMN(Beräkningshjälp!AH$2)-COLUMN(Beräkningshjälp!AC$2)+1,FALSE),"")</f>
        <v/>
      </c>
      <c r="I276" s="116" t="str">
        <f>IF(D276&lt;&gt;"",VLOOKUP(ROW(E275),Beräkningshjälp!AC$2:AI$1082,COLUMN(Beräkningshjälp!AI$2)-COLUMN(Beräkningshjälp!AC$2)+1,FALSE),"")</f>
        <v/>
      </c>
    </row>
    <row r="277" spans="1:9" x14ac:dyDescent="0.25">
      <c r="A277" s="2" t="str">
        <f t="shared" si="8"/>
        <v/>
      </c>
      <c r="B277" s="136" t="str">
        <f>IF(D277&lt;&gt;"",'DATA TILL SLU'!$J$3,"")</f>
        <v/>
      </c>
      <c r="C277" s="146" t="str">
        <f>IF(D277&lt;&gt;"",'DATA TILL SLU'!$K$3,"")</f>
        <v/>
      </c>
      <c r="D277" s="2" t="str">
        <f>IF('DATA TILL SLU'!$D$7*1&lt;&gt;"",IF(COUNT(Beräkningshjälp!$AC$3:$AC$1082)&gt;=ROW(D276),'DATA TILL SLU'!$D$7*1,""),"")</f>
        <v/>
      </c>
      <c r="E277" s="136" t="str">
        <f>IF(D277&lt;&gt;"",VLOOKUP(ROW(E276),Beräkningshjälp!AC$2:AH$1082,COLUMN(Beräkningshjälp!AF$2)-COLUMN(Beräkningshjälp!AC$2)+1,FALSE),"")</f>
        <v/>
      </c>
      <c r="F277" s="352" t="str">
        <f t="shared" si="9"/>
        <v/>
      </c>
      <c r="G277" s="2" t="str">
        <f>IF(D277&lt;&gt;"",IF(VLOOKUP(VLOOKUP(E277,Beräkningshjälp!O$2:U$60,7,FALSE),Artuppgifter!$I$11:$P$22,8,FALSE)=TRUE,"Medelvikter!!","ALLA"),"")</f>
        <v/>
      </c>
      <c r="H277" s="2" t="str">
        <f>IF(D277&lt;&gt;"",VLOOKUP(ROW(H276),Beräkningshjälp!AC$2:AH$1082,COLUMN(Beräkningshjälp!AH$2)-COLUMN(Beräkningshjälp!AC$2)+1,FALSE),"")</f>
        <v/>
      </c>
      <c r="I277" s="116" t="str">
        <f>IF(D277&lt;&gt;"",VLOOKUP(ROW(E276),Beräkningshjälp!AC$2:AI$1082,COLUMN(Beräkningshjälp!AI$2)-COLUMN(Beräkningshjälp!AC$2)+1,FALSE),"")</f>
        <v/>
      </c>
    </row>
    <row r="278" spans="1:9" x14ac:dyDescent="0.25">
      <c r="A278" s="2" t="str">
        <f t="shared" si="8"/>
        <v/>
      </c>
      <c r="B278" s="136" t="str">
        <f>IF(D278&lt;&gt;"",'DATA TILL SLU'!$J$3,"")</f>
        <v/>
      </c>
      <c r="C278" s="146" t="str">
        <f>IF(D278&lt;&gt;"",'DATA TILL SLU'!$K$3,"")</f>
        <v/>
      </c>
      <c r="D278" s="2" t="str">
        <f>IF('DATA TILL SLU'!$D$7*1&lt;&gt;"",IF(COUNT(Beräkningshjälp!$AC$3:$AC$1082)&gt;=ROW(D277),'DATA TILL SLU'!$D$7*1,""),"")</f>
        <v/>
      </c>
      <c r="E278" s="136" t="str">
        <f>IF(D278&lt;&gt;"",VLOOKUP(ROW(E277),Beräkningshjälp!AC$2:AH$1082,COLUMN(Beräkningshjälp!AF$2)-COLUMN(Beräkningshjälp!AC$2)+1,FALSE),"")</f>
        <v/>
      </c>
      <c r="F278" s="352" t="str">
        <f t="shared" si="9"/>
        <v/>
      </c>
      <c r="G278" s="2" t="str">
        <f>IF(D278&lt;&gt;"",IF(VLOOKUP(VLOOKUP(E278,Beräkningshjälp!O$2:U$60,7,FALSE),Artuppgifter!$I$11:$P$22,8,FALSE)=TRUE,"Medelvikter!!","ALLA"),"")</f>
        <v/>
      </c>
      <c r="H278" s="2" t="str">
        <f>IF(D278&lt;&gt;"",VLOOKUP(ROW(H277),Beräkningshjälp!AC$2:AH$1082,COLUMN(Beräkningshjälp!AH$2)-COLUMN(Beräkningshjälp!AC$2)+1,FALSE),"")</f>
        <v/>
      </c>
      <c r="I278" s="116" t="str">
        <f>IF(D278&lt;&gt;"",VLOOKUP(ROW(E277),Beräkningshjälp!AC$2:AI$1082,COLUMN(Beräkningshjälp!AI$2)-COLUMN(Beräkningshjälp!AC$2)+1,FALSE),"")</f>
        <v/>
      </c>
    </row>
    <row r="279" spans="1:9" x14ac:dyDescent="0.25">
      <c r="A279" s="2" t="str">
        <f t="shared" si="8"/>
        <v/>
      </c>
      <c r="B279" s="136" t="str">
        <f>IF(D279&lt;&gt;"",'DATA TILL SLU'!$J$3,"")</f>
        <v/>
      </c>
      <c r="C279" s="146" t="str">
        <f>IF(D279&lt;&gt;"",'DATA TILL SLU'!$K$3,"")</f>
        <v/>
      </c>
      <c r="D279" s="2" t="str">
        <f>IF('DATA TILL SLU'!$D$7*1&lt;&gt;"",IF(COUNT(Beräkningshjälp!$AC$3:$AC$1082)&gt;=ROW(D278),'DATA TILL SLU'!$D$7*1,""),"")</f>
        <v/>
      </c>
      <c r="E279" s="136" t="str">
        <f>IF(D279&lt;&gt;"",VLOOKUP(ROW(E278),Beräkningshjälp!AC$2:AH$1082,COLUMN(Beräkningshjälp!AF$2)-COLUMN(Beräkningshjälp!AC$2)+1,FALSE),"")</f>
        <v/>
      </c>
      <c r="F279" s="352" t="str">
        <f t="shared" si="9"/>
        <v/>
      </c>
      <c r="G279" s="2" t="str">
        <f>IF(D279&lt;&gt;"",IF(VLOOKUP(VLOOKUP(E279,Beräkningshjälp!O$2:U$60,7,FALSE),Artuppgifter!$I$11:$P$22,8,FALSE)=TRUE,"Medelvikter!!","ALLA"),"")</f>
        <v/>
      </c>
      <c r="H279" s="2" t="str">
        <f>IF(D279&lt;&gt;"",VLOOKUP(ROW(H278),Beräkningshjälp!AC$2:AH$1082,COLUMN(Beräkningshjälp!AH$2)-COLUMN(Beräkningshjälp!AC$2)+1,FALSE),"")</f>
        <v/>
      </c>
      <c r="I279" s="116" t="str">
        <f>IF(D279&lt;&gt;"",VLOOKUP(ROW(E278),Beräkningshjälp!AC$2:AI$1082,COLUMN(Beräkningshjälp!AI$2)-COLUMN(Beräkningshjälp!AC$2)+1,FALSE),"")</f>
        <v/>
      </c>
    </row>
    <row r="280" spans="1:9" x14ac:dyDescent="0.25">
      <c r="A280" s="2" t="str">
        <f t="shared" si="8"/>
        <v/>
      </c>
      <c r="B280" s="136" t="str">
        <f>IF(D280&lt;&gt;"",'DATA TILL SLU'!$J$3,"")</f>
        <v/>
      </c>
      <c r="C280" s="146" t="str">
        <f>IF(D280&lt;&gt;"",'DATA TILL SLU'!$K$3,"")</f>
        <v/>
      </c>
      <c r="D280" s="2" t="str">
        <f>IF('DATA TILL SLU'!$D$7*1&lt;&gt;"",IF(COUNT(Beräkningshjälp!$AC$3:$AC$1082)&gt;=ROW(D279),'DATA TILL SLU'!$D$7*1,""),"")</f>
        <v/>
      </c>
      <c r="E280" s="136" t="str">
        <f>IF(D280&lt;&gt;"",VLOOKUP(ROW(E279),Beräkningshjälp!AC$2:AH$1082,COLUMN(Beräkningshjälp!AF$2)-COLUMN(Beräkningshjälp!AC$2)+1,FALSE),"")</f>
        <v/>
      </c>
      <c r="F280" s="352" t="str">
        <f t="shared" si="9"/>
        <v/>
      </c>
      <c r="G280" s="2" t="str">
        <f>IF(D280&lt;&gt;"",IF(VLOOKUP(VLOOKUP(E280,Beräkningshjälp!O$2:U$60,7,FALSE),Artuppgifter!$I$11:$P$22,8,FALSE)=TRUE,"Medelvikter!!","ALLA"),"")</f>
        <v/>
      </c>
      <c r="H280" s="2" t="str">
        <f>IF(D280&lt;&gt;"",VLOOKUP(ROW(H279),Beräkningshjälp!AC$2:AH$1082,COLUMN(Beräkningshjälp!AH$2)-COLUMN(Beräkningshjälp!AC$2)+1,FALSE),"")</f>
        <v/>
      </c>
      <c r="I280" s="116" t="str">
        <f>IF(D280&lt;&gt;"",VLOOKUP(ROW(E279),Beräkningshjälp!AC$2:AI$1082,COLUMN(Beräkningshjälp!AI$2)-COLUMN(Beräkningshjälp!AC$2)+1,FALSE),"")</f>
        <v/>
      </c>
    </row>
    <row r="281" spans="1:9" x14ac:dyDescent="0.25">
      <c r="A281" s="2" t="str">
        <f t="shared" si="8"/>
        <v/>
      </c>
      <c r="B281" s="136" t="str">
        <f>IF(D281&lt;&gt;"",'DATA TILL SLU'!$J$3,"")</f>
        <v/>
      </c>
      <c r="C281" s="146" t="str">
        <f>IF(D281&lt;&gt;"",'DATA TILL SLU'!$K$3,"")</f>
        <v/>
      </c>
      <c r="D281" s="2" t="str">
        <f>IF('DATA TILL SLU'!$D$7*1&lt;&gt;"",IF(COUNT(Beräkningshjälp!$AC$3:$AC$1082)&gt;=ROW(D280),'DATA TILL SLU'!$D$7*1,""),"")</f>
        <v/>
      </c>
      <c r="E281" s="136" t="str">
        <f>IF(D281&lt;&gt;"",VLOOKUP(ROW(E280),Beräkningshjälp!AC$2:AH$1082,COLUMN(Beräkningshjälp!AF$2)-COLUMN(Beräkningshjälp!AC$2)+1,FALSE),"")</f>
        <v/>
      </c>
      <c r="F281" s="352" t="str">
        <f t="shared" si="9"/>
        <v/>
      </c>
      <c r="G281" s="2" t="str">
        <f>IF(D281&lt;&gt;"",IF(VLOOKUP(VLOOKUP(E281,Beräkningshjälp!O$2:U$60,7,FALSE),Artuppgifter!$I$11:$P$22,8,FALSE)=TRUE,"Medelvikter!!","ALLA"),"")</f>
        <v/>
      </c>
      <c r="H281" s="2" t="str">
        <f>IF(D281&lt;&gt;"",VLOOKUP(ROW(H280),Beräkningshjälp!AC$2:AH$1082,COLUMN(Beräkningshjälp!AH$2)-COLUMN(Beräkningshjälp!AC$2)+1,FALSE),"")</f>
        <v/>
      </c>
      <c r="I281" s="116" t="str">
        <f>IF(D281&lt;&gt;"",VLOOKUP(ROW(E280),Beräkningshjälp!AC$2:AI$1082,COLUMN(Beräkningshjälp!AI$2)-COLUMN(Beräkningshjälp!AC$2)+1,FALSE),"")</f>
        <v/>
      </c>
    </row>
    <row r="282" spans="1:9" x14ac:dyDescent="0.25">
      <c r="A282" s="2" t="str">
        <f t="shared" si="8"/>
        <v/>
      </c>
      <c r="B282" s="136" t="str">
        <f>IF(D282&lt;&gt;"",'DATA TILL SLU'!$J$3,"")</f>
        <v/>
      </c>
      <c r="C282" s="146" t="str">
        <f>IF(D282&lt;&gt;"",'DATA TILL SLU'!$K$3,"")</f>
        <v/>
      </c>
      <c r="D282" s="2" t="str">
        <f>IF('DATA TILL SLU'!$D$7*1&lt;&gt;"",IF(COUNT(Beräkningshjälp!$AC$3:$AC$1082)&gt;=ROW(D281),'DATA TILL SLU'!$D$7*1,""),"")</f>
        <v/>
      </c>
      <c r="E282" s="136" t="str">
        <f>IF(D282&lt;&gt;"",VLOOKUP(ROW(E281),Beräkningshjälp!AC$2:AH$1082,COLUMN(Beräkningshjälp!AF$2)-COLUMN(Beräkningshjälp!AC$2)+1,FALSE),"")</f>
        <v/>
      </c>
      <c r="F282" s="352" t="str">
        <f t="shared" si="9"/>
        <v/>
      </c>
      <c r="G282" s="2" t="str">
        <f>IF(D282&lt;&gt;"",IF(VLOOKUP(VLOOKUP(E282,Beräkningshjälp!O$2:U$60,7,FALSE),Artuppgifter!$I$11:$P$22,8,FALSE)=TRUE,"Medelvikter!!","ALLA"),"")</f>
        <v/>
      </c>
      <c r="H282" s="2" t="str">
        <f>IF(D282&lt;&gt;"",VLOOKUP(ROW(H281),Beräkningshjälp!AC$2:AH$1082,COLUMN(Beräkningshjälp!AH$2)-COLUMN(Beräkningshjälp!AC$2)+1,FALSE),"")</f>
        <v/>
      </c>
      <c r="I282" s="116" t="str">
        <f>IF(D282&lt;&gt;"",VLOOKUP(ROW(E281),Beräkningshjälp!AC$2:AI$1082,COLUMN(Beräkningshjälp!AI$2)-COLUMN(Beräkningshjälp!AC$2)+1,FALSE),"")</f>
        <v/>
      </c>
    </row>
    <row r="283" spans="1:9" x14ac:dyDescent="0.25">
      <c r="A283" s="2" t="str">
        <f t="shared" si="8"/>
        <v/>
      </c>
      <c r="B283" s="136" t="str">
        <f>IF(D283&lt;&gt;"",'DATA TILL SLU'!$J$3,"")</f>
        <v/>
      </c>
      <c r="C283" s="146" t="str">
        <f>IF(D283&lt;&gt;"",'DATA TILL SLU'!$K$3,"")</f>
        <v/>
      </c>
      <c r="D283" s="2" t="str">
        <f>IF('DATA TILL SLU'!$D$7*1&lt;&gt;"",IF(COUNT(Beräkningshjälp!$AC$3:$AC$1082)&gt;=ROW(D282),'DATA TILL SLU'!$D$7*1,""),"")</f>
        <v/>
      </c>
      <c r="E283" s="136" t="str">
        <f>IF(D283&lt;&gt;"",VLOOKUP(ROW(E282),Beräkningshjälp!AC$2:AH$1082,COLUMN(Beräkningshjälp!AF$2)-COLUMN(Beräkningshjälp!AC$2)+1,FALSE),"")</f>
        <v/>
      </c>
      <c r="F283" s="352" t="str">
        <f t="shared" si="9"/>
        <v/>
      </c>
      <c r="G283" s="2" t="str">
        <f>IF(D283&lt;&gt;"",IF(VLOOKUP(VLOOKUP(E283,Beräkningshjälp!O$2:U$60,7,FALSE),Artuppgifter!$I$11:$P$22,8,FALSE)=TRUE,"Medelvikter!!","ALLA"),"")</f>
        <v/>
      </c>
      <c r="H283" s="2" t="str">
        <f>IF(D283&lt;&gt;"",VLOOKUP(ROW(H282),Beräkningshjälp!AC$2:AH$1082,COLUMN(Beräkningshjälp!AH$2)-COLUMN(Beräkningshjälp!AC$2)+1,FALSE),"")</f>
        <v/>
      </c>
      <c r="I283" s="116" t="str">
        <f>IF(D283&lt;&gt;"",VLOOKUP(ROW(E282),Beräkningshjälp!AC$2:AI$1082,COLUMN(Beräkningshjälp!AI$2)-COLUMN(Beräkningshjälp!AC$2)+1,FALSE),"")</f>
        <v/>
      </c>
    </row>
    <row r="284" spans="1:9" x14ac:dyDescent="0.25">
      <c r="A284" s="2" t="str">
        <f t="shared" si="8"/>
        <v/>
      </c>
      <c r="B284" s="136" t="str">
        <f>IF(D284&lt;&gt;"",'DATA TILL SLU'!$J$3,"")</f>
        <v/>
      </c>
      <c r="C284" s="146" t="str">
        <f>IF(D284&lt;&gt;"",'DATA TILL SLU'!$K$3,"")</f>
        <v/>
      </c>
      <c r="D284" s="2" t="str">
        <f>IF('DATA TILL SLU'!$D$7*1&lt;&gt;"",IF(COUNT(Beräkningshjälp!$AC$3:$AC$1082)&gt;=ROW(D283),'DATA TILL SLU'!$D$7*1,""),"")</f>
        <v/>
      </c>
      <c r="E284" s="136" t="str">
        <f>IF(D284&lt;&gt;"",VLOOKUP(ROW(E283),Beräkningshjälp!AC$2:AH$1082,COLUMN(Beräkningshjälp!AF$2)-COLUMN(Beräkningshjälp!AC$2)+1,FALSE),"")</f>
        <v/>
      </c>
      <c r="F284" s="352" t="str">
        <f t="shared" si="9"/>
        <v/>
      </c>
      <c r="G284" s="2" t="str">
        <f>IF(D284&lt;&gt;"",IF(VLOOKUP(VLOOKUP(E284,Beräkningshjälp!O$2:U$60,7,FALSE),Artuppgifter!$I$11:$P$22,8,FALSE)=TRUE,"Medelvikter!!","ALLA"),"")</f>
        <v/>
      </c>
      <c r="H284" s="2" t="str">
        <f>IF(D284&lt;&gt;"",VLOOKUP(ROW(H283),Beräkningshjälp!AC$2:AH$1082,COLUMN(Beräkningshjälp!AH$2)-COLUMN(Beräkningshjälp!AC$2)+1,FALSE),"")</f>
        <v/>
      </c>
      <c r="I284" s="116" t="str">
        <f>IF(D284&lt;&gt;"",VLOOKUP(ROW(E283),Beräkningshjälp!AC$2:AI$1082,COLUMN(Beräkningshjälp!AI$2)-COLUMN(Beräkningshjälp!AC$2)+1,FALSE),"")</f>
        <v/>
      </c>
    </row>
    <row r="285" spans="1:9" x14ac:dyDescent="0.25">
      <c r="A285" s="2" t="str">
        <f t="shared" si="8"/>
        <v/>
      </c>
      <c r="B285" s="136" t="str">
        <f>IF(D285&lt;&gt;"",'DATA TILL SLU'!$J$3,"")</f>
        <v/>
      </c>
      <c r="C285" s="146" t="str">
        <f>IF(D285&lt;&gt;"",'DATA TILL SLU'!$K$3,"")</f>
        <v/>
      </c>
      <c r="D285" s="2" t="str">
        <f>IF('DATA TILL SLU'!$D$7*1&lt;&gt;"",IF(COUNT(Beräkningshjälp!$AC$3:$AC$1082)&gt;=ROW(D284),'DATA TILL SLU'!$D$7*1,""),"")</f>
        <v/>
      </c>
      <c r="E285" s="136" t="str">
        <f>IF(D285&lt;&gt;"",VLOOKUP(ROW(E284),Beräkningshjälp!AC$2:AH$1082,COLUMN(Beräkningshjälp!AF$2)-COLUMN(Beräkningshjälp!AC$2)+1,FALSE),"")</f>
        <v/>
      </c>
      <c r="F285" s="352" t="str">
        <f t="shared" si="9"/>
        <v/>
      </c>
      <c r="G285" s="2" t="str">
        <f>IF(D285&lt;&gt;"",IF(VLOOKUP(VLOOKUP(E285,Beräkningshjälp!O$2:U$60,7,FALSE),Artuppgifter!$I$11:$P$22,8,FALSE)=TRUE,"Medelvikter!!","ALLA"),"")</f>
        <v/>
      </c>
      <c r="H285" s="2" t="str">
        <f>IF(D285&lt;&gt;"",VLOOKUP(ROW(H284),Beräkningshjälp!AC$2:AH$1082,COLUMN(Beräkningshjälp!AH$2)-COLUMN(Beräkningshjälp!AC$2)+1,FALSE),"")</f>
        <v/>
      </c>
      <c r="I285" s="116" t="str">
        <f>IF(D285&lt;&gt;"",VLOOKUP(ROW(E284),Beräkningshjälp!AC$2:AI$1082,COLUMN(Beräkningshjälp!AI$2)-COLUMN(Beräkningshjälp!AC$2)+1,FALSE),"")</f>
        <v/>
      </c>
    </row>
    <row r="286" spans="1:9" x14ac:dyDescent="0.25">
      <c r="A286" s="2" t="str">
        <f t="shared" si="8"/>
        <v/>
      </c>
      <c r="B286" s="136" t="str">
        <f>IF(D286&lt;&gt;"",'DATA TILL SLU'!$J$3,"")</f>
        <v/>
      </c>
      <c r="C286" s="146" t="str">
        <f>IF(D286&lt;&gt;"",'DATA TILL SLU'!$K$3,"")</f>
        <v/>
      </c>
      <c r="D286" s="2" t="str">
        <f>IF('DATA TILL SLU'!$D$7*1&lt;&gt;"",IF(COUNT(Beräkningshjälp!$AC$3:$AC$1082)&gt;=ROW(D285),'DATA TILL SLU'!$D$7*1,""),"")</f>
        <v/>
      </c>
      <c r="E286" s="136" t="str">
        <f>IF(D286&lt;&gt;"",VLOOKUP(ROW(E285),Beräkningshjälp!AC$2:AH$1082,COLUMN(Beräkningshjälp!AF$2)-COLUMN(Beräkningshjälp!AC$2)+1,FALSE),"")</f>
        <v/>
      </c>
      <c r="F286" s="352" t="str">
        <f t="shared" si="9"/>
        <v/>
      </c>
      <c r="G286" s="2" t="str">
        <f>IF(D286&lt;&gt;"",IF(VLOOKUP(VLOOKUP(E286,Beräkningshjälp!O$2:U$60,7,FALSE),Artuppgifter!$I$11:$P$22,8,FALSE)=TRUE,"Medelvikter!!","ALLA"),"")</f>
        <v/>
      </c>
      <c r="H286" s="2" t="str">
        <f>IF(D286&lt;&gt;"",VLOOKUP(ROW(H285),Beräkningshjälp!AC$2:AH$1082,COLUMN(Beräkningshjälp!AH$2)-COLUMN(Beräkningshjälp!AC$2)+1,FALSE),"")</f>
        <v/>
      </c>
      <c r="I286" s="116" t="str">
        <f>IF(D286&lt;&gt;"",VLOOKUP(ROW(E285),Beräkningshjälp!AC$2:AI$1082,COLUMN(Beräkningshjälp!AI$2)-COLUMN(Beräkningshjälp!AC$2)+1,FALSE),"")</f>
        <v/>
      </c>
    </row>
    <row r="287" spans="1:9" x14ac:dyDescent="0.25">
      <c r="A287" s="2" t="str">
        <f t="shared" si="8"/>
        <v/>
      </c>
      <c r="B287" s="136" t="str">
        <f>IF(D287&lt;&gt;"",'DATA TILL SLU'!$J$3,"")</f>
        <v/>
      </c>
      <c r="C287" s="146" t="str">
        <f>IF(D287&lt;&gt;"",'DATA TILL SLU'!$K$3,"")</f>
        <v/>
      </c>
      <c r="D287" s="2" t="str">
        <f>IF('DATA TILL SLU'!$D$7*1&lt;&gt;"",IF(COUNT(Beräkningshjälp!$AC$3:$AC$1082)&gt;=ROW(D286),'DATA TILL SLU'!$D$7*1,""),"")</f>
        <v/>
      </c>
      <c r="E287" s="136" t="str">
        <f>IF(D287&lt;&gt;"",VLOOKUP(ROW(E286),Beräkningshjälp!AC$2:AH$1082,COLUMN(Beräkningshjälp!AF$2)-COLUMN(Beräkningshjälp!AC$2)+1,FALSE),"")</f>
        <v/>
      </c>
      <c r="F287" s="352" t="str">
        <f t="shared" si="9"/>
        <v/>
      </c>
      <c r="G287" s="2" t="str">
        <f>IF(D287&lt;&gt;"",IF(VLOOKUP(VLOOKUP(E287,Beräkningshjälp!O$2:U$60,7,FALSE),Artuppgifter!$I$11:$P$22,8,FALSE)=TRUE,"Medelvikter!!","ALLA"),"")</f>
        <v/>
      </c>
      <c r="H287" s="2" t="str">
        <f>IF(D287&lt;&gt;"",VLOOKUP(ROW(H286),Beräkningshjälp!AC$2:AH$1082,COLUMN(Beräkningshjälp!AH$2)-COLUMN(Beräkningshjälp!AC$2)+1,FALSE),"")</f>
        <v/>
      </c>
      <c r="I287" s="116" t="str">
        <f>IF(D287&lt;&gt;"",VLOOKUP(ROW(E286),Beräkningshjälp!AC$2:AI$1082,COLUMN(Beräkningshjälp!AI$2)-COLUMN(Beräkningshjälp!AC$2)+1,FALSE),"")</f>
        <v/>
      </c>
    </row>
    <row r="288" spans="1:9" x14ac:dyDescent="0.25">
      <c r="A288" s="2" t="str">
        <f t="shared" si="8"/>
        <v/>
      </c>
      <c r="B288" s="136" t="str">
        <f>IF(D288&lt;&gt;"",'DATA TILL SLU'!$J$3,"")</f>
        <v/>
      </c>
      <c r="C288" s="146" t="str">
        <f>IF(D288&lt;&gt;"",'DATA TILL SLU'!$K$3,"")</f>
        <v/>
      </c>
      <c r="D288" s="2" t="str">
        <f>IF('DATA TILL SLU'!$D$7*1&lt;&gt;"",IF(COUNT(Beräkningshjälp!$AC$3:$AC$1082)&gt;=ROW(D287),'DATA TILL SLU'!$D$7*1,""),"")</f>
        <v/>
      </c>
      <c r="E288" s="136" t="str">
        <f>IF(D288&lt;&gt;"",VLOOKUP(ROW(E287),Beräkningshjälp!AC$2:AH$1082,COLUMN(Beräkningshjälp!AF$2)-COLUMN(Beräkningshjälp!AC$2)+1,FALSE),"")</f>
        <v/>
      </c>
      <c r="F288" s="352" t="str">
        <f t="shared" si="9"/>
        <v/>
      </c>
      <c r="G288" s="2" t="str">
        <f>IF(D288&lt;&gt;"",IF(VLOOKUP(VLOOKUP(E288,Beräkningshjälp!O$2:U$60,7,FALSE),Artuppgifter!$I$11:$P$22,8,FALSE)=TRUE,"Medelvikter!!","ALLA"),"")</f>
        <v/>
      </c>
      <c r="H288" s="2" t="str">
        <f>IF(D288&lt;&gt;"",VLOOKUP(ROW(H287),Beräkningshjälp!AC$2:AH$1082,COLUMN(Beräkningshjälp!AH$2)-COLUMN(Beräkningshjälp!AC$2)+1,FALSE),"")</f>
        <v/>
      </c>
      <c r="I288" s="116" t="str">
        <f>IF(D288&lt;&gt;"",VLOOKUP(ROW(E287),Beräkningshjälp!AC$2:AI$1082,COLUMN(Beräkningshjälp!AI$2)-COLUMN(Beräkningshjälp!AC$2)+1,FALSE),"")</f>
        <v/>
      </c>
    </row>
    <row r="289" spans="1:9" x14ac:dyDescent="0.25">
      <c r="A289" s="2" t="str">
        <f t="shared" si="8"/>
        <v/>
      </c>
      <c r="B289" s="136" t="str">
        <f>IF(D289&lt;&gt;"",'DATA TILL SLU'!$J$3,"")</f>
        <v/>
      </c>
      <c r="C289" s="146" t="str">
        <f>IF(D289&lt;&gt;"",'DATA TILL SLU'!$K$3,"")</f>
        <v/>
      </c>
      <c r="D289" s="2" t="str">
        <f>IF('DATA TILL SLU'!$D$7*1&lt;&gt;"",IF(COUNT(Beräkningshjälp!$AC$3:$AC$1082)&gt;=ROW(D288),'DATA TILL SLU'!$D$7*1,""),"")</f>
        <v/>
      </c>
      <c r="E289" s="136" t="str">
        <f>IF(D289&lt;&gt;"",VLOOKUP(ROW(E288),Beräkningshjälp!AC$2:AH$1082,COLUMN(Beräkningshjälp!AF$2)-COLUMN(Beräkningshjälp!AC$2)+1,FALSE),"")</f>
        <v/>
      </c>
      <c r="F289" s="352" t="str">
        <f t="shared" si="9"/>
        <v/>
      </c>
      <c r="G289" s="2" t="str">
        <f>IF(D289&lt;&gt;"",IF(VLOOKUP(VLOOKUP(E289,Beräkningshjälp!O$2:U$60,7,FALSE),Artuppgifter!$I$11:$P$22,8,FALSE)=TRUE,"Medelvikter!!","ALLA"),"")</f>
        <v/>
      </c>
      <c r="H289" s="2" t="str">
        <f>IF(D289&lt;&gt;"",VLOOKUP(ROW(H288),Beräkningshjälp!AC$2:AH$1082,COLUMN(Beräkningshjälp!AH$2)-COLUMN(Beräkningshjälp!AC$2)+1,FALSE),"")</f>
        <v/>
      </c>
      <c r="I289" s="116" t="str">
        <f>IF(D289&lt;&gt;"",VLOOKUP(ROW(E288),Beräkningshjälp!AC$2:AI$1082,COLUMN(Beräkningshjälp!AI$2)-COLUMN(Beräkningshjälp!AC$2)+1,FALSE),"")</f>
        <v/>
      </c>
    </row>
    <row r="290" spans="1:9" x14ac:dyDescent="0.25">
      <c r="A290" s="2" t="str">
        <f t="shared" si="8"/>
        <v/>
      </c>
      <c r="B290" s="136" t="str">
        <f>IF(D290&lt;&gt;"",'DATA TILL SLU'!$J$3,"")</f>
        <v/>
      </c>
      <c r="C290" s="146" t="str">
        <f>IF(D290&lt;&gt;"",'DATA TILL SLU'!$K$3,"")</f>
        <v/>
      </c>
      <c r="D290" s="2" t="str">
        <f>IF('DATA TILL SLU'!$D$7*1&lt;&gt;"",IF(COUNT(Beräkningshjälp!$AC$3:$AC$1082)&gt;=ROW(D289),'DATA TILL SLU'!$D$7*1,""),"")</f>
        <v/>
      </c>
      <c r="E290" s="136" t="str">
        <f>IF(D290&lt;&gt;"",VLOOKUP(ROW(E289),Beräkningshjälp!AC$2:AH$1082,COLUMN(Beräkningshjälp!AF$2)-COLUMN(Beräkningshjälp!AC$2)+1,FALSE),"")</f>
        <v/>
      </c>
      <c r="F290" s="352" t="str">
        <f t="shared" si="9"/>
        <v/>
      </c>
      <c r="G290" s="2" t="str">
        <f>IF(D290&lt;&gt;"",IF(VLOOKUP(VLOOKUP(E290,Beräkningshjälp!O$2:U$60,7,FALSE),Artuppgifter!$I$11:$P$22,8,FALSE)=TRUE,"Medelvikter!!","ALLA"),"")</f>
        <v/>
      </c>
      <c r="H290" s="2" t="str">
        <f>IF(D290&lt;&gt;"",VLOOKUP(ROW(H289),Beräkningshjälp!AC$2:AH$1082,COLUMN(Beräkningshjälp!AH$2)-COLUMN(Beräkningshjälp!AC$2)+1,FALSE),"")</f>
        <v/>
      </c>
      <c r="I290" s="116" t="str">
        <f>IF(D290&lt;&gt;"",VLOOKUP(ROW(E289),Beräkningshjälp!AC$2:AI$1082,COLUMN(Beräkningshjälp!AI$2)-COLUMN(Beräkningshjälp!AC$2)+1,FALSE),"")</f>
        <v/>
      </c>
    </row>
    <row r="291" spans="1:9" x14ac:dyDescent="0.25">
      <c r="A291" s="2" t="str">
        <f t="shared" si="8"/>
        <v/>
      </c>
      <c r="B291" s="136" t="str">
        <f>IF(D291&lt;&gt;"",'DATA TILL SLU'!$J$3,"")</f>
        <v/>
      </c>
      <c r="C291" s="146" t="str">
        <f>IF(D291&lt;&gt;"",'DATA TILL SLU'!$K$3,"")</f>
        <v/>
      </c>
      <c r="D291" s="2" t="str">
        <f>IF('DATA TILL SLU'!$D$7*1&lt;&gt;"",IF(COUNT(Beräkningshjälp!$AC$3:$AC$1082)&gt;=ROW(D290),'DATA TILL SLU'!$D$7*1,""),"")</f>
        <v/>
      </c>
      <c r="E291" s="136" t="str">
        <f>IF(D291&lt;&gt;"",VLOOKUP(ROW(E290),Beräkningshjälp!AC$2:AH$1082,COLUMN(Beräkningshjälp!AF$2)-COLUMN(Beräkningshjälp!AC$2)+1,FALSE),"")</f>
        <v/>
      </c>
      <c r="F291" s="352" t="str">
        <f t="shared" si="9"/>
        <v/>
      </c>
      <c r="G291" s="2" t="str">
        <f>IF(D291&lt;&gt;"",IF(VLOOKUP(VLOOKUP(E291,Beräkningshjälp!O$2:U$60,7,FALSE),Artuppgifter!$I$11:$P$22,8,FALSE)=TRUE,"Medelvikter!!","ALLA"),"")</f>
        <v/>
      </c>
      <c r="H291" s="2" t="str">
        <f>IF(D291&lt;&gt;"",VLOOKUP(ROW(H290),Beräkningshjälp!AC$2:AH$1082,COLUMN(Beräkningshjälp!AH$2)-COLUMN(Beräkningshjälp!AC$2)+1,FALSE),"")</f>
        <v/>
      </c>
      <c r="I291" s="116" t="str">
        <f>IF(D291&lt;&gt;"",VLOOKUP(ROW(E290),Beräkningshjälp!AC$2:AI$1082,COLUMN(Beräkningshjälp!AI$2)-COLUMN(Beräkningshjälp!AC$2)+1,FALSE),"")</f>
        <v/>
      </c>
    </row>
    <row r="292" spans="1:9" x14ac:dyDescent="0.25">
      <c r="A292" s="2" t="str">
        <f t="shared" si="8"/>
        <v/>
      </c>
      <c r="B292" s="136" t="str">
        <f>IF(D292&lt;&gt;"",'DATA TILL SLU'!$J$3,"")</f>
        <v/>
      </c>
      <c r="C292" s="146" t="str">
        <f>IF(D292&lt;&gt;"",'DATA TILL SLU'!$K$3,"")</f>
        <v/>
      </c>
      <c r="D292" s="2" t="str">
        <f>IF('DATA TILL SLU'!$D$7*1&lt;&gt;"",IF(COUNT(Beräkningshjälp!$AC$3:$AC$1082)&gt;=ROW(D291),'DATA TILL SLU'!$D$7*1,""),"")</f>
        <v/>
      </c>
      <c r="E292" s="136" t="str">
        <f>IF(D292&lt;&gt;"",VLOOKUP(ROW(E291),Beräkningshjälp!AC$2:AH$1082,COLUMN(Beräkningshjälp!AF$2)-COLUMN(Beräkningshjälp!AC$2)+1,FALSE),"")</f>
        <v/>
      </c>
      <c r="F292" s="352" t="str">
        <f t="shared" si="9"/>
        <v/>
      </c>
      <c r="G292" s="2" t="str">
        <f>IF(D292&lt;&gt;"",IF(VLOOKUP(VLOOKUP(E292,Beräkningshjälp!O$2:U$60,7,FALSE),Artuppgifter!$I$11:$P$22,8,FALSE)=TRUE,"Medelvikter!!","ALLA"),"")</f>
        <v/>
      </c>
      <c r="H292" s="2" t="str">
        <f>IF(D292&lt;&gt;"",VLOOKUP(ROW(H291),Beräkningshjälp!AC$2:AH$1082,COLUMN(Beräkningshjälp!AH$2)-COLUMN(Beräkningshjälp!AC$2)+1,FALSE),"")</f>
        <v/>
      </c>
      <c r="I292" s="116" t="str">
        <f>IF(D292&lt;&gt;"",VLOOKUP(ROW(E291),Beräkningshjälp!AC$2:AI$1082,COLUMN(Beräkningshjälp!AI$2)-COLUMN(Beräkningshjälp!AC$2)+1,FALSE),"")</f>
        <v/>
      </c>
    </row>
    <row r="293" spans="1:9" x14ac:dyDescent="0.25">
      <c r="A293" s="2" t="str">
        <f t="shared" si="8"/>
        <v/>
      </c>
      <c r="B293" s="136" t="str">
        <f>IF(D293&lt;&gt;"",'DATA TILL SLU'!$J$3,"")</f>
        <v/>
      </c>
      <c r="C293" s="146" t="str">
        <f>IF(D293&lt;&gt;"",'DATA TILL SLU'!$K$3,"")</f>
        <v/>
      </c>
      <c r="D293" s="2" t="str">
        <f>IF('DATA TILL SLU'!$D$7*1&lt;&gt;"",IF(COUNT(Beräkningshjälp!$AC$3:$AC$1082)&gt;=ROW(D292),'DATA TILL SLU'!$D$7*1,""),"")</f>
        <v/>
      </c>
      <c r="E293" s="136" t="str">
        <f>IF(D293&lt;&gt;"",VLOOKUP(ROW(E292),Beräkningshjälp!AC$2:AH$1082,COLUMN(Beräkningshjälp!AF$2)-COLUMN(Beräkningshjälp!AC$2)+1,FALSE),"")</f>
        <v/>
      </c>
      <c r="F293" s="352" t="str">
        <f t="shared" si="9"/>
        <v/>
      </c>
      <c r="G293" s="2" t="str">
        <f>IF(D293&lt;&gt;"",IF(VLOOKUP(VLOOKUP(E293,Beräkningshjälp!O$2:U$60,7,FALSE),Artuppgifter!$I$11:$P$22,8,FALSE)=TRUE,"Medelvikter!!","ALLA"),"")</f>
        <v/>
      </c>
      <c r="H293" s="2" t="str">
        <f>IF(D293&lt;&gt;"",VLOOKUP(ROW(H292),Beräkningshjälp!AC$2:AH$1082,COLUMN(Beräkningshjälp!AH$2)-COLUMN(Beräkningshjälp!AC$2)+1,FALSE),"")</f>
        <v/>
      </c>
      <c r="I293" s="116" t="str">
        <f>IF(D293&lt;&gt;"",VLOOKUP(ROW(E292),Beräkningshjälp!AC$2:AI$1082,COLUMN(Beräkningshjälp!AI$2)-COLUMN(Beräkningshjälp!AC$2)+1,FALSE),"")</f>
        <v/>
      </c>
    </row>
    <row r="294" spans="1:9" x14ac:dyDescent="0.25">
      <c r="A294" s="2" t="str">
        <f t="shared" si="8"/>
        <v/>
      </c>
      <c r="B294" s="136" t="str">
        <f>IF(D294&lt;&gt;"",'DATA TILL SLU'!$J$3,"")</f>
        <v/>
      </c>
      <c r="C294" s="146" t="str">
        <f>IF(D294&lt;&gt;"",'DATA TILL SLU'!$K$3,"")</f>
        <v/>
      </c>
      <c r="D294" s="2" t="str">
        <f>IF('DATA TILL SLU'!$D$7*1&lt;&gt;"",IF(COUNT(Beräkningshjälp!$AC$3:$AC$1082)&gt;=ROW(D293),'DATA TILL SLU'!$D$7*1,""),"")</f>
        <v/>
      </c>
      <c r="E294" s="136" t="str">
        <f>IF(D294&lt;&gt;"",VLOOKUP(ROW(E293),Beräkningshjälp!AC$2:AH$1082,COLUMN(Beräkningshjälp!AF$2)-COLUMN(Beräkningshjälp!AC$2)+1,FALSE),"")</f>
        <v/>
      </c>
      <c r="F294" s="352" t="str">
        <f t="shared" si="9"/>
        <v/>
      </c>
      <c r="G294" s="2" t="str">
        <f>IF(D294&lt;&gt;"",IF(VLOOKUP(VLOOKUP(E294,Beräkningshjälp!O$2:U$60,7,FALSE),Artuppgifter!$I$11:$P$22,8,FALSE)=TRUE,"Medelvikter!!","ALLA"),"")</f>
        <v/>
      </c>
      <c r="H294" s="2" t="str">
        <f>IF(D294&lt;&gt;"",VLOOKUP(ROW(H293),Beräkningshjälp!AC$2:AH$1082,COLUMN(Beräkningshjälp!AH$2)-COLUMN(Beräkningshjälp!AC$2)+1,FALSE),"")</f>
        <v/>
      </c>
      <c r="I294" s="116" t="str">
        <f>IF(D294&lt;&gt;"",VLOOKUP(ROW(E293),Beräkningshjälp!AC$2:AI$1082,COLUMN(Beräkningshjälp!AI$2)-COLUMN(Beräkningshjälp!AC$2)+1,FALSE),"")</f>
        <v/>
      </c>
    </row>
    <row r="295" spans="1:9" x14ac:dyDescent="0.25">
      <c r="A295" s="2" t="str">
        <f t="shared" si="8"/>
        <v/>
      </c>
      <c r="B295" s="136" t="str">
        <f>IF(D295&lt;&gt;"",'DATA TILL SLU'!$J$3,"")</f>
        <v/>
      </c>
      <c r="C295" s="146" t="str">
        <f>IF(D295&lt;&gt;"",'DATA TILL SLU'!$K$3,"")</f>
        <v/>
      </c>
      <c r="D295" s="2" t="str">
        <f>IF('DATA TILL SLU'!$D$7*1&lt;&gt;"",IF(COUNT(Beräkningshjälp!$AC$3:$AC$1082)&gt;=ROW(D294),'DATA TILL SLU'!$D$7*1,""),"")</f>
        <v/>
      </c>
      <c r="E295" s="136" t="str">
        <f>IF(D295&lt;&gt;"",VLOOKUP(ROW(E294),Beräkningshjälp!AC$2:AH$1082,COLUMN(Beräkningshjälp!AF$2)-COLUMN(Beräkningshjälp!AC$2)+1,FALSE),"")</f>
        <v/>
      </c>
      <c r="F295" s="352" t="str">
        <f t="shared" si="9"/>
        <v/>
      </c>
      <c r="G295" s="2" t="str">
        <f>IF(D295&lt;&gt;"",IF(VLOOKUP(VLOOKUP(E295,Beräkningshjälp!O$2:U$60,7,FALSE),Artuppgifter!$I$11:$P$22,8,FALSE)=TRUE,"Medelvikter!!","ALLA"),"")</f>
        <v/>
      </c>
      <c r="H295" s="2" t="str">
        <f>IF(D295&lt;&gt;"",VLOOKUP(ROW(H294),Beräkningshjälp!AC$2:AH$1082,COLUMN(Beräkningshjälp!AH$2)-COLUMN(Beräkningshjälp!AC$2)+1,FALSE),"")</f>
        <v/>
      </c>
      <c r="I295" s="116" t="str">
        <f>IF(D295&lt;&gt;"",VLOOKUP(ROW(E294),Beräkningshjälp!AC$2:AI$1082,COLUMN(Beräkningshjälp!AI$2)-COLUMN(Beräkningshjälp!AC$2)+1,FALSE),"")</f>
        <v/>
      </c>
    </row>
    <row r="296" spans="1:9" x14ac:dyDescent="0.25">
      <c r="A296" s="2" t="str">
        <f t="shared" si="8"/>
        <v/>
      </c>
      <c r="B296" s="136" t="str">
        <f>IF(D296&lt;&gt;"",'DATA TILL SLU'!$J$3,"")</f>
        <v/>
      </c>
      <c r="C296" s="146" t="str">
        <f>IF(D296&lt;&gt;"",'DATA TILL SLU'!$K$3,"")</f>
        <v/>
      </c>
      <c r="D296" s="2" t="str">
        <f>IF('DATA TILL SLU'!$D$7*1&lt;&gt;"",IF(COUNT(Beräkningshjälp!$AC$3:$AC$1082)&gt;=ROW(D295),'DATA TILL SLU'!$D$7*1,""),"")</f>
        <v/>
      </c>
      <c r="E296" s="136" t="str">
        <f>IF(D296&lt;&gt;"",VLOOKUP(ROW(E295),Beräkningshjälp!AC$2:AH$1082,COLUMN(Beräkningshjälp!AF$2)-COLUMN(Beräkningshjälp!AC$2)+1,FALSE),"")</f>
        <v/>
      </c>
      <c r="F296" s="352" t="str">
        <f t="shared" si="9"/>
        <v/>
      </c>
      <c r="G296" s="2" t="str">
        <f>IF(D296&lt;&gt;"",IF(VLOOKUP(VLOOKUP(E296,Beräkningshjälp!O$2:U$60,7,FALSE),Artuppgifter!$I$11:$P$22,8,FALSE)=TRUE,"Medelvikter!!","ALLA"),"")</f>
        <v/>
      </c>
      <c r="H296" s="2" t="str">
        <f>IF(D296&lt;&gt;"",VLOOKUP(ROW(H295),Beräkningshjälp!AC$2:AH$1082,COLUMN(Beräkningshjälp!AH$2)-COLUMN(Beräkningshjälp!AC$2)+1,FALSE),"")</f>
        <v/>
      </c>
      <c r="I296" s="116" t="str">
        <f>IF(D296&lt;&gt;"",VLOOKUP(ROW(E295),Beräkningshjälp!AC$2:AI$1082,COLUMN(Beräkningshjälp!AI$2)-COLUMN(Beräkningshjälp!AC$2)+1,FALSE),"")</f>
        <v/>
      </c>
    </row>
    <row r="297" spans="1:9" x14ac:dyDescent="0.25">
      <c r="A297" s="2" t="str">
        <f t="shared" si="8"/>
        <v/>
      </c>
      <c r="B297" s="136" t="str">
        <f>IF(D297&lt;&gt;"",'DATA TILL SLU'!$J$3,"")</f>
        <v/>
      </c>
      <c r="C297" s="146" t="str">
        <f>IF(D297&lt;&gt;"",'DATA TILL SLU'!$K$3,"")</f>
        <v/>
      </c>
      <c r="D297" s="2" t="str">
        <f>IF('DATA TILL SLU'!$D$7*1&lt;&gt;"",IF(COUNT(Beräkningshjälp!$AC$3:$AC$1082)&gt;=ROW(D296),'DATA TILL SLU'!$D$7*1,""),"")</f>
        <v/>
      </c>
      <c r="E297" s="136" t="str">
        <f>IF(D297&lt;&gt;"",VLOOKUP(ROW(E296),Beräkningshjälp!AC$2:AH$1082,COLUMN(Beräkningshjälp!AF$2)-COLUMN(Beräkningshjälp!AC$2)+1,FALSE),"")</f>
        <v/>
      </c>
      <c r="F297" s="352" t="str">
        <f t="shared" si="9"/>
        <v/>
      </c>
      <c r="G297" s="2" t="str">
        <f>IF(D297&lt;&gt;"",IF(VLOOKUP(VLOOKUP(E297,Beräkningshjälp!O$2:U$60,7,FALSE),Artuppgifter!$I$11:$P$22,8,FALSE)=TRUE,"Medelvikter!!","ALLA"),"")</f>
        <v/>
      </c>
      <c r="H297" s="2" t="str">
        <f>IF(D297&lt;&gt;"",VLOOKUP(ROW(H296),Beräkningshjälp!AC$2:AH$1082,COLUMN(Beräkningshjälp!AH$2)-COLUMN(Beräkningshjälp!AC$2)+1,FALSE),"")</f>
        <v/>
      </c>
      <c r="I297" s="116" t="str">
        <f>IF(D297&lt;&gt;"",VLOOKUP(ROW(E296),Beräkningshjälp!AC$2:AI$1082,COLUMN(Beräkningshjälp!AI$2)-COLUMN(Beräkningshjälp!AC$2)+1,FALSE),"")</f>
        <v/>
      </c>
    </row>
    <row r="298" spans="1:9" x14ac:dyDescent="0.25">
      <c r="A298" s="2" t="str">
        <f t="shared" si="8"/>
        <v/>
      </c>
      <c r="B298" s="136" t="str">
        <f>IF(D298&lt;&gt;"",'DATA TILL SLU'!$J$3,"")</f>
        <v/>
      </c>
      <c r="C298" s="146" t="str">
        <f>IF(D298&lt;&gt;"",'DATA TILL SLU'!$K$3,"")</f>
        <v/>
      </c>
      <c r="D298" s="2" t="str">
        <f>IF('DATA TILL SLU'!$D$7*1&lt;&gt;"",IF(COUNT(Beräkningshjälp!$AC$3:$AC$1082)&gt;=ROW(D297),'DATA TILL SLU'!$D$7*1,""),"")</f>
        <v/>
      </c>
      <c r="E298" s="136" t="str">
        <f>IF(D298&lt;&gt;"",VLOOKUP(ROW(E297),Beräkningshjälp!AC$2:AH$1082,COLUMN(Beräkningshjälp!AF$2)-COLUMN(Beräkningshjälp!AC$2)+1,FALSE),"")</f>
        <v/>
      </c>
      <c r="F298" s="352" t="str">
        <f t="shared" si="9"/>
        <v/>
      </c>
      <c r="G298" s="2" t="str">
        <f>IF(D298&lt;&gt;"",IF(VLOOKUP(VLOOKUP(E298,Beräkningshjälp!O$2:U$60,7,FALSE),Artuppgifter!$I$11:$P$22,8,FALSE)=TRUE,"Medelvikter!!","ALLA"),"")</f>
        <v/>
      </c>
      <c r="H298" s="2" t="str">
        <f>IF(D298&lt;&gt;"",VLOOKUP(ROW(H297),Beräkningshjälp!AC$2:AH$1082,COLUMN(Beräkningshjälp!AH$2)-COLUMN(Beräkningshjälp!AC$2)+1,FALSE),"")</f>
        <v/>
      </c>
      <c r="I298" s="116" t="str">
        <f>IF(D298&lt;&gt;"",VLOOKUP(ROW(E297),Beräkningshjälp!AC$2:AI$1082,COLUMN(Beräkningshjälp!AI$2)-COLUMN(Beräkningshjälp!AC$2)+1,FALSE),"")</f>
        <v/>
      </c>
    </row>
    <row r="299" spans="1:9" x14ac:dyDescent="0.25">
      <c r="A299" s="2" t="str">
        <f t="shared" si="8"/>
        <v/>
      </c>
      <c r="B299" s="136" t="str">
        <f>IF(D299&lt;&gt;"",'DATA TILL SLU'!$J$3,"")</f>
        <v/>
      </c>
      <c r="C299" s="146" t="str">
        <f>IF(D299&lt;&gt;"",'DATA TILL SLU'!$K$3,"")</f>
        <v/>
      </c>
      <c r="D299" s="2" t="str">
        <f>IF('DATA TILL SLU'!$D$7*1&lt;&gt;"",IF(COUNT(Beräkningshjälp!$AC$3:$AC$1082)&gt;=ROW(D298),'DATA TILL SLU'!$D$7*1,""),"")</f>
        <v/>
      </c>
      <c r="E299" s="136" t="str">
        <f>IF(D299&lt;&gt;"",VLOOKUP(ROW(E298),Beräkningshjälp!AC$2:AH$1082,COLUMN(Beräkningshjälp!AF$2)-COLUMN(Beräkningshjälp!AC$2)+1,FALSE),"")</f>
        <v/>
      </c>
      <c r="F299" s="352" t="str">
        <f t="shared" si="9"/>
        <v/>
      </c>
      <c r="G299" s="2" t="str">
        <f>IF(D299&lt;&gt;"",IF(VLOOKUP(VLOOKUP(E299,Beräkningshjälp!O$2:U$60,7,FALSE),Artuppgifter!$I$11:$P$22,8,FALSE)=TRUE,"Medelvikter!!","ALLA"),"")</f>
        <v/>
      </c>
      <c r="H299" s="2" t="str">
        <f>IF(D299&lt;&gt;"",VLOOKUP(ROW(H298),Beräkningshjälp!AC$2:AH$1082,COLUMN(Beräkningshjälp!AH$2)-COLUMN(Beräkningshjälp!AC$2)+1,FALSE),"")</f>
        <v/>
      </c>
      <c r="I299" s="116" t="str">
        <f>IF(D299&lt;&gt;"",VLOOKUP(ROW(E298),Beräkningshjälp!AC$2:AI$1082,COLUMN(Beräkningshjälp!AI$2)-COLUMN(Beräkningshjälp!AC$2)+1,FALSE),"")</f>
        <v/>
      </c>
    </row>
    <row r="300" spans="1:9" x14ac:dyDescent="0.25">
      <c r="A300" s="2" t="str">
        <f t="shared" si="8"/>
        <v/>
      </c>
      <c r="B300" s="136" t="str">
        <f>IF(D300&lt;&gt;"",'DATA TILL SLU'!$J$3,"")</f>
        <v/>
      </c>
      <c r="C300" s="146" t="str">
        <f>IF(D300&lt;&gt;"",'DATA TILL SLU'!$K$3,"")</f>
        <v/>
      </c>
      <c r="D300" s="2" t="str">
        <f>IF('DATA TILL SLU'!$D$7*1&lt;&gt;"",IF(COUNT(Beräkningshjälp!$AC$3:$AC$1082)&gt;=ROW(D299),'DATA TILL SLU'!$D$7*1,""),"")</f>
        <v/>
      </c>
      <c r="E300" s="136" t="str">
        <f>IF(D300&lt;&gt;"",VLOOKUP(ROW(E299),Beräkningshjälp!AC$2:AH$1082,COLUMN(Beräkningshjälp!AF$2)-COLUMN(Beräkningshjälp!AC$2)+1,FALSE),"")</f>
        <v/>
      </c>
      <c r="F300" s="352" t="str">
        <f t="shared" si="9"/>
        <v/>
      </c>
      <c r="G300" s="2" t="str">
        <f>IF(D300&lt;&gt;"",IF(VLOOKUP(VLOOKUP(E300,Beräkningshjälp!O$2:U$60,7,FALSE),Artuppgifter!$I$11:$P$22,8,FALSE)=TRUE,"Medelvikter!!","ALLA"),"")</f>
        <v/>
      </c>
      <c r="H300" s="2" t="str">
        <f>IF(D300&lt;&gt;"",VLOOKUP(ROW(H299),Beräkningshjälp!AC$2:AH$1082,COLUMN(Beräkningshjälp!AH$2)-COLUMN(Beräkningshjälp!AC$2)+1,FALSE),"")</f>
        <v/>
      </c>
      <c r="I300" s="116" t="str">
        <f>IF(D300&lt;&gt;"",VLOOKUP(ROW(E299),Beräkningshjälp!AC$2:AI$1082,COLUMN(Beräkningshjälp!AI$2)-COLUMN(Beräkningshjälp!AC$2)+1,FALSE),"")</f>
        <v/>
      </c>
    </row>
    <row r="301" spans="1:9" x14ac:dyDescent="0.25">
      <c r="A301" s="2" t="str">
        <f t="shared" si="8"/>
        <v/>
      </c>
      <c r="B301" s="136" t="str">
        <f>IF(D301&lt;&gt;"",'DATA TILL SLU'!$J$3,"")</f>
        <v/>
      </c>
      <c r="C301" s="146" t="str">
        <f>IF(D301&lt;&gt;"",'DATA TILL SLU'!$K$3,"")</f>
        <v/>
      </c>
      <c r="D301" s="2" t="str">
        <f>IF('DATA TILL SLU'!$D$7*1&lt;&gt;"",IF(COUNT(Beräkningshjälp!$AC$3:$AC$1082)&gt;=ROW(D300),'DATA TILL SLU'!$D$7*1,""),"")</f>
        <v/>
      </c>
      <c r="E301" s="136" t="str">
        <f>IF(D301&lt;&gt;"",VLOOKUP(ROW(E300),Beräkningshjälp!AC$2:AH$1082,COLUMN(Beräkningshjälp!AF$2)-COLUMN(Beräkningshjälp!AC$2)+1,FALSE),"")</f>
        <v/>
      </c>
      <c r="F301" s="352" t="str">
        <f t="shared" si="9"/>
        <v/>
      </c>
      <c r="G301" s="2" t="str">
        <f>IF(D301&lt;&gt;"",IF(VLOOKUP(VLOOKUP(E301,Beräkningshjälp!O$2:U$60,7,FALSE),Artuppgifter!$I$11:$P$22,8,FALSE)=TRUE,"Medelvikter!!","ALLA"),"")</f>
        <v/>
      </c>
      <c r="H301" s="2" t="str">
        <f>IF(D301&lt;&gt;"",VLOOKUP(ROW(H300),Beräkningshjälp!AC$2:AH$1082,COLUMN(Beräkningshjälp!AH$2)-COLUMN(Beräkningshjälp!AC$2)+1,FALSE),"")</f>
        <v/>
      </c>
      <c r="I301" s="116" t="str">
        <f>IF(D301&lt;&gt;"",VLOOKUP(ROW(E300),Beräkningshjälp!AC$2:AI$1082,COLUMN(Beräkningshjälp!AI$2)-COLUMN(Beräkningshjälp!AC$2)+1,FALSE),"")</f>
        <v/>
      </c>
    </row>
    <row r="302" spans="1:9" x14ac:dyDescent="0.25">
      <c r="A302" s="2" t="str">
        <f t="shared" si="8"/>
        <v/>
      </c>
      <c r="B302" s="136" t="str">
        <f>IF(D302&lt;&gt;"",'DATA TILL SLU'!$J$3,"")</f>
        <v/>
      </c>
      <c r="C302" s="146" t="str">
        <f>IF(D302&lt;&gt;"",'DATA TILL SLU'!$K$3,"")</f>
        <v/>
      </c>
      <c r="D302" s="2" t="str">
        <f>IF('DATA TILL SLU'!$D$7*1&lt;&gt;"",IF(COUNT(Beräkningshjälp!$AC$3:$AC$1082)&gt;=ROW(D301),'DATA TILL SLU'!$D$7*1,""),"")</f>
        <v/>
      </c>
      <c r="E302" s="136" t="str">
        <f>IF(D302&lt;&gt;"",VLOOKUP(ROW(E301),Beräkningshjälp!AC$2:AH$1082,COLUMN(Beräkningshjälp!AF$2)-COLUMN(Beräkningshjälp!AC$2)+1,FALSE),"")</f>
        <v/>
      </c>
      <c r="F302" s="352" t="str">
        <f t="shared" si="9"/>
        <v/>
      </c>
      <c r="G302" s="2" t="str">
        <f>IF(D302&lt;&gt;"",IF(VLOOKUP(VLOOKUP(E302,Beräkningshjälp!O$2:U$60,7,FALSE),Artuppgifter!$I$11:$P$22,8,FALSE)=TRUE,"Medelvikter!!","ALLA"),"")</f>
        <v/>
      </c>
      <c r="H302" s="2" t="str">
        <f>IF(D302&lt;&gt;"",VLOOKUP(ROW(H301),Beräkningshjälp!AC$2:AH$1082,COLUMN(Beräkningshjälp!AH$2)-COLUMN(Beräkningshjälp!AC$2)+1,FALSE),"")</f>
        <v/>
      </c>
      <c r="I302" s="116" t="str">
        <f>IF(D302&lt;&gt;"",VLOOKUP(ROW(E301),Beräkningshjälp!AC$2:AI$1082,COLUMN(Beräkningshjälp!AI$2)-COLUMN(Beräkningshjälp!AC$2)+1,FALSE),"")</f>
        <v/>
      </c>
    </row>
    <row r="303" spans="1:9" x14ac:dyDescent="0.25">
      <c r="A303" s="2" t="str">
        <f t="shared" si="8"/>
        <v/>
      </c>
      <c r="B303" s="136" t="str">
        <f>IF(D303&lt;&gt;"",'DATA TILL SLU'!$J$3,"")</f>
        <v/>
      </c>
      <c r="C303" s="146" t="str">
        <f>IF(D303&lt;&gt;"",'DATA TILL SLU'!$K$3,"")</f>
        <v/>
      </c>
      <c r="D303" s="2" t="str">
        <f>IF('DATA TILL SLU'!$D$7*1&lt;&gt;"",IF(COUNT(Beräkningshjälp!$AC$3:$AC$1082)&gt;=ROW(D302),'DATA TILL SLU'!$D$7*1,""),"")</f>
        <v/>
      </c>
      <c r="E303" s="136" t="str">
        <f>IF(D303&lt;&gt;"",VLOOKUP(ROW(E302),Beräkningshjälp!AC$2:AH$1082,COLUMN(Beräkningshjälp!AF$2)-COLUMN(Beräkningshjälp!AC$2)+1,FALSE),"")</f>
        <v/>
      </c>
      <c r="F303" s="352" t="str">
        <f t="shared" si="9"/>
        <v/>
      </c>
      <c r="G303" s="2" t="str">
        <f>IF(D303&lt;&gt;"",IF(VLOOKUP(VLOOKUP(E303,Beräkningshjälp!O$2:U$60,7,FALSE),Artuppgifter!$I$11:$P$22,8,FALSE)=TRUE,"Medelvikter!!","ALLA"),"")</f>
        <v/>
      </c>
      <c r="H303" s="2" t="str">
        <f>IF(D303&lt;&gt;"",VLOOKUP(ROW(H302),Beräkningshjälp!AC$2:AH$1082,COLUMN(Beräkningshjälp!AH$2)-COLUMN(Beräkningshjälp!AC$2)+1,FALSE),"")</f>
        <v/>
      </c>
      <c r="I303" s="116" t="str">
        <f>IF(D303&lt;&gt;"",VLOOKUP(ROW(E302),Beräkningshjälp!AC$2:AI$1082,COLUMN(Beräkningshjälp!AI$2)-COLUMN(Beräkningshjälp!AC$2)+1,FALSE),"")</f>
        <v/>
      </c>
    </row>
    <row r="304" spans="1:9" x14ac:dyDescent="0.25">
      <c r="A304" s="2" t="str">
        <f t="shared" si="8"/>
        <v/>
      </c>
      <c r="B304" s="136" t="str">
        <f>IF(D304&lt;&gt;"",'DATA TILL SLU'!$J$3,"")</f>
        <v/>
      </c>
      <c r="C304" s="146" t="str">
        <f>IF(D304&lt;&gt;"",'DATA TILL SLU'!$K$3,"")</f>
        <v/>
      </c>
      <c r="D304" s="2" t="str">
        <f>IF('DATA TILL SLU'!$D$7*1&lt;&gt;"",IF(COUNT(Beräkningshjälp!$AC$3:$AC$1082)&gt;=ROW(D303),'DATA TILL SLU'!$D$7*1,""),"")</f>
        <v/>
      </c>
      <c r="E304" s="136" t="str">
        <f>IF(D304&lt;&gt;"",VLOOKUP(ROW(E303),Beräkningshjälp!AC$2:AH$1082,COLUMN(Beräkningshjälp!AF$2)-COLUMN(Beräkningshjälp!AC$2)+1,FALSE),"")</f>
        <v/>
      </c>
      <c r="F304" s="352" t="str">
        <f t="shared" si="9"/>
        <v/>
      </c>
      <c r="G304" s="2" t="str">
        <f>IF(D304&lt;&gt;"",IF(VLOOKUP(VLOOKUP(E304,Beräkningshjälp!O$2:U$60,7,FALSE),Artuppgifter!$I$11:$P$22,8,FALSE)=TRUE,"Medelvikter!!","ALLA"),"")</f>
        <v/>
      </c>
      <c r="H304" s="2" t="str">
        <f>IF(D304&lt;&gt;"",VLOOKUP(ROW(H303),Beräkningshjälp!AC$2:AH$1082,COLUMN(Beräkningshjälp!AH$2)-COLUMN(Beräkningshjälp!AC$2)+1,FALSE),"")</f>
        <v/>
      </c>
      <c r="I304" s="116" t="str">
        <f>IF(D304&lt;&gt;"",VLOOKUP(ROW(E303),Beräkningshjälp!AC$2:AI$1082,COLUMN(Beräkningshjälp!AI$2)-COLUMN(Beräkningshjälp!AC$2)+1,FALSE),"")</f>
        <v/>
      </c>
    </row>
    <row r="305" spans="1:9" x14ac:dyDescent="0.25">
      <c r="A305" s="2" t="str">
        <f t="shared" si="8"/>
        <v/>
      </c>
      <c r="B305" s="136" t="str">
        <f>IF(D305&lt;&gt;"",'DATA TILL SLU'!$J$3,"")</f>
        <v/>
      </c>
      <c r="C305" s="146" t="str">
        <f>IF(D305&lt;&gt;"",'DATA TILL SLU'!$K$3,"")</f>
        <v/>
      </c>
      <c r="D305" s="2" t="str">
        <f>IF('DATA TILL SLU'!$D$7*1&lt;&gt;"",IF(COUNT(Beräkningshjälp!$AC$3:$AC$1082)&gt;=ROW(D304),'DATA TILL SLU'!$D$7*1,""),"")</f>
        <v/>
      </c>
      <c r="E305" s="136" t="str">
        <f>IF(D305&lt;&gt;"",VLOOKUP(ROW(E304),Beräkningshjälp!AC$2:AH$1082,COLUMN(Beräkningshjälp!AF$2)-COLUMN(Beräkningshjälp!AC$2)+1,FALSE),"")</f>
        <v/>
      </c>
      <c r="F305" s="352" t="str">
        <f t="shared" si="9"/>
        <v/>
      </c>
      <c r="G305" s="2" t="str">
        <f>IF(D305&lt;&gt;"",IF(VLOOKUP(VLOOKUP(E305,Beräkningshjälp!O$2:U$60,7,FALSE),Artuppgifter!$I$11:$P$22,8,FALSE)=TRUE,"Medelvikter!!","ALLA"),"")</f>
        <v/>
      </c>
      <c r="H305" s="2" t="str">
        <f>IF(D305&lt;&gt;"",VLOOKUP(ROW(H304),Beräkningshjälp!AC$2:AH$1082,COLUMN(Beräkningshjälp!AH$2)-COLUMN(Beräkningshjälp!AC$2)+1,FALSE),"")</f>
        <v/>
      </c>
      <c r="I305" s="116" t="str">
        <f>IF(D305&lt;&gt;"",VLOOKUP(ROW(E304),Beräkningshjälp!AC$2:AI$1082,COLUMN(Beräkningshjälp!AI$2)-COLUMN(Beräkningshjälp!AC$2)+1,FALSE),"")</f>
        <v/>
      </c>
    </row>
    <row r="306" spans="1:9" x14ac:dyDescent="0.25">
      <c r="A306" s="2" t="str">
        <f t="shared" si="8"/>
        <v/>
      </c>
      <c r="B306" s="136" t="str">
        <f>IF(D306&lt;&gt;"",'DATA TILL SLU'!$J$3,"")</f>
        <v/>
      </c>
      <c r="C306" s="146" t="str">
        <f>IF(D306&lt;&gt;"",'DATA TILL SLU'!$K$3,"")</f>
        <v/>
      </c>
      <c r="D306" s="2" t="str">
        <f>IF('DATA TILL SLU'!$D$7*1&lt;&gt;"",IF(COUNT(Beräkningshjälp!$AC$3:$AC$1082)&gt;=ROW(D305),'DATA TILL SLU'!$D$7*1,""),"")</f>
        <v/>
      </c>
      <c r="E306" s="136" t="str">
        <f>IF(D306&lt;&gt;"",VLOOKUP(ROW(E305),Beräkningshjälp!AC$2:AH$1082,COLUMN(Beräkningshjälp!AF$2)-COLUMN(Beräkningshjälp!AC$2)+1,FALSE),"")</f>
        <v/>
      </c>
      <c r="F306" s="352" t="str">
        <f t="shared" si="9"/>
        <v/>
      </c>
      <c r="G306" s="2" t="str">
        <f>IF(D306&lt;&gt;"",IF(VLOOKUP(VLOOKUP(E306,Beräkningshjälp!O$2:U$60,7,FALSE),Artuppgifter!$I$11:$P$22,8,FALSE)=TRUE,"Medelvikter!!","ALLA"),"")</f>
        <v/>
      </c>
      <c r="H306" s="2" t="str">
        <f>IF(D306&lt;&gt;"",VLOOKUP(ROW(H305),Beräkningshjälp!AC$2:AH$1082,COLUMN(Beräkningshjälp!AH$2)-COLUMN(Beräkningshjälp!AC$2)+1,FALSE),"")</f>
        <v/>
      </c>
      <c r="I306" s="116" t="str">
        <f>IF(D306&lt;&gt;"",VLOOKUP(ROW(E305),Beräkningshjälp!AC$2:AI$1082,COLUMN(Beräkningshjälp!AI$2)-COLUMN(Beräkningshjälp!AC$2)+1,FALSE),"")</f>
        <v/>
      </c>
    </row>
    <row r="307" spans="1:9" x14ac:dyDescent="0.25">
      <c r="A307" s="2" t="str">
        <f t="shared" si="8"/>
        <v/>
      </c>
      <c r="B307" s="136" t="str">
        <f>IF(D307&lt;&gt;"",'DATA TILL SLU'!$J$3,"")</f>
        <v/>
      </c>
      <c r="C307" s="146" t="str">
        <f>IF(D307&lt;&gt;"",'DATA TILL SLU'!$K$3,"")</f>
        <v/>
      </c>
      <c r="D307" s="2" t="str">
        <f>IF('DATA TILL SLU'!$D$7*1&lt;&gt;"",IF(COUNT(Beräkningshjälp!$AC$3:$AC$1082)&gt;=ROW(D306),'DATA TILL SLU'!$D$7*1,""),"")</f>
        <v/>
      </c>
      <c r="E307" s="136" t="str">
        <f>IF(D307&lt;&gt;"",VLOOKUP(ROW(E306),Beräkningshjälp!AC$2:AH$1082,COLUMN(Beräkningshjälp!AF$2)-COLUMN(Beräkningshjälp!AC$2)+1,FALSE),"")</f>
        <v/>
      </c>
      <c r="F307" s="352" t="str">
        <f t="shared" si="9"/>
        <v/>
      </c>
      <c r="G307" s="2" t="str">
        <f>IF(D307&lt;&gt;"",IF(VLOOKUP(VLOOKUP(E307,Beräkningshjälp!O$2:U$60,7,FALSE),Artuppgifter!$I$11:$P$22,8,FALSE)=TRUE,"Medelvikter!!","ALLA"),"")</f>
        <v/>
      </c>
      <c r="H307" s="2" t="str">
        <f>IF(D307&lt;&gt;"",VLOOKUP(ROW(H306),Beräkningshjälp!AC$2:AH$1082,COLUMN(Beräkningshjälp!AH$2)-COLUMN(Beräkningshjälp!AC$2)+1,FALSE),"")</f>
        <v/>
      </c>
      <c r="I307" s="116" t="str">
        <f>IF(D307&lt;&gt;"",VLOOKUP(ROW(E306),Beräkningshjälp!AC$2:AI$1082,COLUMN(Beräkningshjälp!AI$2)-COLUMN(Beräkningshjälp!AC$2)+1,FALSE),"")</f>
        <v/>
      </c>
    </row>
    <row r="308" spans="1:9" x14ac:dyDescent="0.25">
      <c r="A308" s="2" t="str">
        <f t="shared" si="8"/>
        <v/>
      </c>
      <c r="B308" s="136" t="str">
        <f>IF(D308&lt;&gt;"",'DATA TILL SLU'!$J$3,"")</f>
        <v/>
      </c>
      <c r="C308" s="146" t="str">
        <f>IF(D308&lt;&gt;"",'DATA TILL SLU'!$K$3,"")</f>
        <v/>
      </c>
      <c r="D308" s="2" t="str">
        <f>IF('DATA TILL SLU'!$D$7*1&lt;&gt;"",IF(COUNT(Beräkningshjälp!$AC$3:$AC$1082)&gt;=ROW(D307),'DATA TILL SLU'!$D$7*1,""),"")</f>
        <v/>
      </c>
      <c r="E308" s="136" t="str">
        <f>IF(D308&lt;&gt;"",VLOOKUP(ROW(E307),Beräkningshjälp!AC$2:AH$1082,COLUMN(Beräkningshjälp!AF$2)-COLUMN(Beräkningshjälp!AC$2)+1,FALSE),"")</f>
        <v/>
      </c>
      <c r="F308" s="352" t="str">
        <f t="shared" si="9"/>
        <v/>
      </c>
      <c r="G308" s="2" t="str">
        <f>IF(D308&lt;&gt;"",IF(VLOOKUP(VLOOKUP(E308,Beräkningshjälp!O$2:U$60,7,FALSE),Artuppgifter!$I$11:$P$22,8,FALSE)=TRUE,"Medelvikter!!","ALLA"),"")</f>
        <v/>
      </c>
      <c r="H308" s="2" t="str">
        <f>IF(D308&lt;&gt;"",VLOOKUP(ROW(H307),Beräkningshjälp!AC$2:AH$1082,COLUMN(Beräkningshjälp!AH$2)-COLUMN(Beräkningshjälp!AC$2)+1,FALSE),"")</f>
        <v/>
      </c>
      <c r="I308" s="116" t="str">
        <f>IF(D308&lt;&gt;"",VLOOKUP(ROW(E307),Beräkningshjälp!AC$2:AI$1082,COLUMN(Beräkningshjälp!AI$2)-COLUMN(Beräkningshjälp!AC$2)+1,FALSE),"")</f>
        <v/>
      </c>
    </row>
    <row r="309" spans="1:9" x14ac:dyDescent="0.25">
      <c r="A309" s="2" t="str">
        <f t="shared" si="8"/>
        <v/>
      </c>
      <c r="B309" s="136" t="str">
        <f>IF(D309&lt;&gt;"",'DATA TILL SLU'!$J$3,"")</f>
        <v/>
      </c>
      <c r="C309" s="146" t="str">
        <f>IF(D309&lt;&gt;"",'DATA TILL SLU'!$K$3,"")</f>
        <v/>
      </c>
      <c r="D309" s="2" t="str">
        <f>IF('DATA TILL SLU'!$D$7*1&lt;&gt;"",IF(COUNT(Beräkningshjälp!$AC$3:$AC$1082)&gt;=ROW(D308),'DATA TILL SLU'!$D$7*1,""),"")</f>
        <v/>
      </c>
      <c r="E309" s="136" t="str">
        <f>IF(D309&lt;&gt;"",VLOOKUP(ROW(E308),Beräkningshjälp!AC$2:AH$1082,COLUMN(Beräkningshjälp!AF$2)-COLUMN(Beräkningshjälp!AC$2)+1,FALSE),"")</f>
        <v/>
      </c>
      <c r="F309" s="352" t="str">
        <f t="shared" si="9"/>
        <v/>
      </c>
      <c r="G309" s="2" t="str">
        <f>IF(D309&lt;&gt;"",IF(VLOOKUP(VLOOKUP(E309,Beräkningshjälp!O$2:U$60,7,FALSE),Artuppgifter!$I$11:$P$22,8,FALSE)=TRUE,"Medelvikter!!","ALLA"),"")</f>
        <v/>
      </c>
      <c r="H309" s="2" t="str">
        <f>IF(D309&lt;&gt;"",VLOOKUP(ROW(H308),Beräkningshjälp!AC$2:AH$1082,COLUMN(Beräkningshjälp!AH$2)-COLUMN(Beräkningshjälp!AC$2)+1,FALSE),"")</f>
        <v/>
      </c>
      <c r="I309" s="116" t="str">
        <f>IF(D309&lt;&gt;"",VLOOKUP(ROW(E308),Beräkningshjälp!AC$2:AI$1082,COLUMN(Beräkningshjälp!AI$2)-COLUMN(Beräkningshjälp!AC$2)+1,FALSE),"")</f>
        <v/>
      </c>
    </row>
    <row r="310" spans="1:9" x14ac:dyDescent="0.25">
      <c r="A310" s="2" t="str">
        <f t="shared" si="8"/>
        <v/>
      </c>
      <c r="B310" s="136" t="str">
        <f>IF(D310&lt;&gt;"",'DATA TILL SLU'!$J$3,"")</f>
        <v/>
      </c>
      <c r="C310" s="146" t="str">
        <f>IF(D310&lt;&gt;"",'DATA TILL SLU'!$K$3,"")</f>
        <v/>
      </c>
      <c r="D310" s="2" t="str">
        <f>IF('DATA TILL SLU'!$D$7*1&lt;&gt;"",IF(COUNT(Beräkningshjälp!$AC$3:$AC$1082)&gt;=ROW(D309),'DATA TILL SLU'!$D$7*1,""),"")</f>
        <v/>
      </c>
      <c r="E310" s="136" t="str">
        <f>IF(D310&lt;&gt;"",VLOOKUP(ROW(E309),Beräkningshjälp!AC$2:AH$1082,COLUMN(Beräkningshjälp!AF$2)-COLUMN(Beräkningshjälp!AC$2)+1,FALSE),"")</f>
        <v/>
      </c>
      <c r="F310" s="352" t="str">
        <f t="shared" si="9"/>
        <v/>
      </c>
      <c r="G310" s="2" t="str">
        <f>IF(D310&lt;&gt;"",IF(VLOOKUP(VLOOKUP(E310,Beräkningshjälp!O$2:U$60,7,FALSE),Artuppgifter!$I$11:$P$22,8,FALSE)=TRUE,"Medelvikter!!","ALLA"),"")</f>
        <v/>
      </c>
      <c r="H310" s="2" t="str">
        <f>IF(D310&lt;&gt;"",VLOOKUP(ROW(H309),Beräkningshjälp!AC$2:AH$1082,COLUMN(Beräkningshjälp!AH$2)-COLUMN(Beräkningshjälp!AC$2)+1,FALSE),"")</f>
        <v/>
      </c>
      <c r="I310" s="116" t="str">
        <f>IF(D310&lt;&gt;"",VLOOKUP(ROW(E309),Beräkningshjälp!AC$2:AI$1082,COLUMN(Beräkningshjälp!AI$2)-COLUMN(Beräkningshjälp!AC$2)+1,FALSE),"")</f>
        <v/>
      </c>
    </row>
    <row r="311" spans="1:9" x14ac:dyDescent="0.25">
      <c r="A311" s="2" t="str">
        <f t="shared" si="8"/>
        <v/>
      </c>
      <c r="B311" s="136" t="str">
        <f>IF(D311&lt;&gt;"",'DATA TILL SLU'!$J$3,"")</f>
        <v/>
      </c>
      <c r="C311" s="146" t="str">
        <f>IF(D311&lt;&gt;"",'DATA TILL SLU'!$K$3,"")</f>
        <v/>
      </c>
      <c r="D311" s="2" t="str">
        <f>IF('DATA TILL SLU'!$D$7*1&lt;&gt;"",IF(COUNT(Beräkningshjälp!$AC$3:$AC$1082)&gt;=ROW(D310),'DATA TILL SLU'!$D$7*1,""),"")</f>
        <v/>
      </c>
      <c r="E311" s="136" t="str">
        <f>IF(D311&lt;&gt;"",VLOOKUP(ROW(E310),Beräkningshjälp!AC$2:AH$1082,COLUMN(Beräkningshjälp!AF$2)-COLUMN(Beräkningshjälp!AC$2)+1,FALSE),"")</f>
        <v/>
      </c>
      <c r="F311" s="352" t="str">
        <f t="shared" si="9"/>
        <v/>
      </c>
      <c r="G311" s="2" t="str">
        <f>IF(D311&lt;&gt;"",IF(VLOOKUP(VLOOKUP(E311,Beräkningshjälp!O$2:U$60,7,FALSE),Artuppgifter!$I$11:$P$22,8,FALSE)=TRUE,"Medelvikter!!","ALLA"),"")</f>
        <v/>
      </c>
      <c r="H311" s="2" t="str">
        <f>IF(D311&lt;&gt;"",VLOOKUP(ROW(H310),Beräkningshjälp!AC$2:AH$1082,COLUMN(Beräkningshjälp!AH$2)-COLUMN(Beräkningshjälp!AC$2)+1,FALSE),"")</f>
        <v/>
      </c>
      <c r="I311" s="116" t="str">
        <f>IF(D311&lt;&gt;"",VLOOKUP(ROW(E310),Beräkningshjälp!AC$2:AI$1082,COLUMN(Beräkningshjälp!AI$2)-COLUMN(Beräkningshjälp!AC$2)+1,FALSE),"")</f>
        <v/>
      </c>
    </row>
    <row r="312" spans="1:9" x14ac:dyDescent="0.25">
      <c r="A312" s="2" t="str">
        <f t="shared" si="8"/>
        <v/>
      </c>
      <c r="B312" s="136" t="str">
        <f>IF(D312&lt;&gt;"",'DATA TILL SLU'!$J$3,"")</f>
        <v/>
      </c>
      <c r="C312" s="146" t="str">
        <f>IF(D312&lt;&gt;"",'DATA TILL SLU'!$K$3,"")</f>
        <v/>
      </c>
      <c r="D312" s="2" t="str">
        <f>IF('DATA TILL SLU'!$D$7*1&lt;&gt;"",IF(COUNT(Beräkningshjälp!$AC$3:$AC$1082)&gt;=ROW(D311),'DATA TILL SLU'!$D$7*1,""),"")</f>
        <v/>
      </c>
      <c r="E312" s="136" t="str">
        <f>IF(D312&lt;&gt;"",VLOOKUP(ROW(E311),Beräkningshjälp!AC$2:AH$1082,COLUMN(Beräkningshjälp!AF$2)-COLUMN(Beräkningshjälp!AC$2)+1,FALSE),"")</f>
        <v/>
      </c>
      <c r="F312" s="352" t="str">
        <f t="shared" si="9"/>
        <v/>
      </c>
      <c r="G312" s="2" t="str">
        <f>IF(D312&lt;&gt;"",IF(VLOOKUP(VLOOKUP(E312,Beräkningshjälp!O$2:U$60,7,FALSE),Artuppgifter!$I$11:$P$22,8,FALSE)=TRUE,"Medelvikter!!","ALLA"),"")</f>
        <v/>
      </c>
      <c r="H312" s="2" t="str">
        <f>IF(D312&lt;&gt;"",VLOOKUP(ROW(H311),Beräkningshjälp!AC$2:AH$1082,COLUMN(Beräkningshjälp!AH$2)-COLUMN(Beräkningshjälp!AC$2)+1,FALSE),"")</f>
        <v/>
      </c>
      <c r="I312" s="116" t="str">
        <f>IF(D312&lt;&gt;"",VLOOKUP(ROW(E311),Beräkningshjälp!AC$2:AI$1082,COLUMN(Beräkningshjälp!AI$2)-COLUMN(Beräkningshjälp!AC$2)+1,FALSE),"")</f>
        <v/>
      </c>
    </row>
    <row r="313" spans="1:9" x14ac:dyDescent="0.25">
      <c r="A313" s="2" t="str">
        <f t="shared" si="8"/>
        <v/>
      </c>
      <c r="B313" s="136" t="str">
        <f>IF(D313&lt;&gt;"",'DATA TILL SLU'!$J$3,"")</f>
        <v/>
      </c>
      <c r="C313" s="146" t="str">
        <f>IF(D313&lt;&gt;"",'DATA TILL SLU'!$K$3,"")</f>
        <v/>
      </c>
      <c r="D313" s="2" t="str">
        <f>IF('DATA TILL SLU'!$D$7*1&lt;&gt;"",IF(COUNT(Beräkningshjälp!$AC$3:$AC$1082)&gt;=ROW(D312),'DATA TILL SLU'!$D$7*1,""),"")</f>
        <v/>
      </c>
      <c r="E313" s="136" t="str">
        <f>IF(D313&lt;&gt;"",VLOOKUP(ROW(E312),Beräkningshjälp!AC$2:AH$1082,COLUMN(Beräkningshjälp!AF$2)-COLUMN(Beräkningshjälp!AC$2)+1,FALSE),"")</f>
        <v/>
      </c>
      <c r="F313" s="352" t="str">
        <f t="shared" si="9"/>
        <v/>
      </c>
      <c r="G313" s="2" t="str">
        <f>IF(D313&lt;&gt;"",IF(VLOOKUP(VLOOKUP(E313,Beräkningshjälp!O$2:U$60,7,FALSE),Artuppgifter!$I$11:$P$22,8,FALSE)=TRUE,"Medelvikter!!","ALLA"),"")</f>
        <v/>
      </c>
      <c r="H313" s="2" t="str">
        <f>IF(D313&lt;&gt;"",VLOOKUP(ROW(H312),Beräkningshjälp!AC$2:AH$1082,COLUMN(Beräkningshjälp!AH$2)-COLUMN(Beräkningshjälp!AC$2)+1,FALSE),"")</f>
        <v/>
      </c>
      <c r="I313" s="116" t="str">
        <f>IF(D313&lt;&gt;"",VLOOKUP(ROW(E312),Beräkningshjälp!AC$2:AI$1082,COLUMN(Beräkningshjälp!AI$2)-COLUMN(Beräkningshjälp!AC$2)+1,FALSE),"")</f>
        <v/>
      </c>
    </row>
    <row r="314" spans="1:9" x14ac:dyDescent="0.25">
      <c r="A314" s="2" t="str">
        <f t="shared" si="8"/>
        <v/>
      </c>
      <c r="B314" s="136" t="str">
        <f>IF(D314&lt;&gt;"",'DATA TILL SLU'!$J$3,"")</f>
        <v/>
      </c>
      <c r="C314" s="146" t="str">
        <f>IF(D314&lt;&gt;"",'DATA TILL SLU'!$K$3,"")</f>
        <v/>
      </c>
      <c r="D314" s="2" t="str">
        <f>IF('DATA TILL SLU'!$D$7*1&lt;&gt;"",IF(COUNT(Beräkningshjälp!$AC$3:$AC$1082)&gt;=ROW(D313),'DATA TILL SLU'!$D$7*1,""),"")</f>
        <v/>
      </c>
      <c r="E314" s="136" t="str">
        <f>IF(D314&lt;&gt;"",VLOOKUP(ROW(E313),Beräkningshjälp!AC$2:AH$1082,COLUMN(Beräkningshjälp!AF$2)-COLUMN(Beräkningshjälp!AC$2)+1,FALSE),"")</f>
        <v/>
      </c>
      <c r="F314" s="352" t="str">
        <f t="shared" si="9"/>
        <v/>
      </c>
      <c r="G314" s="2" t="str">
        <f>IF(D314&lt;&gt;"",IF(VLOOKUP(VLOOKUP(E314,Beräkningshjälp!O$2:U$60,7,FALSE),Artuppgifter!$I$11:$P$22,8,FALSE)=TRUE,"Medelvikter!!","ALLA"),"")</f>
        <v/>
      </c>
      <c r="H314" s="2" t="str">
        <f>IF(D314&lt;&gt;"",VLOOKUP(ROW(H313),Beräkningshjälp!AC$2:AH$1082,COLUMN(Beräkningshjälp!AH$2)-COLUMN(Beräkningshjälp!AC$2)+1,FALSE),"")</f>
        <v/>
      </c>
      <c r="I314" s="116" t="str">
        <f>IF(D314&lt;&gt;"",VLOOKUP(ROW(E313),Beräkningshjälp!AC$2:AI$1082,COLUMN(Beräkningshjälp!AI$2)-COLUMN(Beräkningshjälp!AC$2)+1,FALSE),"")</f>
        <v/>
      </c>
    </row>
    <row r="315" spans="1:9" x14ac:dyDescent="0.25">
      <c r="A315" s="2" t="str">
        <f t="shared" si="8"/>
        <v/>
      </c>
      <c r="B315" s="136" t="str">
        <f>IF(D315&lt;&gt;"",'DATA TILL SLU'!$J$3,"")</f>
        <v/>
      </c>
      <c r="C315" s="146" t="str">
        <f>IF(D315&lt;&gt;"",'DATA TILL SLU'!$K$3,"")</f>
        <v/>
      </c>
      <c r="D315" s="2" t="str">
        <f>IF('DATA TILL SLU'!$D$7*1&lt;&gt;"",IF(COUNT(Beräkningshjälp!$AC$3:$AC$1082)&gt;=ROW(D314),'DATA TILL SLU'!$D$7*1,""),"")</f>
        <v/>
      </c>
      <c r="E315" s="136" t="str">
        <f>IF(D315&lt;&gt;"",VLOOKUP(ROW(E314),Beräkningshjälp!AC$2:AH$1082,COLUMN(Beräkningshjälp!AF$2)-COLUMN(Beräkningshjälp!AC$2)+1,FALSE),"")</f>
        <v/>
      </c>
      <c r="F315" s="352" t="str">
        <f t="shared" si="9"/>
        <v/>
      </c>
      <c r="G315" s="2" t="str">
        <f>IF(D315&lt;&gt;"",IF(VLOOKUP(VLOOKUP(E315,Beräkningshjälp!O$2:U$60,7,FALSE),Artuppgifter!$I$11:$P$22,8,FALSE)=TRUE,"Medelvikter!!","ALLA"),"")</f>
        <v/>
      </c>
      <c r="H315" s="2" t="str">
        <f>IF(D315&lt;&gt;"",VLOOKUP(ROW(H314),Beräkningshjälp!AC$2:AH$1082,COLUMN(Beräkningshjälp!AH$2)-COLUMN(Beräkningshjälp!AC$2)+1,FALSE),"")</f>
        <v/>
      </c>
      <c r="I315" s="116" t="str">
        <f>IF(D315&lt;&gt;"",VLOOKUP(ROW(E314),Beräkningshjälp!AC$2:AI$1082,COLUMN(Beräkningshjälp!AI$2)-COLUMN(Beräkningshjälp!AC$2)+1,FALSE),"")</f>
        <v/>
      </c>
    </row>
    <row r="316" spans="1:9" x14ac:dyDescent="0.25">
      <c r="A316" s="2" t="str">
        <f t="shared" si="8"/>
        <v/>
      </c>
      <c r="B316" s="136" t="str">
        <f>IF(D316&lt;&gt;"",'DATA TILL SLU'!$J$3,"")</f>
        <v/>
      </c>
      <c r="C316" s="146" t="str">
        <f>IF(D316&lt;&gt;"",'DATA TILL SLU'!$K$3,"")</f>
        <v/>
      </c>
      <c r="D316" s="2" t="str">
        <f>IF('DATA TILL SLU'!$D$7*1&lt;&gt;"",IF(COUNT(Beräkningshjälp!$AC$3:$AC$1082)&gt;=ROW(D315),'DATA TILL SLU'!$D$7*1,""),"")</f>
        <v/>
      </c>
      <c r="E316" s="136" t="str">
        <f>IF(D316&lt;&gt;"",VLOOKUP(ROW(E315),Beräkningshjälp!AC$2:AH$1082,COLUMN(Beräkningshjälp!AF$2)-COLUMN(Beräkningshjälp!AC$2)+1,FALSE),"")</f>
        <v/>
      </c>
      <c r="F316" s="352" t="str">
        <f t="shared" si="9"/>
        <v/>
      </c>
      <c r="G316" s="2" t="str">
        <f>IF(D316&lt;&gt;"",IF(VLOOKUP(VLOOKUP(E316,Beräkningshjälp!O$2:U$60,7,FALSE),Artuppgifter!$I$11:$P$22,8,FALSE)=TRUE,"Medelvikter!!","ALLA"),"")</f>
        <v/>
      </c>
      <c r="H316" s="2" t="str">
        <f>IF(D316&lt;&gt;"",VLOOKUP(ROW(H315),Beräkningshjälp!AC$2:AH$1082,COLUMN(Beräkningshjälp!AH$2)-COLUMN(Beräkningshjälp!AC$2)+1,FALSE),"")</f>
        <v/>
      </c>
      <c r="I316" s="116" t="str">
        <f>IF(D316&lt;&gt;"",VLOOKUP(ROW(E315),Beräkningshjälp!AC$2:AI$1082,COLUMN(Beräkningshjälp!AI$2)-COLUMN(Beräkningshjälp!AC$2)+1,FALSE),"")</f>
        <v/>
      </c>
    </row>
    <row r="317" spans="1:9" x14ac:dyDescent="0.25">
      <c r="A317" s="2" t="str">
        <f t="shared" si="8"/>
        <v/>
      </c>
      <c r="B317" s="136" t="str">
        <f>IF(D317&lt;&gt;"",'DATA TILL SLU'!$J$3,"")</f>
        <v/>
      </c>
      <c r="C317" s="146" t="str">
        <f>IF(D317&lt;&gt;"",'DATA TILL SLU'!$K$3,"")</f>
        <v/>
      </c>
      <c r="D317" s="2" t="str">
        <f>IF('DATA TILL SLU'!$D$7*1&lt;&gt;"",IF(COUNT(Beräkningshjälp!$AC$3:$AC$1082)&gt;=ROW(D316),'DATA TILL SLU'!$D$7*1,""),"")</f>
        <v/>
      </c>
      <c r="E317" s="136" t="str">
        <f>IF(D317&lt;&gt;"",VLOOKUP(ROW(E316),Beräkningshjälp!AC$2:AH$1082,COLUMN(Beräkningshjälp!AF$2)-COLUMN(Beräkningshjälp!AC$2)+1,FALSE),"")</f>
        <v/>
      </c>
      <c r="F317" s="352" t="str">
        <f t="shared" si="9"/>
        <v/>
      </c>
      <c r="G317" s="2" t="str">
        <f>IF(D317&lt;&gt;"",IF(VLOOKUP(VLOOKUP(E317,Beräkningshjälp!O$2:U$60,7,FALSE),Artuppgifter!$I$11:$P$22,8,FALSE)=TRUE,"Medelvikter!!","ALLA"),"")</f>
        <v/>
      </c>
      <c r="H317" s="2" t="str">
        <f>IF(D317&lt;&gt;"",VLOOKUP(ROW(H316),Beräkningshjälp!AC$2:AH$1082,COLUMN(Beräkningshjälp!AH$2)-COLUMN(Beräkningshjälp!AC$2)+1,FALSE),"")</f>
        <v/>
      </c>
      <c r="I317" s="116" t="str">
        <f>IF(D317&lt;&gt;"",VLOOKUP(ROW(E316),Beräkningshjälp!AC$2:AI$1082,COLUMN(Beräkningshjälp!AI$2)-COLUMN(Beräkningshjälp!AC$2)+1,FALSE),"")</f>
        <v/>
      </c>
    </row>
    <row r="318" spans="1:9" x14ac:dyDescent="0.25">
      <c r="A318" s="2" t="str">
        <f t="shared" si="8"/>
        <v/>
      </c>
      <c r="B318" s="136" t="str">
        <f>IF(D318&lt;&gt;"",'DATA TILL SLU'!$J$3,"")</f>
        <v/>
      </c>
      <c r="C318" s="146" t="str">
        <f>IF(D318&lt;&gt;"",'DATA TILL SLU'!$K$3,"")</f>
        <v/>
      </c>
      <c r="D318" s="2" t="str">
        <f>IF('DATA TILL SLU'!$D$7*1&lt;&gt;"",IF(COUNT(Beräkningshjälp!$AC$3:$AC$1082)&gt;=ROW(D317),'DATA TILL SLU'!$D$7*1,""),"")</f>
        <v/>
      </c>
      <c r="E318" s="136" t="str">
        <f>IF(D318&lt;&gt;"",VLOOKUP(ROW(E317),Beräkningshjälp!AC$2:AH$1082,COLUMN(Beräkningshjälp!AF$2)-COLUMN(Beräkningshjälp!AC$2)+1,FALSE),"")</f>
        <v/>
      </c>
      <c r="F318" s="352" t="str">
        <f t="shared" si="9"/>
        <v/>
      </c>
      <c r="G318" s="2" t="str">
        <f>IF(D318&lt;&gt;"",IF(VLOOKUP(VLOOKUP(E318,Beräkningshjälp!O$2:U$60,7,FALSE),Artuppgifter!$I$11:$P$22,8,FALSE)=TRUE,"Medelvikter!!","ALLA"),"")</f>
        <v/>
      </c>
      <c r="H318" s="2" t="str">
        <f>IF(D318&lt;&gt;"",VLOOKUP(ROW(H317),Beräkningshjälp!AC$2:AH$1082,COLUMN(Beräkningshjälp!AH$2)-COLUMN(Beräkningshjälp!AC$2)+1,FALSE),"")</f>
        <v/>
      </c>
      <c r="I318" s="116" t="str">
        <f>IF(D318&lt;&gt;"",VLOOKUP(ROW(E317),Beräkningshjälp!AC$2:AI$1082,COLUMN(Beräkningshjälp!AI$2)-COLUMN(Beräkningshjälp!AC$2)+1,FALSE),"")</f>
        <v/>
      </c>
    </row>
    <row r="319" spans="1:9" x14ac:dyDescent="0.25">
      <c r="A319" s="2" t="str">
        <f t="shared" si="8"/>
        <v/>
      </c>
      <c r="B319" s="136" t="str">
        <f>IF(D319&lt;&gt;"",'DATA TILL SLU'!$J$3,"")</f>
        <v/>
      </c>
      <c r="C319" s="146" t="str">
        <f>IF(D319&lt;&gt;"",'DATA TILL SLU'!$K$3,"")</f>
        <v/>
      </c>
      <c r="D319" s="2" t="str">
        <f>IF('DATA TILL SLU'!$D$7*1&lt;&gt;"",IF(COUNT(Beräkningshjälp!$AC$3:$AC$1082)&gt;=ROW(D318),'DATA TILL SLU'!$D$7*1,""),"")</f>
        <v/>
      </c>
      <c r="E319" s="136" t="str">
        <f>IF(D319&lt;&gt;"",VLOOKUP(ROW(E318),Beräkningshjälp!AC$2:AH$1082,COLUMN(Beräkningshjälp!AF$2)-COLUMN(Beräkningshjälp!AC$2)+1,FALSE),"")</f>
        <v/>
      </c>
      <c r="F319" s="352" t="str">
        <f t="shared" si="9"/>
        <v/>
      </c>
      <c r="G319" s="2" t="str">
        <f>IF(D319&lt;&gt;"",IF(VLOOKUP(VLOOKUP(E319,Beräkningshjälp!O$2:U$60,7,FALSE),Artuppgifter!$I$11:$P$22,8,FALSE)=TRUE,"Medelvikter!!","ALLA"),"")</f>
        <v/>
      </c>
      <c r="H319" s="2" t="str">
        <f>IF(D319&lt;&gt;"",VLOOKUP(ROW(H318),Beräkningshjälp!AC$2:AH$1082,COLUMN(Beräkningshjälp!AH$2)-COLUMN(Beräkningshjälp!AC$2)+1,FALSE),"")</f>
        <v/>
      </c>
      <c r="I319" s="116" t="str">
        <f>IF(D319&lt;&gt;"",VLOOKUP(ROW(E318),Beräkningshjälp!AC$2:AI$1082,COLUMN(Beräkningshjälp!AI$2)-COLUMN(Beräkningshjälp!AC$2)+1,FALSE),"")</f>
        <v/>
      </c>
    </row>
    <row r="320" spans="1:9" x14ac:dyDescent="0.25">
      <c r="A320" s="2" t="str">
        <f t="shared" si="8"/>
        <v/>
      </c>
      <c r="B320" s="136" t="str">
        <f>IF(D320&lt;&gt;"",'DATA TILL SLU'!$J$3,"")</f>
        <v/>
      </c>
      <c r="C320" s="146" t="str">
        <f>IF(D320&lt;&gt;"",'DATA TILL SLU'!$K$3,"")</f>
        <v/>
      </c>
      <c r="D320" s="2" t="str">
        <f>IF('DATA TILL SLU'!$D$7*1&lt;&gt;"",IF(COUNT(Beräkningshjälp!$AC$3:$AC$1082)&gt;=ROW(D319),'DATA TILL SLU'!$D$7*1,""),"")</f>
        <v/>
      </c>
      <c r="E320" s="136" t="str">
        <f>IF(D320&lt;&gt;"",VLOOKUP(ROW(E319),Beräkningshjälp!AC$2:AH$1082,COLUMN(Beräkningshjälp!AF$2)-COLUMN(Beräkningshjälp!AC$2)+1,FALSE),"")</f>
        <v/>
      </c>
      <c r="F320" s="352" t="str">
        <f t="shared" si="9"/>
        <v/>
      </c>
      <c r="G320" s="2" t="str">
        <f>IF(D320&lt;&gt;"",IF(VLOOKUP(VLOOKUP(E320,Beräkningshjälp!O$2:U$60,7,FALSE),Artuppgifter!$I$11:$P$22,8,FALSE)=TRUE,"Medelvikter!!","ALLA"),"")</f>
        <v/>
      </c>
      <c r="H320" s="2" t="str">
        <f>IF(D320&lt;&gt;"",VLOOKUP(ROW(H319),Beräkningshjälp!AC$2:AH$1082,COLUMN(Beräkningshjälp!AH$2)-COLUMN(Beräkningshjälp!AC$2)+1,FALSE),"")</f>
        <v/>
      </c>
      <c r="I320" s="116" t="str">
        <f>IF(D320&lt;&gt;"",VLOOKUP(ROW(E319),Beräkningshjälp!AC$2:AI$1082,COLUMN(Beräkningshjälp!AI$2)-COLUMN(Beräkningshjälp!AC$2)+1,FALSE),"")</f>
        <v/>
      </c>
    </row>
    <row r="321" spans="1:9" x14ac:dyDescent="0.25">
      <c r="A321" s="2" t="str">
        <f t="shared" si="8"/>
        <v/>
      </c>
      <c r="B321" s="136" t="str">
        <f>IF(D321&lt;&gt;"",'DATA TILL SLU'!$J$3,"")</f>
        <v/>
      </c>
      <c r="C321" s="146" t="str">
        <f>IF(D321&lt;&gt;"",'DATA TILL SLU'!$K$3,"")</f>
        <v/>
      </c>
      <c r="D321" s="2" t="str">
        <f>IF('DATA TILL SLU'!$D$7*1&lt;&gt;"",IF(COUNT(Beräkningshjälp!$AC$3:$AC$1082)&gt;=ROW(D320),'DATA TILL SLU'!$D$7*1,""),"")</f>
        <v/>
      </c>
      <c r="E321" s="136" t="str">
        <f>IF(D321&lt;&gt;"",VLOOKUP(ROW(E320),Beräkningshjälp!AC$2:AH$1082,COLUMN(Beräkningshjälp!AF$2)-COLUMN(Beräkningshjälp!AC$2)+1,FALSE),"")</f>
        <v/>
      </c>
      <c r="F321" s="352" t="str">
        <f t="shared" si="9"/>
        <v/>
      </c>
      <c r="G321" s="2" t="str">
        <f>IF(D321&lt;&gt;"",IF(VLOOKUP(VLOOKUP(E321,Beräkningshjälp!O$2:U$60,7,FALSE),Artuppgifter!$I$11:$P$22,8,FALSE)=TRUE,"Medelvikter!!","ALLA"),"")</f>
        <v/>
      </c>
      <c r="H321" s="2" t="str">
        <f>IF(D321&lt;&gt;"",VLOOKUP(ROW(H320),Beräkningshjälp!AC$2:AH$1082,COLUMN(Beräkningshjälp!AH$2)-COLUMN(Beräkningshjälp!AC$2)+1,FALSE),"")</f>
        <v/>
      </c>
      <c r="I321" s="116" t="str">
        <f>IF(D321&lt;&gt;"",VLOOKUP(ROW(E320),Beräkningshjälp!AC$2:AI$1082,COLUMN(Beräkningshjälp!AI$2)-COLUMN(Beräkningshjälp!AC$2)+1,FALSE),"")</f>
        <v/>
      </c>
    </row>
    <row r="322" spans="1:9" x14ac:dyDescent="0.25">
      <c r="A322" s="2" t="str">
        <f t="shared" si="8"/>
        <v/>
      </c>
      <c r="B322" s="136" t="str">
        <f>IF(D322&lt;&gt;"",'DATA TILL SLU'!$J$3,"")</f>
        <v/>
      </c>
      <c r="C322" s="146" t="str">
        <f>IF(D322&lt;&gt;"",'DATA TILL SLU'!$K$3,"")</f>
        <v/>
      </c>
      <c r="D322" s="2" t="str">
        <f>IF('DATA TILL SLU'!$D$7*1&lt;&gt;"",IF(COUNT(Beräkningshjälp!$AC$3:$AC$1082)&gt;=ROW(D321),'DATA TILL SLU'!$D$7*1,""),"")</f>
        <v/>
      </c>
      <c r="E322" s="136" t="str">
        <f>IF(D322&lt;&gt;"",VLOOKUP(ROW(E321),Beräkningshjälp!AC$2:AH$1082,COLUMN(Beräkningshjälp!AF$2)-COLUMN(Beräkningshjälp!AC$2)+1,FALSE),"")</f>
        <v/>
      </c>
      <c r="F322" s="352" t="str">
        <f t="shared" si="9"/>
        <v/>
      </c>
      <c r="G322" s="2" t="str">
        <f>IF(D322&lt;&gt;"",IF(VLOOKUP(VLOOKUP(E322,Beräkningshjälp!O$2:U$60,7,FALSE),Artuppgifter!$I$11:$P$22,8,FALSE)=TRUE,"Medelvikter!!","ALLA"),"")</f>
        <v/>
      </c>
      <c r="H322" s="2" t="str">
        <f>IF(D322&lt;&gt;"",VLOOKUP(ROW(H321),Beräkningshjälp!AC$2:AH$1082,COLUMN(Beräkningshjälp!AH$2)-COLUMN(Beräkningshjälp!AC$2)+1,FALSE),"")</f>
        <v/>
      </c>
      <c r="I322" s="116" t="str">
        <f>IF(D322&lt;&gt;"",VLOOKUP(ROW(E321),Beräkningshjälp!AC$2:AI$1082,COLUMN(Beräkningshjälp!AI$2)-COLUMN(Beräkningshjälp!AC$2)+1,FALSE),"")</f>
        <v/>
      </c>
    </row>
    <row r="323" spans="1:9" x14ac:dyDescent="0.25">
      <c r="A323" s="2" t="str">
        <f t="shared" ref="A323:A386" si="10">IF(D323&lt;&gt;"","LANGDVIKTER","")</f>
        <v/>
      </c>
      <c r="B323" s="136" t="str">
        <f>IF(D323&lt;&gt;"",'DATA TILL SLU'!$J$3,"")</f>
        <v/>
      </c>
      <c r="C323" s="146" t="str">
        <f>IF(D323&lt;&gt;"",'DATA TILL SLU'!$K$3,"")</f>
        <v/>
      </c>
      <c r="D323" s="2" t="str">
        <f>IF('DATA TILL SLU'!$D$7*1&lt;&gt;"",IF(COUNT(Beräkningshjälp!$AC$3:$AC$1082)&gt;=ROW(D322),'DATA TILL SLU'!$D$7*1,""),"")</f>
        <v/>
      </c>
      <c r="E323" s="136" t="str">
        <f>IF(D323&lt;&gt;"",VLOOKUP(ROW(E322),Beräkningshjälp!AC$2:AH$1082,COLUMN(Beräkningshjälp!AF$2)-COLUMN(Beräkningshjälp!AC$2)+1,FALSE),"")</f>
        <v/>
      </c>
      <c r="F323" s="352" t="str">
        <f t="shared" ref="F323:F386" si="11">IF(D323&lt;&gt;"","IND","")</f>
        <v/>
      </c>
      <c r="G323" s="2" t="str">
        <f>IF(D323&lt;&gt;"",IF(VLOOKUP(VLOOKUP(E323,Beräkningshjälp!O$2:U$60,7,FALSE),Artuppgifter!$I$11:$P$22,8,FALSE)=TRUE,"Medelvikter!!","ALLA"),"")</f>
        <v/>
      </c>
      <c r="H323" s="2" t="str">
        <f>IF(D323&lt;&gt;"",VLOOKUP(ROW(H322),Beräkningshjälp!AC$2:AH$1082,COLUMN(Beräkningshjälp!AH$2)-COLUMN(Beräkningshjälp!AC$2)+1,FALSE),"")</f>
        <v/>
      </c>
      <c r="I323" s="116" t="str">
        <f>IF(D323&lt;&gt;"",VLOOKUP(ROW(E322),Beräkningshjälp!AC$2:AI$1082,COLUMN(Beräkningshjälp!AI$2)-COLUMN(Beräkningshjälp!AC$2)+1,FALSE),"")</f>
        <v/>
      </c>
    </row>
    <row r="324" spans="1:9" x14ac:dyDescent="0.25">
      <c r="A324" s="2" t="str">
        <f t="shared" si="10"/>
        <v/>
      </c>
      <c r="B324" s="136" t="str">
        <f>IF(D324&lt;&gt;"",'DATA TILL SLU'!$J$3,"")</f>
        <v/>
      </c>
      <c r="C324" s="146" t="str">
        <f>IF(D324&lt;&gt;"",'DATA TILL SLU'!$K$3,"")</f>
        <v/>
      </c>
      <c r="D324" s="2" t="str">
        <f>IF('DATA TILL SLU'!$D$7*1&lt;&gt;"",IF(COUNT(Beräkningshjälp!$AC$3:$AC$1082)&gt;=ROW(D323),'DATA TILL SLU'!$D$7*1,""),"")</f>
        <v/>
      </c>
      <c r="E324" s="136" t="str">
        <f>IF(D324&lt;&gt;"",VLOOKUP(ROW(E323),Beräkningshjälp!AC$2:AH$1082,COLUMN(Beräkningshjälp!AF$2)-COLUMN(Beräkningshjälp!AC$2)+1,FALSE),"")</f>
        <v/>
      </c>
      <c r="F324" s="352" t="str">
        <f t="shared" si="11"/>
        <v/>
      </c>
      <c r="G324" s="2" t="str">
        <f>IF(D324&lt;&gt;"",IF(VLOOKUP(VLOOKUP(E324,Beräkningshjälp!O$2:U$60,7,FALSE),Artuppgifter!$I$11:$P$22,8,FALSE)=TRUE,"Medelvikter!!","ALLA"),"")</f>
        <v/>
      </c>
      <c r="H324" s="2" t="str">
        <f>IF(D324&lt;&gt;"",VLOOKUP(ROW(H323),Beräkningshjälp!AC$2:AH$1082,COLUMN(Beräkningshjälp!AH$2)-COLUMN(Beräkningshjälp!AC$2)+1,FALSE),"")</f>
        <v/>
      </c>
      <c r="I324" s="116" t="str">
        <f>IF(D324&lt;&gt;"",VLOOKUP(ROW(E323),Beräkningshjälp!AC$2:AI$1082,COLUMN(Beräkningshjälp!AI$2)-COLUMN(Beräkningshjälp!AC$2)+1,FALSE),"")</f>
        <v/>
      </c>
    </row>
    <row r="325" spans="1:9" x14ac:dyDescent="0.25">
      <c r="A325" s="2" t="str">
        <f t="shared" si="10"/>
        <v/>
      </c>
      <c r="B325" s="136" t="str">
        <f>IF(D325&lt;&gt;"",'DATA TILL SLU'!$J$3,"")</f>
        <v/>
      </c>
      <c r="C325" s="146" t="str">
        <f>IF(D325&lt;&gt;"",'DATA TILL SLU'!$K$3,"")</f>
        <v/>
      </c>
      <c r="D325" s="2" t="str">
        <f>IF('DATA TILL SLU'!$D$7*1&lt;&gt;"",IF(COUNT(Beräkningshjälp!$AC$3:$AC$1082)&gt;=ROW(D324),'DATA TILL SLU'!$D$7*1,""),"")</f>
        <v/>
      </c>
      <c r="E325" s="136" t="str">
        <f>IF(D325&lt;&gt;"",VLOOKUP(ROW(E324),Beräkningshjälp!AC$2:AH$1082,COLUMN(Beräkningshjälp!AF$2)-COLUMN(Beräkningshjälp!AC$2)+1,FALSE),"")</f>
        <v/>
      </c>
      <c r="F325" s="352" t="str">
        <f t="shared" si="11"/>
        <v/>
      </c>
      <c r="G325" s="2" t="str">
        <f>IF(D325&lt;&gt;"",IF(VLOOKUP(VLOOKUP(E325,Beräkningshjälp!O$2:U$60,7,FALSE),Artuppgifter!$I$11:$P$22,8,FALSE)=TRUE,"Medelvikter!!","ALLA"),"")</f>
        <v/>
      </c>
      <c r="H325" s="2" t="str">
        <f>IF(D325&lt;&gt;"",VLOOKUP(ROW(H324),Beräkningshjälp!AC$2:AH$1082,COLUMN(Beräkningshjälp!AH$2)-COLUMN(Beräkningshjälp!AC$2)+1,FALSE),"")</f>
        <v/>
      </c>
      <c r="I325" s="116" t="str">
        <f>IF(D325&lt;&gt;"",VLOOKUP(ROW(E324),Beräkningshjälp!AC$2:AI$1082,COLUMN(Beräkningshjälp!AI$2)-COLUMN(Beräkningshjälp!AC$2)+1,FALSE),"")</f>
        <v/>
      </c>
    </row>
    <row r="326" spans="1:9" x14ac:dyDescent="0.25">
      <c r="A326" s="2" t="str">
        <f t="shared" si="10"/>
        <v/>
      </c>
      <c r="B326" s="136" t="str">
        <f>IF(D326&lt;&gt;"",'DATA TILL SLU'!$J$3,"")</f>
        <v/>
      </c>
      <c r="C326" s="146" t="str">
        <f>IF(D326&lt;&gt;"",'DATA TILL SLU'!$K$3,"")</f>
        <v/>
      </c>
      <c r="D326" s="2" t="str">
        <f>IF('DATA TILL SLU'!$D$7*1&lt;&gt;"",IF(COUNT(Beräkningshjälp!$AC$3:$AC$1082)&gt;=ROW(D325),'DATA TILL SLU'!$D$7*1,""),"")</f>
        <v/>
      </c>
      <c r="E326" s="136" t="str">
        <f>IF(D326&lt;&gt;"",VLOOKUP(ROW(E325),Beräkningshjälp!AC$2:AH$1082,COLUMN(Beräkningshjälp!AF$2)-COLUMN(Beräkningshjälp!AC$2)+1,FALSE),"")</f>
        <v/>
      </c>
      <c r="F326" s="352" t="str">
        <f t="shared" si="11"/>
        <v/>
      </c>
      <c r="G326" s="2" t="str">
        <f>IF(D326&lt;&gt;"",IF(VLOOKUP(VLOOKUP(E326,Beräkningshjälp!O$2:U$60,7,FALSE),Artuppgifter!$I$11:$P$22,8,FALSE)=TRUE,"Medelvikter!!","ALLA"),"")</f>
        <v/>
      </c>
      <c r="H326" s="2" t="str">
        <f>IF(D326&lt;&gt;"",VLOOKUP(ROW(H325),Beräkningshjälp!AC$2:AH$1082,COLUMN(Beräkningshjälp!AH$2)-COLUMN(Beräkningshjälp!AC$2)+1,FALSE),"")</f>
        <v/>
      </c>
      <c r="I326" s="116" t="str">
        <f>IF(D326&lt;&gt;"",VLOOKUP(ROW(E325),Beräkningshjälp!AC$2:AI$1082,COLUMN(Beräkningshjälp!AI$2)-COLUMN(Beräkningshjälp!AC$2)+1,FALSE),"")</f>
        <v/>
      </c>
    </row>
    <row r="327" spans="1:9" x14ac:dyDescent="0.25">
      <c r="A327" s="2" t="str">
        <f t="shared" si="10"/>
        <v/>
      </c>
      <c r="B327" s="136" t="str">
        <f>IF(D327&lt;&gt;"",'DATA TILL SLU'!$J$3,"")</f>
        <v/>
      </c>
      <c r="C327" s="146" t="str">
        <f>IF(D327&lt;&gt;"",'DATA TILL SLU'!$K$3,"")</f>
        <v/>
      </c>
      <c r="D327" s="2" t="str">
        <f>IF('DATA TILL SLU'!$D$7*1&lt;&gt;"",IF(COUNT(Beräkningshjälp!$AC$3:$AC$1082)&gt;=ROW(D326),'DATA TILL SLU'!$D$7*1,""),"")</f>
        <v/>
      </c>
      <c r="E327" s="136" t="str">
        <f>IF(D327&lt;&gt;"",VLOOKUP(ROW(E326),Beräkningshjälp!AC$2:AH$1082,COLUMN(Beräkningshjälp!AF$2)-COLUMN(Beräkningshjälp!AC$2)+1,FALSE),"")</f>
        <v/>
      </c>
      <c r="F327" s="352" t="str">
        <f t="shared" si="11"/>
        <v/>
      </c>
      <c r="G327" s="2" t="str">
        <f>IF(D327&lt;&gt;"",IF(VLOOKUP(VLOOKUP(E327,Beräkningshjälp!O$2:U$60,7,FALSE),Artuppgifter!$I$11:$P$22,8,FALSE)=TRUE,"Medelvikter!!","ALLA"),"")</f>
        <v/>
      </c>
      <c r="H327" s="2" t="str">
        <f>IF(D327&lt;&gt;"",VLOOKUP(ROW(H326),Beräkningshjälp!AC$2:AH$1082,COLUMN(Beräkningshjälp!AH$2)-COLUMN(Beräkningshjälp!AC$2)+1,FALSE),"")</f>
        <v/>
      </c>
      <c r="I327" s="116" t="str">
        <f>IF(D327&lt;&gt;"",VLOOKUP(ROW(E326),Beräkningshjälp!AC$2:AI$1082,COLUMN(Beräkningshjälp!AI$2)-COLUMN(Beräkningshjälp!AC$2)+1,FALSE),"")</f>
        <v/>
      </c>
    </row>
    <row r="328" spans="1:9" x14ac:dyDescent="0.25">
      <c r="A328" s="2" t="str">
        <f t="shared" si="10"/>
        <v/>
      </c>
      <c r="B328" s="136" t="str">
        <f>IF(D328&lt;&gt;"",'DATA TILL SLU'!$J$3,"")</f>
        <v/>
      </c>
      <c r="C328" s="146" t="str">
        <f>IF(D328&lt;&gt;"",'DATA TILL SLU'!$K$3,"")</f>
        <v/>
      </c>
      <c r="D328" s="2" t="str">
        <f>IF('DATA TILL SLU'!$D$7*1&lt;&gt;"",IF(COUNT(Beräkningshjälp!$AC$3:$AC$1082)&gt;=ROW(D327),'DATA TILL SLU'!$D$7*1,""),"")</f>
        <v/>
      </c>
      <c r="E328" s="136" t="str">
        <f>IF(D328&lt;&gt;"",VLOOKUP(ROW(E327),Beräkningshjälp!AC$2:AH$1082,COLUMN(Beräkningshjälp!AF$2)-COLUMN(Beräkningshjälp!AC$2)+1,FALSE),"")</f>
        <v/>
      </c>
      <c r="F328" s="352" t="str">
        <f t="shared" si="11"/>
        <v/>
      </c>
      <c r="G328" s="2" t="str">
        <f>IF(D328&lt;&gt;"",IF(VLOOKUP(VLOOKUP(E328,Beräkningshjälp!O$2:U$60,7,FALSE),Artuppgifter!$I$11:$P$22,8,FALSE)=TRUE,"Medelvikter!!","ALLA"),"")</f>
        <v/>
      </c>
      <c r="H328" s="2" t="str">
        <f>IF(D328&lt;&gt;"",VLOOKUP(ROW(H327),Beräkningshjälp!AC$2:AH$1082,COLUMN(Beräkningshjälp!AH$2)-COLUMN(Beräkningshjälp!AC$2)+1,FALSE),"")</f>
        <v/>
      </c>
      <c r="I328" s="116" t="str">
        <f>IF(D328&lt;&gt;"",VLOOKUP(ROW(E327),Beräkningshjälp!AC$2:AI$1082,COLUMN(Beräkningshjälp!AI$2)-COLUMN(Beräkningshjälp!AC$2)+1,FALSE),"")</f>
        <v/>
      </c>
    </row>
    <row r="329" spans="1:9" x14ac:dyDescent="0.25">
      <c r="A329" s="2" t="str">
        <f t="shared" si="10"/>
        <v/>
      </c>
      <c r="B329" s="136" t="str">
        <f>IF(D329&lt;&gt;"",'DATA TILL SLU'!$J$3,"")</f>
        <v/>
      </c>
      <c r="C329" s="146" t="str">
        <f>IF(D329&lt;&gt;"",'DATA TILL SLU'!$K$3,"")</f>
        <v/>
      </c>
      <c r="D329" s="2" t="str">
        <f>IF('DATA TILL SLU'!$D$7*1&lt;&gt;"",IF(COUNT(Beräkningshjälp!$AC$3:$AC$1082)&gt;=ROW(D328),'DATA TILL SLU'!$D$7*1,""),"")</f>
        <v/>
      </c>
      <c r="E329" s="136" t="str">
        <f>IF(D329&lt;&gt;"",VLOOKUP(ROW(E328),Beräkningshjälp!AC$2:AH$1082,COLUMN(Beräkningshjälp!AF$2)-COLUMN(Beräkningshjälp!AC$2)+1,FALSE),"")</f>
        <v/>
      </c>
      <c r="F329" s="352" t="str">
        <f t="shared" si="11"/>
        <v/>
      </c>
      <c r="G329" s="2" t="str">
        <f>IF(D329&lt;&gt;"",IF(VLOOKUP(VLOOKUP(E329,Beräkningshjälp!O$2:U$60,7,FALSE),Artuppgifter!$I$11:$P$22,8,FALSE)=TRUE,"Medelvikter!!","ALLA"),"")</f>
        <v/>
      </c>
      <c r="H329" s="2" t="str">
        <f>IF(D329&lt;&gt;"",VLOOKUP(ROW(H328),Beräkningshjälp!AC$2:AH$1082,COLUMN(Beräkningshjälp!AH$2)-COLUMN(Beräkningshjälp!AC$2)+1,FALSE),"")</f>
        <v/>
      </c>
      <c r="I329" s="116" t="str">
        <f>IF(D329&lt;&gt;"",VLOOKUP(ROW(E328),Beräkningshjälp!AC$2:AI$1082,COLUMN(Beräkningshjälp!AI$2)-COLUMN(Beräkningshjälp!AC$2)+1,FALSE),"")</f>
        <v/>
      </c>
    </row>
    <row r="330" spans="1:9" x14ac:dyDescent="0.25">
      <c r="A330" s="2" t="str">
        <f t="shared" si="10"/>
        <v/>
      </c>
      <c r="B330" s="136" t="str">
        <f>IF(D330&lt;&gt;"",'DATA TILL SLU'!$J$3,"")</f>
        <v/>
      </c>
      <c r="C330" s="146" t="str">
        <f>IF(D330&lt;&gt;"",'DATA TILL SLU'!$K$3,"")</f>
        <v/>
      </c>
      <c r="D330" s="2" t="str">
        <f>IF('DATA TILL SLU'!$D$7*1&lt;&gt;"",IF(COUNT(Beräkningshjälp!$AC$3:$AC$1082)&gt;=ROW(D329),'DATA TILL SLU'!$D$7*1,""),"")</f>
        <v/>
      </c>
      <c r="E330" s="136" t="str">
        <f>IF(D330&lt;&gt;"",VLOOKUP(ROW(E329),Beräkningshjälp!AC$2:AH$1082,COLUMN(Beräkningshjälp!AF$2)-COLUMN(Beräkningshjälp!AC$2)+1,FALSE),"")</f>
        <v/>
      </c>
      <c r="F330" s="352" t="str">
        <f t="shared" si="11"/>
        <v/>
      </c>
      <c r="G330" s="2" t="str">
        <f>IF(D330&lt;&gt;"",IF(VLOOKUP(VLOOKUP(E330,Beräkningshjälp!O$2:U$60,7,FALSE),Artuppgifter!$I$11:$P$22,8,FALSE)=TRUE,"Medelvikter!!","ALLA"),"")</f>
        <v/>
      </c>
      <c r="H330" s="2" t="str">
        <f>IF(D330&lt;&gt;"",VLOOKUP(ROW(H329),Beräkningshjälp!AC$2:AH$1082,COLUMN(Beräkningshjälp!AH$2)-COLUMN(Beräkningshjälp!AC$2)+1,FALSE),"")</f>
        <v/>
      </c>
      <c r="I330" s="116" t="str">
        <f>IF(D330&lt;&gt;"",VLOOKUP(ROW(E329),Beräkningshjälp!AC$2:AI$1082,COLUMN(Beräkningshjälp!AI$2)-COLUMN(Beräkningshjälp!AC$2)+1,FALSE),"")</f>
        <v/>
      </c>
    </row>
    <row r="331" spans="1:9" x14ac:dyDescent="0.25">
      <c r="A331" s="2" t="str">
        <f t="shared" si="10"/>
        <v/>
      </c>
      <c r="B331" s="136" t="str">
        <f>IF(D331&lt;&gt;"",'DATA TILL SLU'!$J$3,"")</f>
        <v/>
      </c>
      <c r="C331" s="146" t="str">
        <f>IF(D331&lt;&gt;"",'DATA TILL SLU'!$K$3,"")</f>
        <v/>
      </c>
      <c r="D331" s="2" t="str">
        <f>IF('DATA TILL SLU'!$D$7*1&lt;&gt;"",IF(COUNT(Beräkningshjälp!$AC$3:$AC$1082)&gt;=ROW(D330),'DATA TILL SLU'!$D$7*1,""),"")</f>
        <v/>
      </c>
      <c r="E331" s="136" t="str">
        <f>IF(D331&lt;&gt;"",VLOOKUP(ROW(E330),Beräkningshjälp!AC$2:AH$1082,COLUMN(Beräkningshjälp!AF$2)-COLUMN(Beräkningshjälp!AC$2)+1,FALSE),"")</f>
        <v/>
      </c>
      <c r="F331" s="352" t="str">
        <f t="shared" si="11"/>
        <v/>
      </c>
      <c r="G331" s="2" t="str">
        <f>IF(D331&lt;&gt;"",IF(VLOOKUP(VLOOKUP(E331,Beräkningshjälp!O$2:U$60,7,FALSE),Artuppgifter!$I$11:$P$22,8,FALSE)=TRUE,"Medelvikter!!","ALLA"),"")</f>
        <v/>
      </c>
      <c r="H331" s="2" t="str">
        <f>IF(D331&lt;&gt;"",VLOOKUP(ROW(H330),Beräkningshjälp!AC$2:AH$1082,COLUMN(Beräkningshjälp!AH$2)-COLUMN(Beräkningshjälp!AC$2)+1,FALSE),"")</f>
        <v/>
      </c>
      <c r="I331" s="116" t="str">
        <f>IF(D331&lt;&gt;"",VLOOKUP(ROW(E330),Beräkningshjälp!AC$2:AI$1082,COLUMN(Beräkningshjälp!AI$2)-COLUMN(Beräkningshjälp!AC$2)+1,FALSE),"")</f>
        <v/>
      </c>
    </row>
    <row r="332" spans="1:9" x14ac:dyDescent="0.25">
      <c r="A332" s="2" t="str">
        <f t="shared" si="10"/>
        <v/>
      </c>
      <c r="B332" s="136" t="str">
        <f>IF(D332&lt;&gt;"",'DATA TILL SLU'!$J$3,"")</f>
        <v/>
      </c>
      <c r="C332" s="146" t="str">
        <f>IF(D332&lt;&gt;"",'DATA TILL SLU'!$K$3,"")</f>
        <v/>
      </c>
      <c r="D332" s="2" t="str">
        <f>IF('DATA TILL SLU'!$D$7*1&lt;&gt;"",IF(COUNT(Beräkningshjälp!$AC$3:$AC$1082)&gt;=ROW(D331),'DATA TILL SLU'!$D$7*1,""),"")</f>
        <v/>
      </c>
      <c r="E332" s="136" t="str">
        <f>IF(D332&lt;&gt;"",VLOOKUP(ROW(E331),Beräkningshjälp!AC$2:AH$1082,COLUMN(Beräkningshjälp!AF$2)-COLUMN(Beräkningshjälp!AC$2)+1,FALSE),"")</f>
        <v/>
      </c>
      <c r="F332" s="352" t="str">
        <f t="shared" si="11"/>
        <v/>
      </c>
      <c r="G332" s="2" t="str">
        <f>IF(D332&lt;&gt;"",IF(VLOOKUP(VLOOKUP(E332,Beräkningshjälp!O$2:U$60,7,FALSE),Artuppgifter!$I$11:$P$22,8,FALSE)=TRUE,"Medelvikter!!","ALLA"),"")</f>
        <v/>
      </c>
      <c r="H332" s="2" t="str">
        <f>IF(D332&lt;&gt;"",VLOOKUP(ROW(H331),Beräkningshjälp!AC$2:AH$1082,COLUMN(Beräkningshjälp!AH$2)-COLUMN(Beräkningshjälp!AC$2)+1,FALSE),"")</f>
        <v/>
      </c>
      <c r="I332" s="116" t="str">
        <f>IF(D332&lt;&gt;"",VLOOKUP(ROW(E331),Beräkningshjälp!AC$2:AI$1082,COLUMN(Beräkningshjälp!AI$2)-COLUMN(Beräkningshjälp!AC$2)+1,FALSE),"")</f>
        <v/>
      </c>
    </row>
    <row r="333" spans="1:9" x14ac:dyDescent="0.25">
      <c r="A333" s="2" t="str">
        <f t="shared" si="10"/>
        <v/>
      </c>
      <c r="B333" s="136" t="str">
        <f>IF(D333&lt;&gt;"",'DATA TILL SLU'!$J$3,"")</f>
        <v/>
      </c>
      <c r="C333" s="146" t="str">
        <f>IF(D333&lt;&gt;"",'DATA TILL SLU'!$K$3,"")</f>
        <v/>
      </c>
      <c r="D333" s="2" t="str">
        <f>IF('DATA TILL SLU'!$D$7*1&lt;&gt;"",IF(COUNT(Beräkningshjälp!$AC$3:$AC$1082)&gt;=ROW(D332),'DATA TILL SLU'!$D$7*1,""),"")</f>
        <v/>
      </c>
      <c r="E333" s="136" t="str">
        <f>IF(D333&lt;&gt;"",VLOOKUP(ROW(E332),Beräkningshjälp!AC$2:AH$1082,COLUMN(Beräkningshjälp!AF$2)-COLUMN(Beräkningshjälp!AC$2)+1,FALSE),"")</f>
        <v/>
      </c>
      <c r="F333" s="352" t="str">
        <f t="shared" si="11"/>
        <v/>
      </c>
      <c r="G333" s="2" t="str">
        <f>IF(D333&lt;&gt;"",IF(VLOOKUP(VLOOKUP(E333,Beräkningshjälp!O$2:U$60,7,FALSE),Artuppgifter!$I$11:$P$22,8,FALSE)=TRUE,"Medelvikter!!","ALLA"),"")</f>
        <v/>
      </c>
      <c r="H333" s="2" t="str">
        <f>IF(D333&lt;&gt;"",VLOOKUP(ROW(H332),Beräkningshjälp!AC$2:AH$1082,COLUMN(Beräkningshjälp!AH$2)-COLUMN(Beräkningshjälp!AC$2)+1,FALSE),"")</f>
        <v/>
      </c>
      <c r="I333" s="116" t="str">
        <f>IF(D333&lt;&gt;"",VLOOKUP(ROW(E332),Beräkningshjälp!AC$2:AI$1082,COLUMN(Beräkningshjälp!AI$2)-COLUMN(Beräkningshjälp!AC$2)+1,FALSE),"")</f>
        <v/>
      </c>
    </row>
    <row r="334" spans="1:9" x14ac:dyDescent="0.25">
      <c r="A334" s="2" t="str">
        <f t="shared" si="10"/>
        <v/>
      </c>
      <c r="B334" s="136" t="str">
        <f>IF(D334&lt;&gt;"",'DATA TILL SLU'!$J$3,"")</f>
        <v/>
      </c>
      <c r="C334" s="146" t="str">
        <f>IF(D334&lt;&gt;"",'DATA TILL SLU'!$K$3,"")</f>
        <v/>
      </c>
      <c r="D334" s="2" t="str">
        <f>IF('DATA TILL SLU'!$D$7*1&lt;&gt;"",IF(COUNT(Beräkningshjälp!$AC$3:$AC$1082)&gt;=ROW(D333),'DATA TILL SLU'!$D$7*1,""),"")</f>
        <v/>
      </c>
      <c r="E334" s="136" t="str">
        <f>IF(D334&lt;&gt;"",VLOOKUP(ROW(E333),Beräkningshjälp!AC$2:AH$1082,COLUMN(Beräkningshjälp!AF$2)-COLUMN(Beräkningshjälp!AC$2)+1,FALSE),"")</f>
        <v/>
      </c>
      <c r="F334" s="352" t="str">
        <f t="shared" si="11"/>
        <v/>
      </c>
      <c r="G334" s="2" t="str">
        <f>IF(D334&lt;&gt;"",IF(VLOOKUP(VLOOKUP(E334,Beräkningshjälp!O$2:U$60,7,FALSE),Artuppgifter!$I$11:$P$22,8,FALSE)=TRUE,"Medelvikter!!","ALLA"),"")</f>
        <v/>
      </c>
      <c r="H334" s="2" t="str">
        <f>IF(D334&lt;&gt;"",VLOOKUP(ROW(H333),Beräkningshjälp!AC$2:AH$1082,COLUMN(Beräkningshjälp!AH$2)-COLUMN(Beräkningshjälp!AC$2)+1,FALSE),"")</f>
        <v/>
      </c>
      <c r="I334" s="116" t="str">
        <f>IF(D334&lt;&gt;"",VLOOKUP(ROW(E333),Beräkningshjälp!AC$2:AI$1082,COLUMN(Beräkningshjälp!AI$2)-COLUMN(Beräkningshjälp!AC$2)+1,FALSE),"")</f>
        <v/>
      </c>
    </row>
    <row r="335" spans="1:9" x14ac:dyDescent="0.25">
      <c r="A335" s="2" t="str">
        <f t="shared" si="10"/>
        <v/>
      </c>
      <c r="B335" s="136" t="str">
        <f>IF(D335&lt;&gt;"",'DATA TILL SLU'!$J$3,"")</f>
        <v/>
      </c>
      <c r="C335" s="146" t="str">
        <f>IF(D335&lt;&gt;"",'DATA TILL SLU'!$K$3,"")</f>
        <v/>
      </c>
      <c r="D335" s="2" t="str">
        <f>IF('DATA TILL SLU'!$D$7*1&lt;&gt;"",IF(COUNT(Beräkningshjälp!$AC$3:$AC$1082)&gt;=ROW(D334),'DATA TILL SLU'!$D$7*1,""),"")</f>
        <v/>
      </c>
      <c r="E335" s="136" t="str">
        <f>IF(D335&lt;&gt;"",VLOOKUP(ROW(E334),Beräkningshjälp!AC$2:AH$1082,COLUMN(Beräkningshjälp!AF$2)-COLUMN(Beräkningshjälp!AC$2)+1,FALSE),"")</f>
        <v/>
      </c>
      <c r="F335" s="352" t="str">
        <f t="shared" si="11"/>
        <v/>
      </c>
      <c r="G335" s="2" t="str">
        <f>IF(D335&lt;&gt;"",IF(VLOOKUP(VLOOKUP(E335,Beräkningshjälp!O$2:U$60,7,FALSE),Artuppgifter!$I$11:$P$22,8,FALSE)=TRUE,"Medelvikter!!","ALLA"),"")</f>
        <v/>
      </c>
      <c r="H335" s="2" t="str">
        <f>IF(D335&lt;&gt;"",VLOOKUP(ROW(H334),Beräkningshjälp!AC$2:AH$1082,COLUMN(Beräkningshjälp!AH$2)-COLUMN(Beräkningshjälp!AC$2)+1,FALSE),"")</f>
        <v/>
      </c>
      <c r="I335" s="116" t="str">
        <f>IF(D335&lt;&gt;"",VLOOKUP(ROW(E334),Beräkningshjälp!AC$2:AI$1082,COLUMN(Beräkningshjälp!AI$2)-COLUMN(Beräkningshjälp!AC$2)+1,FALSE),"")</f>
        <v/>
      </c>
    </row>
    <row r="336" spans="1:9" x14ac:dyDescent="0.25">
      <c r="A336" s="2" t="str">
        <f t="shared" si="10"/>
        <v/>
      </c>
      <c r="B336" s="136" t="str">
        <f>IF(D336&lt;&gt;"",'DATA TILL SLU'!$J$3,"")</f>
        <v/>
      </c>
      <c r="C336" s="146" t="str">
        <f>IF(D336&lt;&gt;"",'DATA TILL SLU'!$K$3,"")</f>
        <v/>
      </c>
      <c r="D336" s="2" t="str">
        <f>IF('DATA TILL SLU'!$D$7*1&lt;&gt;"",IF(COUNT(Beräkningshjälp!$AC$3:$AC$1082)&gt;=ROW(D335),'DATA TILL SLU'!$D$7*1,""),"")</f>
        <v/>
      </c>
      <c r="E336" s="136" t="str">
        <f>IF(D336&lt;&gt;"",VLOOKUP(ROW(E335),Beräkningshjälp!AC$2:AH$1082,COLUMN(Beräkningshjälp!AF$2)-COLUMN(Beräkningshjälp!AC$2)+1,FALSE),"")</f>
        <v/>
      </c>
      <c r="F336" s="352" t="str">
        <f t="shared" si="11"/>
        <v/>
      </c>
      <c r="G336" s="2" t="str">
        <f>IF(D336&lt;&gt;"",IF(VLOOKUP(VLOOKUP(E336,Beräkningshjälp!O$2:U$60,7,FALSE),Artuppgifter!$I$11:$P$22,8,FALSE)=TRUE,"Medelvikter!!","ALLA"),"")</f>
        <v/>
      </c>
      <c r="H336" s="2" t="str">
        <f>IF(D336&lt;&gt;"",VLOOKUP(ROW(H335),Beräkningshjälp!AC$2:AH$1082,COLUMN(Beräkningshjälp!AH$2)-COLUMN(Beräkningshjälp!AC$2)+1,FALSE),"")</f>
        <v/>
      </c>
      <c r="I336" s="116" t="str">
        <f>IF(D336&lt;&gt;"",VLOOKUP(ROW(E335),Beräkningshjälp!AC$2:AI$1082,COLUMN(Beräkningshjälp!AI$2)-COLUMN(Beräkningshjälp!AC$2)+1,FALSE),"")</f>
        <v/>
      </c>
    </row>
    <row r="337" spans="1:9" x14ac:dyDescent="0.25">
      <c r="A337" s="2" t="str">
        <f t="shared" si="10"/>
        <v/>
      </c>
      <c r="B337" s="136" t="str">
        <f>IF(D337&lt;&gt;"",'DATA TILL SLU'!$J$3,"")</f>
        <v/>
      </c>
      <c r="C337" s="146" t="str">
        <f>IF(D337&lt;&gt;"",'DATA TILL SLU'!$K$3,"")</f>
        <v/>
      </c>
      <c r="D337" s="2" t="str">
        <f>IF('DATA TILL SLU'!$D$7*1&lt;&gt;"",IF(COUNT(Beräkningshjälp!$AC$3:$AC$1082)&gt;=ROW(D336),'DATA TILL SLU'!$D$7*1,""),"")</f>
        <v/>
      </c>
      <c r="E337" s="136" t="str">
        <f>IF(D337&lt;&gt;"",VLOOKUP(ROW(E336),Beräkningshjälp!AC$2:AH$1082,COLUMN(Beräkningshjälp!AF$2)-COLUMN(Beräkningshjälp!AC$2)+1,FALSE),"")</f>
        <v/>
      </c>
      <c r="F337" s="352" t="str">
        <f t="shared" si="11"/>
        <v/>
      </c>
      <c r="G337" s="2" t="str">
        <f>IF(D337&lt;&gt;"",IF(VLOOKUP(VLOOKUP(E337,Beräkningshjälp!O$2:U$60,7,FALSE),Artuppgifter!$I$11:$P$22,8,FALSE)=TRUE,"Medelvikter!!","ALLA"),"")</f>
        <v/>
      </c>
      <c r="H337" s="2" t="str">
        <f>IF(D337&lt;&gt;"",VLOOKUP(ROW(H336),Beräkningshjälp!AC$2:AH$1082,COLUMN(Beräkningshjälp!AH$2)-COLUMN(Beräkningshjälp!AC$2)+1,FALSE),"")</f>
        <v/>
      </c>
      <c r="I337" s="116" t="str">
        <f>IF(D337&lt;&gt;"",VLOOKUP(ROW(E336),Beräkningshjälp!AC$2:AI$1082,COLUMN(Beräkningshjälp!AI$2)-COLUMN(Beräkningshjälp!AC$2)+1,FALSE),"")</f>
        <v/>
      </c>
    </row>
    <row r="338" spans="1:9" x14ac:dyDescent="0.25">
      <c r="A338" s="2" t="str">
        <f t="shared" si="10"/>
        <v/>
      </c>
      <c r="B338" s="136" t="str">
        <f>IF(D338&lt;&gt;"",'DATA TILL SLU'!$J$3,"")</f>
        <v/>
      </c>
      <c r="C338" s="146" t="str">
        <f>IF(D338&lt;&gt;"",'DATA TILL SLU'!$K$3,"")</f>
        <v/>
      </c>
      <c r="D338" s="2" t="str">
        <f>IF('DATA TILL SLU'!$D$7*1&lt;&gt;"",IF(COUNT(Beräkningshjälp!$AC$3:$AC$1082)&gt;=ROW(D337),'DATA TILL SLU'!$D$7*1,""),"")</f>
        <v/>
      </c>
      <c r="E338" s="136" t="str">
        <f>IF(D338&lt;&gt;"",VLOOKUP(ROW(E337),Beräkningshjälp!AC$2:AH$1082,COLUMN(Beräkningshjälp!AF$2)-COLUMN(Beräkningshjälp!AC$2)+1,FALSE),"")</f>
        <v/>
      </c>
      <c r="F338" s="352" t="str">
        <f t="shared" si="11"/>
        <v/>
      </c>
      <c r="G338" s="2" t="str">
        <f>IF(D338&lt;&gt;"",IF(VLOOKUP(VLOOKUP(E338,Beräkningshjälp!O$2:U$60,7,FALSE),Artuppgifter!$I$11:$P$22,8,FALSE)=TRUE,"Medelvikter!!","ALLA"),"")</f>
        <v/>
      </c>
      <c r="H338" s="2" t="str">
        <f>IF(D338&lt;&gt;"",VLOOKUP(ROW(H337),Beräkningshjälp!AC$2:AH$1082,COLUMN(Beräkningshjälp!AH$2)-COLUMN(Beräkningshjälp!AC$2)+1,FALSE),"")</f>
        <v/>
      </c>
      <c r="I338" s="116" t="str">
        <f>IF(D338&lt;&gt;"",VLOOKUP(ROW(E337),Beräkningshjälp!AC$2:AI$1082,COLUMN(Beräkningshjälp!AI$2)-COLUMN(Beräkningshjälp!AC$2)+1,FALSE),"")</f>
        <v/>
      </c>
    </row>
    <row r="339" spans="1:9" x14ac:dyDescent="0.25">
      <c r="A339" s="2" t="str">
        <f t="shared" si="10"/>
        <v/>
      </c>
      <c r="B339" s="136" t="str">
        <f>IF(D339&lt;&gt;"",'DATA TILL SLU'!$J$3,"")</f>
        <v/>
      </c>
      <c r="C339" s="146" t="str">
        <f>IF(D339&lt;&gt;"",'DATA TILL SLU'!$K$3,"")</f>
        <v/>
      </c>
      <c r="D339" s="2" t="str">
        <f>IF('DATA TILL SLU'!$D$7*1&lt;&gt;"",IF(COUNT(Beräkningshjälp!$AC$3:$AC$1082)&gt;=ROW(D338),'DATA TILL SLU'!$D$7*1,""),"")</f>
        <v/>
      </c>
      <c r="E339" s="136" t="str">
        <f>IF(D339&lt;&gt;"",VLOOKUP(ROW(E338),Beräkningshjälp!AC$2:AH$1082,COLUMN(Beräkningshjälp!AF$2)-COLUMN(Beräkningshjälp!AC$2)+1,FALSE),"")</f>
        <v/>
      </c>
      <c r="F339" s="352" t="str">
        <f t="shared" si="11"/>
        <v/>
      </c>
      <c r="G339" s="2" t="str">
        <f>IF(D339&lt;&gt;"",IF(VLOOKUP(VLOOKUP(E339,Beräkningshjälp!O$2:U$60,7,FALSE),Artuppgifter!$I$11:$P$22,8,FALSE)=TRUE,"Medelvikter!!","ALLA"),"")</f>
        <v/>
      </c>
      <c r="H339" s="2" t="str">
        <f>IF(D339&lt;&gt;"",VLOOKUP(ROW(H338),Beräkningshjälp!AC$2:AH$1082,COLUMN(Beräkningshjälp!AH$2)-COLUMN(Beräkningshjälp!AC$2)+1,FALSE),"")</f>
        <v/>
      </c>
      <c r="I339" s="116" t="str">
        <f>IF(D339&lt;&gt;"",VLOOKUP(ROW(E338),Beräkningshjälp!AC$2:AI$1082,COLUMN(Beräkningshjälp!AI$2)-COLUMN(Beräkningshjälp!AC$2)+1,FALSE),"")</f>
        <v/>
      </c>
    </row>
    <row r="340" spans="1:9" x14ac:dyDescent="0.25">
      <c r="A340" s="2" t="str">
        <f t="shared" si="10"/>
        <v/>
      </c>
      <c r="B340" s="136" t="str">
        <f>IF(D340&lt;&gt;"",'DATA TILL SLU'!$J$3,"")</f>
        <v/>
      </c>
      <c r="C340" s="146" t="str">
        <f>IF(D340&lt;&gt;"",'DATA TILL SLU'!$K$3,"")</f>
        <v/>
      </c>
      <c r="D340" s="2" t="str">
        <f>IF('DATA TILL SLU'!$D$7*1&lt;&gt;"",IF(COUNT(Beräkningshjälp!$AC$3:$AC$1082)&gt;=ROW(D339),'DATA TILL SLU'!$D$7*1,""),"")</f>
        <v/>
      </c>
      <c r="E340" s="136" t="str">
        <f>IF(D340&lt;&gt;"",VLOOKUP(ROW(E339),Beräkningshjälp!AC$2:AH$1082,COLUMN(Beräkningshjälp!AF$2)-COLUMN(Beräkningshjälp!AC$2)+1,FALSE),"")</f>
        <v/>
      </c>
      <c r="F340" s="352" t="str">
        <f t="shared" si="11"/>
        <v/>
      </c>
      <c r="G340" s="2" t="str">
        <f>IF(D340&lt;&gt;"",IF(VLOOKUP(VLOOKUP(E340,Beräkningshjälp!O$2:U$60,7,FALSE),Artuppgifter!$I$11:$P$22,8,FALSE)=TRUE,"Medelvikter!!","ALLA"),"")</f>
        <v/>
      </c>
      <c r="H340" s="2" t="str">
        <f>IF(D340&lt;&gt;"",VLOOKUP(ROW(H339),Beräkningshjälp!AC$2:AH$1082,COLUMN(Beräkningshjälp!AH$2)-COLUMN(Beräkningshjälp!AC$2)+1,FALSE),"")</f>
        <v/>
      </c>
      <c r="I340" s="116" t="str">
        <f>IF(D340&lt;&gt;"",VLOOKUP(ROW(E339),Beräkningshjälp!AC$2:AI$1082,COLUMN(Beräkningshjälp!AI$2)-COLUMN(Beräkningshjälp!AC$2)+1,FALSE),"")</f>
        <v/>
      </c>
    </row>
    <row r="341" spans="1:9" x14ac:dyDescent="0.25">
      <c r="A341" s="2" t="str">
        <f t="shared" si="10"/>
        <v/>
      </c>
      <c r="B341" s="136" t="str">
        <f>IF(D341&lt;&gt;"",'DATA TILL SLU'!$J$3,"")</f>
        <v/>
      </c>
      <c r="C341" s="146" t="str">
        <f>IF(D341&lt;&gt;"",'DATA TILL SLU'!$K$3,"")</f>
        <v/>
      </c>
      <c r="D341" s="2" t="str">
        <f>IF('DATA TILL SLU'!$D$7*1&lt;&gt;"",IF(COUNT(Beräkningshjälp!$AC$3:$AC$1082)&gt;=ROW(D340),'DATA TILL SLU'!$D$7*1,""),"")</f>
        <v/>
      </c>
      <c r="E341" s="136" t="str">
        <f>IF(D341&lt;&gt;"",VLOOKUP(ROW(E340),Beräkningshjälp!AC$2:AH$1082,COLUMN(Beräkningshjälp!AF$2)-COLUMN(Beräkningshjälp!AC$2)+1,FALSE),"")</f>
        <v/>
      </c>
      <c r="F341" s="352" t="str">
        <f t="shared" si="11"/>
        <v/>
      </c>
      <c r="G341" s="2" t="str">
        <f>IF(D341&lt;&gt;"",IF(VLOOKUP(VLOOKUP(E341,Beräkningshjälp!O$2:U$60,7,FALSE),Artuppgifter!$I$11:$P$22,8,FALSE)=TRUE,"Medelvikter!!","ALLA"),"")</f>
        <v/>
      </c>
      <c r="H341" s="2" t="str">
        <f>IF(D341&lt;&gt;"",VLOOKUP(ROW(H340),Beräkningshjälp!AC$2:AH$1082,COLUMN(Beräkningshjälp!AH$2)-COLUMN(Beräkningshjälp!AC$2)+1,FALSE),"")</f>
        <v/>
      </c>
      <c r="I341" s="116" t="str">
        <f>IF(D341&lt;&gt;"",VLOOKUP(ROW(E340),Beräkningshjälp!AC$2:AI$1082,COLUMN(Beräkningshjälp!AI$2)-COLUMN(Beräkningshjälp!AC$2)+1,FALSE),"")</f>
        <v/>
      </c>
    </row>
    <row r="342" spans="1:9" x14ac:dyDescent="0.25">
      <c r="A342" s="2" t="str">
        <f t="shared" si="10"/>
        <v/>
      </c>
      <c r="B342" s="136" t="str">
        <f>IF(D342&lt;&gt;"",'DATA TILL SLU'!$J$3,"")</f>
        <v/>
      </c>
      <c r="C342" s="146" t="str">
        <f>IF(D342&lt;&gt;"",'DATA TILL SLU'!$K$3,"")</f>
        <v/>
      </c>
      <c r="D342" s="2" t="str">
        <f>IF('DATA TILL SLU'!$D$7*1&lt;&gt;"",IF(COUNT(Beräkningshjälp!$AC$3:$AC$1082)&gt;=ROW(D341),'DATA TILL SLU'!$D$7*1,""),"")</f>
        <v/>
      </c>
      <c r="E342" s="136" t="str">
        <f>IF(D342&lt;&gt;"",VLOOKUP(ROW(E341),Beräkningshjälp!AC$2:AH$1082,COLUMN(Beräkningshjälp!AF$2)-COLUMN(Beräkningshjälp!AC$2)+1,FALSE),"")</f>
        <v/>
      </c>
      <c r="F342" s="352" t="str">
        <f t="shared" si="11"/>
        <v/>
      </c>
      <c r="G342" s="2" t="str">
        <f>IF(D342&lt;&gt;"",IF(VLOOKUP(VLOOKUP(E342,Beräkningshjälp!O$2:U$60,7,FALSE),Artuppgifter!$I$11:$P$22,8,FALSE)=TRUE,"Medelvikter!!","ALLA"),"")</f>
        <v/>
      </c>
      <c r="H342" s="2" t="str">
        <f>IF(D342&lt;&gt;"",VLOOKUP(ROW(H341),Beräkningshjälp!AC$2:AH$1082,COLUMN(Beräkningshjälp!AH$2)-COLUMN(Beräkningshjälp!AC$2)+1,FALSE),"")</f>
        <v/>
      </c>
      <c r="I342" s="116" t="str">
        <f>IF(D342&lt;&gt;"",VLOOKUP(ROW(E341),Beräkningshjälp!AC$2:AI$1082,COLUMN(Beräkningshjälp!AI$2)-COLUMN(Beräkningshjälp!AC$2)+1,FALSE),"")</f>
        <v/>
      </c>
    </row>
    <row r="343" spans="1:9" x14ac:dyDescent="0.25">
      <c r="A343" s="2" t="str">
        <f t="shared" si="10"/>
        <v/>
      </c>
      <c r="B343" s="136" t="str">
        <f>IF(D343&lt;&gt;"",'DATA TILL SLU'!$J$3,"")</f>
        <v/>
      </c>
      <c r="C343" s="146" t="str">
        <f>IF(D343&lt;&gt;"",'DATA TILL SLU'!$K$3,"")</f>
        <v/>
      </c>
      <c r="D343" s="2" t="str">
        <f>IF('DATA TILL SLU'!$D$7*1&lt;&gt;"",IF(COUNT(Beräkningshjälp!$AC$3:$AC$1082)&gt;=ROW(D342),'DATA TILL SLU'!$D$7*1,""),"")</f>
        <v/>
      </c>
      <c r="E343" s="136" t="str">
        <f>IF(D343&lt;&gt;"",VLOOKUP(ROW(E342),Beräkningshjälp!AC$2:AH$1082,COLUMN(Beräkningshjälp!AF$2)-COLUMN(Beräkningshjälp!AC$2)+1,FALSE),"")</f>
        <v/>
      </c>
      <c r="F343" s="352" t="str">
        <f t="shared" si="11"/>
        <v/>
      </c>
      <c r="G343" s="2" t="str">
        <f>IF(D343&lt;&gt;"",IF(VLOOKUP(VLOOKUP(E343,Beräkningshjälp!O$2:U$60,7,FALSE),Artuppgifter!$I$11:$P$22,8,FALSE)=TRUE,"Medelvikter!!","ALLA"),"")</f>
        <v/>
      </c>
      <c r="H343" s="2" t="str">
        <f>IF(D343&lt;&gt;"",VLOOKUP(ROW(H342),Beräkningshjälp!AC$2:AH$1082,COLUMN(Beräkningshjälp!AH$2)-COLUMN(Beräkningshjälp!AC$2)+1,FALSE),"")</f>
        <v/>
      </c>
      <c r="I343" s="116" t="str">
        <f>IF(D343&lt;&gt;"",VLOOKUP(ROW(E342),Beräkningshjälp!AC$2:AI$1082,COLUMN(Beräkningshjälp!AI$2)-COLUMN(Beräkningshjälp!AC$2)+1,FALSE),"")</f>
        <v/>
      </c>
    </row>
    <row r="344" spans="1:9" x14ac:dyDescent="0.25">
      <c r="A344" s="2" t="str">
        <f t="shared" si="10"/>
        <v/>
      </c>
      <c r="B344" s="136" t="str">
        <f>IF(D344&lt;&gt;"",'DATA TILL SLU'!$J$3,"")</f>
        <v/>
      </c>
      <c r="C344" s="146" t="str">
        <f>IF(D344&lt;&gt;"",'DATA TILL SLU'!$K$3,"")</f>
        <v/>
      </c>
      <c r="D344" s="2" t="str">
        <f>IF('DATA TILL SLU'!$D$7*1&lt;&gt;"",IF(COUNT(Beräkningshjälp!$AC$3:$AC$1082)&gt;=ROW(D343),'DATA TILL SLU'!$D$7*1,""),"")</f>
        <v/>
      </c>
      <c r="E344" s="136" t="str">
        <f>IF(D344&lt;&gt;"",VLOOKUP(ROW(E343),Beräkningshjälp!AC$2:AH$1082,COLUMN(Beräkningshjälp!AF$2)-COLUMN(Beräkningshjälp!AC$2)+1,FALSE),"")</f>
        <v/>
      </c>
      <c r="F344" s="352" t="str">
        <f t="shared" si="11"/>
        <v/>
      </c>
      <c r="G344" s="2" t="str">
        <f>IF(D344&lt;&gt;"",IF(VLOOKUP(VLOOKUP(E344,Beräkningshjälp!O$2:U$60,7,FALSE),Artuppgifter!$I$11:$P$22,8,FALSE)=TRUE,"Medelvikter!!","ALLA"),"")</f>
        <v/>
      </c>
      <c r="H344" s="2" t="str">
        <f>IF(D344&lt;&gt;"",VLOOKUP(ROW(H343),Beräkningshjälp!AC$2:AH$1082,COLUMN(Beräkningshjälp!AH$2)-COLUMN(Beräkningshjälp!AC$2)+1,FALSE),"")</f>
        <v/>
      </c>
      <c r="I344" s="116" t="str">
        <f>IF(D344&lt;&gt;"",VLOOKUP(ROW(E343),Beräkningshjälp!AC$2:AI$1082,COLUMN(Beräkningshjälp!AI$2)-COLUMN(Beräkningshjälp!AC$2)+1,FALSE),"")</f>
        <v/>
      </c>
    </row>
    <row r="345" spans="1:9" x14ac:dyDescent="0.25">
      <c r="A345" s="2" t="str">
        <f t="shared" si="10"/>
        <v/>
      </c>
      <c r="B345" s="136" t="str">
        <f>IF(D345&lt;&gt;"",'DATA TILL SLU'!$J$3,"")</f>
        <v/>
      </c>
      <c r="C345" s="146" t="str">
        <f>IF(D345&lt;&gt;"",'DATA TILL SLU'!$K$3,"")</f>
        <v/>
      </c>
      <c r="D345" s="2" t="str">
        <f>IF('DATA TILL SLU'!$D$7*1&lt;&gt;"",IF(COUNT(Beräkningshjälp!$AC$3:$AC$1082)&gt;=ROW(D344),'DATA TILL SLU'!$D$7*1,""),"")</f>
        <v/>
      </c>
      <c r="E345" s="136" t="str">
        <f>IF(D345&lt;&gt;"",VLOOKUP(ROW(E344),Beräkningshjälp!AC$2:AH$1082,COLUMN(Beräkningshjälp!AF$2)-COLUMN(Beräkningshjälp!AC$2)+1,FALSE),"")</f>
        <v/>
      </c>
      <c r="F345" s="352" t="str">
        <f t="shared" si="11"/>
        <v/>
      </c>
      <c r="G345" s="2" t="str">
        <f>IF(D345&lt;&gt;"",IF(VLOOKUP(VLOOKUP(E345,Beräkningshjälp!O$2:U$60,7,FALSE),Artuppgifter!$I$11:$P$22,8,FALSE)=TRUE,"Medelvikter!!","ALLA"),"")</f>
        <v/>
      </c>
      <c r="H345" s="2" t="str">
        <f>IF(D345&lt;&gt;"",VLOOKUP(ROW(H344),Beräkningshjälp!AC$2:AH$1082,COLUMN(Beräkningshjälp!AH$2)-COLUMN(Beräkningshjälp!AC$2)+1,FALSE),"")</f>
        <v/>
      </c>
      <c r="I345" s="116" t="str">
        <f>IF(D345&lt;&gt;"",VLOOKUP(ROW(E344),Beräkningshjälp!AC$2:AI$1082,COLUMN(Beräkningshjälp!AI$2)-COLUMN(Beräkningshjälp!AC$2)+1,FALSE),"")</f>
        <v/>
      </c>
    </row>
    <row r="346" spans="1:9" x14ac:dyDescent="0.25">
      <c r="A346" s="2" t="str">
        <f t="shared" si="10"/>
        <v/>
      </c>
      <c r="B346" s="136" t="str">
        <f>IF(D346&lt;&gt;"",'DATA TILL SLU'!$J$3,"")</f>
        <v/>
      </c>
      <c r="C346" s="146" t="str">
        <f>IF(D346&lt;&gt;"",'DATA TILL SLU'!$K$3,"")</f>
        <v/>
      </c>
      <c r="D346" s="2" t="str">
        <f>IF('DATA TILL SLU'!$D$7*1&lt;&gt;"",IF(COUNT(Beräkningshjälp!$AC$3:$AC$1082)&gt;=ROW(D345),'DATA TILL SLU'!$D$7*1,""),"")</f>
        <v/>
      </c>
      <c r="E346" s="136" t="str">
        <f>IF(D346&lt;&gt;"",VLOOKUP(ROW(E345),Beräkningshjälp!AC$2:AH$1082,COLUMN(Beräkningshjälp!AF$2)-COLUMN(Beräkningshjälp!AC$2)+1,FALSE),"")</f>
        <v/>
      </c>
      <c r="F346" s="352" t="str">
        <f t="shared" si="11"/>
        <v/>
      </c>
      <c r="G346" s="2" t="str">
        <f>IF(D346&lt;&gt;"",IF(VLOOKUP(VLOOKUP(E346,Beräkningshjälp!O$2:U$60,7,FALSE),Artuppgifter!$I$11:$P$22,8,FALSE)=TRUE,"Medelvikter!!","ALLA"),"")</f>
        <v/>
      </c>
      <c r="H346" s="2" t="str">
        <f>IF(D346&lt;&gt;"",VLOOKUP(ROW(H345),Beräkningshjälp!AC$2:AH$1082,COLUMN(Beräkningshjälp!AH$2)-COLUMN(Beräkningshjälp!AC$2)+1,FALSE),"")</f>
        <v/>
      </c>
      <c r="I346" s="116" t="str">
        <f>IF(D346&lt;&gt;"",VLOOKUP(ROW(E345),Beräkningshjälp!AC$2:AI$1082,COLUMN(Beräkningshjälp!AI$2)-COLUMN(Beräkningshjälp!AC$2)+1,FALSE),"")</f>
        <v/>
      </c>
    </row>
    <row r="347" spans="1:9" x14ac:dyDescent="0.25">
      <c r="A347" s="2" t="str">
        <f t="shared" si="10"/>
        <v/>
      </c>
      <c r="B347" s="136" t="str">
        <f>IF(D347&lt;&gt;"",'DATA TILL SLU'!$J$3,"")</f>
        <v/>
      </c>
      <c r="C347" s="146" t="str">
        <f>IF(D347&lt;&gt;"",'DATA TILL SLU'!$K$3,"")</f>
        <v/>
      </c>
      <c r="D347" s="2" t="str">
        <f>IF('DATA TILL SLU'!$D$7*1&lt;&gt;"",IF(COUNT(Beräkningshjälp!$AC$3:$AC$1082)&gt;=ROW(D346),'DATA TILL SLU'!$D$7*1,""),"")</f>
        <v/>
      </c>
      <c r="E347" s="136" t="str">
        <f>IF(D347&lt;&gt;"",VLOOKUP(ROW(E346),Beräkningshjälp!AC$2:AH$1082,COLUMN(Beräkningshjälp!AF$2)-COLUMN(Beräkningshjälp!AC$2)+1,FALSE),"")</f>
        <v/>
      </c>
      <c r="F347" s="352" t="str">
        <f t="shared" si="11"/>
        <v/>
      </c>
      <c r="G347" s="2" t="str">
        <f>IF(D347&lt;&gt;"",IF(VLOOKUP(VLOOKUP(E347,Beräkningshjälp!O$2:U$60,7,FALSE),Artuppgifter!$I$11:$P$22,8,FALSE)=TRUE,"Medelvikter!!","ALLA"),"")</f>
        <v/>
      </c>
      <c r="H347" s="2" t="str">
        <f>IF(D347&lt;&gt;"",VLOOKUP(ROW(H346),Beräkningshjälp!AC$2:AH$1082,COLUMN(Beräkningshjälp!AH$2)-COLUMN(Beräkningshjälp!AC$2)+1,FALSE),"")</f>
        <v/>
      </c>
      <c r="I347" s="116" t="str">
        <f>IF(D347&lt;&gt;"",VLOOKUP(ROW(E346),Beräkningshjälp!AC$2:AI$1082,COLUMN(Beräkningshjälp!AI$2)-COLUMN(Beräkningshjälp!AC$2)+1,FALSE),"")</f>
        <v/>
      </c>
    </row>
    <row r="348" spans="1:9" x14ac:dyDescent="0.25">
      <c r="A348" s="2" t="str">
        <f t="shared" si="10"/>
        <v/>
      </c>
      <c r="B348" s="136" t="str">
        <f>IF(D348&lt;&gt;"",'DATA TILL SLU'!$J$3,"")</f>
        <v/>
      </c>
      <c r="C348" s="146" t="str">
        <f>IF(D348&lt;&gt;"",'DATA TILL SLU'!$K$3,"")</f>
        <v/>
      </c>
      <c r="D348" s="2" t="str">
        <f>IF('DATA TILL SLU'!$D$7*1&lt;&gt;"",IF(COUNT(Beräkningshjälp!$AC$3:$AC$1082)&gt;=ROW(D347),'DATA TILL SLU'!$D$7*1,""),"")</f>
        <v/>
      </c>
      <c r="E348" s="136" t="str">
        <f>IF(D348&lt;&gt;"",VLOOKUP(ROW(E347),Beräkningshjälp!AC$2:AH$1082,COLUMN(Beräkningshjälp!AF$2)-COLUMN(Beräkningshjälp!AC$2)+1,FALSE),"")</f>
        <v/>
      </c>
      <c r="F348" s="352" t="str">
        <f t="shared" si="11"/>
        <v/>
      </c>
      <c r="G348" s="2" t="str">
        <f>IF(D348&lt;&gt;"",IF(VLOOKUP(VLOOKUP(E348,Beräkningshjälp!O$2:U$60,7,FALSE),Artuppgifter!$I$11:$P$22,8,FALSE)=TRUE,"Medelvikter!!","ALLA"),"")</f>
        <v/>
      </c>
      <c r="H348" s="2" t="str">
        <f>IF(D348&lt;&gt;"",VLOOKUP(ROW(H347),Beräkningshjälp!AC$2:AH$1082,COLUMN(Beräkningshjälp!AH$2)-COLUMN(Beräkningshjälp!AC$2)+1,FALSE),"")</f>
        <v/>
      </c>
      <c r="I348" s="116" t="str">
        <f>IF(D348&lt;&gt;"",VLOOKUP(ROW(E347),Beräkningshjälp!AC$2:AI$1082,COLUMN(Beräkningshjälp!AI$2)-COLUMN(Beräkningshjälp!AC$2)+1,FALSE),"")</f>
        <v/>
      </c>
    </row>
    <row r="349" spans="1:9" x14ac:dyDescent="0.25">
      <c r="A349" s="2" t="str">
        <f t="shared" si="10"/>
        <v/>
      </c>
      <c r="B349" s="136" t="str">
        <f>IF(D349&lt;&gt;"",'DATA TILL SLU'!$J$3,"")</f>
        <v/>
      </c>
      <c r="C349" s="146" t="str">
        <f>IF(D349&lt;&gt;"",'DATA TILL SLU'!$K$3,"")</f>
        <v/>
      </c>
      <c r="D349" s="2" t="str">
        <f>IF('DATA TILL SLU'!$D$7*1&lt;&gt;"",IF(COUNT(Beräkningshjälp!$AC$3:$AC$1082)&gt;=ROW(D348),'DATA TILL SLU'!$D$7*1,""),"")</f>
        <v/>
      </c>
      <c r="E349" s="136" t="str">
        <f>IF(D349&lt;&gt;"",VLOOKUP(ROW(E348),Beräkningshjälp!AC$2:AH$1082,COLUMN(Beräkningshjälp!AF$2)-COLUMN(Beräkningshjälp!AC$2)+1,FALSE),"")</f>
        <v/>
      </c>
      <c r="F349" s="352" t="str">
        <f t="shared" si="11"/>
        <v/>
      </c>
      <c r="G349" s="2" t="str">
        <f>IF(D349&lt;&gt;"",IF(VLOOKUP(VLOOKUP(E349,Beräkningshjälp!O$2:U$60,7,FALSE),Artuppgifter!$I$11:$P$22,8,FALSE)=TRUE,"Medelvikter!!","ALLA"),"")</f>
        <v/>
      </c>
      <c r="H349" s="2" t="str">
        <f>IF(D349&lt;&gt;"",VLOOKUP(ROW(H348),Beräkningshjälp!AC$2:AH$1082,COLUMN(Beräkningshjälp!AH$2)-COLUMN(Beräkningshjälp!AC$2)+1,FALSE),"")</f>
        <v/>
      </c>
      <c r="I349" s="116" t="str">
        <f>IF(D349&lt;&gt;"",VLOOKUP(ROW(E348),Beräkningshjälp!AC$2:AI$1082,COLUMN(Beräkningshjälp!AI$2)-COLUMN(Beräkningshjälp!AC$2)+1,FALSE),"")</f>
        <v/>
      </c>
    </row>
    <row r="350" spans="1:9" x14ac:dyDescent="0.25">
      <c r="A350" s="2" t="str">
        <f t="shared" si="10"/>
        <v/>
      </c>
      <c r="B350" s="136" t="str">
        <f>IF(D350&lt;&gt;"",'DATA TILL SLU'!$J$3,"")</f>
        <v/>
      </c>
      <c r="C350" s="146" t="str">
        <f>IF(D350&lt;&gt;"",'DATA TILL SLU'!$K$3,"")</f>
        <v/>
      </c>
      <c r="D350" s="2" t="str">
        <f>IF('DATA TILL SLU'!$D$7*1&lt;&gt;"",IF(COUNT(Beräkningshjälp!$AC$3:$AC$1082)&gt;=ROW(D349),'DATA TILL SLU'!$D$7*1,""),"")</f>
        <v/>
      </c>
      <c r="E350" s="136" t="str">
        <f>IF(D350&lt;&gt;"",VLOOKUP(ROW(E349),Beräkningshjälp!AC$2:AH$1082,COLUMN(Beräkningshjälp!AF$2)-COLUMN(Beräkningshjälp!AC$2)+1,FALSE),"")</f>
        <v/>
      </c>
      <c r="F350" s="352" t="str">
        <f t="shared" si="11"/>
        <v/>
      </c>
      <c r="G350" s="2" t="str">
        <f>IF(D350&lt;&gt;"",IF(VLOOKUP(VLOOKUP(E350,Beräkningshjälp!O$2:U$60,7,FALSE),Artuppgifter!$I$11:$P$22,8,FALSE)=TRUE,"Medelvikter!!","ALLA"),"")</f>
        <v/>
      </c>
      <c r="H350" s="2" t="str">
        <f>IF(D350&lt;&gt;"",VLOOKUP(ROW(H349),Beräkningshjälp!AC$2:AH$1082,COLUMN(Beräkningshjälp!AH$2)-COLUMN(Beräkningshjälp!AC$2)+1,FALSE),"")</f>
        <v/>
      </c>
      <c r="I350" s="116" t="str">
        <f>IF(D350&lt;&gt;"",VLOOKUP(ROW(E349),Beräkningshjälp!AC$2:AI$1082,COLUMN(Beräkningshjälp!AI$2)-COLUMN(Beräkningshjälp!AC$2)+1,FALSE),"")</f>
        <v/>
      </c>
    </row>
    <row r="351" spans="1:9" x14ac:dyDescent="0.25">
      <c r="A351" s="2" t="str">
        <f t="shared" si="10"/>
        <v/>
      </c>
      <c r="B351" s="136" t="str">
        <f>IF(D351&lt;&gt;"",'DATA TILL SLU'!$J$3,"")</f>
        <v/>
      </c>
      <c r="C351" s="146" t="str">
        <f>IF(D351&lt;&gt;"",'DATA TILL SLU'!$K$3,"")</f>
        <v/>
      </c>
      <c r="D351" s="2" t="str">
        <f>IF('DATA TILL SLU'!$D$7*1&lt;&gt;"",IF(COUNT(Beräkningshjälp!$AC$3:$AC$1082)&gt;=ROW(D350),'DATA TILL SLU'!$D$7*1,""),"")</f>
        <v/>
      </c>
      <c r="E351" s="136" t="str">
        <f>IF(D351&lt;&gt;"",VLOOKUP(ROW(E350),Beräkningshjälp!AC$2:AH$1082,COLUMN(Beräkningshjälp!AF$2)-COLUMN(Beräkningshjälp!AC$2)+1,FALSE),"")</f>
        <v/>
      </c>
      <c r="F351" s="352" t="str">
        <f t="shared" si="11"/>
        <v/>
      </c>
      <c r="G351" s="2" t="str">
        <f>IF(D351&lt;&gt;"",IF(VLOOKUP(VLOOKUP(E351,Beräkningshjälp!O$2:U$60,7,FALSE),Artuppgifter!$I$11:$P$22,8,FALSE)=TRUE,"Medelvikter!!","ALLA"),"")</f>
        <v/>
      </c>
      <c r="H351" s="2" t="str">
        <f>IF(D351&lt;&gt;"",VLOOKUP(ROW(H350),Beräkningshjälp!AC$2:AH$1082,COLUMN(Beräkningshjälp!AH$2)-COLUMN(Beräkningshjälp!AC$2)+1,FALSE),"")</f>
        <v/>
      </c>
      <c r="I351" s="116" t="str">
        <f>IF(D351&lt;&gt;"",VLOOKUP(ROW(E350),Beräkningshjälp!AC$2:AI$1082,COLUMN(Beräkningshjälp!AI$2)-COLUMN(Beräkningshjälp!AC$2)+1,FALSE),"")</f>
        <v/>
      </c>
    </row>
    <row r="352" spans="1:9" x14ac:dyDescent="0.25">
      <c r="A352" s="2" t="str">
        <f t="shared" si="10"/>
        <v/>
      </c>
      <c r="B352" s="136" t="str">
        <f>IF(D352&lt;&gt;"",'DATA TILL SLU'!$J$3,"")</f>
        <v/>
      </c>
      <c r="C352" s="146" t="str">
        <f>IF(D352&lt;&gt;"",'DATA TILL SLU'!$K$3,"")</f>
        <v/>
      </c>
      <c r="D352" s="2" t="str">
        <f>IF('DATA TILL SLU'!$D$7*1&lt;&gt;"",IF(COUNT(Beräkningshjälp!$AC$3:$AC$1082)&gt;=ROW(D351),'DATA TILL SLU'!$D$7*1,""),"")</f>
        <v/>
      </c>
      <c r="E352" s="136" t="str">
        <f>IF(D352&lt;&gt;"",VLOOKUP(ROW(E351),Beräkningshjälp!AC$2:AH$1082,COLUMN(Beräkningshjälp!AF$2)-COLUMN(Beräkningshjälp!AC$2)+1,FALSE),"")</f>
        <v/>
      </c>
      <c r="F352" s="352" t="str">
        <f t="shared" si="11"/>
        <v/>
      </c>
      <c r="G352" s="2" t="str">
        <f>IF(D352&lt;&gt;"",IF(VLOOKUP(VLOOKUP(E352,Beräkningshjälp!O$2:U$60,7,FALSE),Artuppgifter!$I$11:$P$22,8,FALSE)=TRUE,"Medelvikter!!","ALLA"),"")</f>
        <v/>
      </c>
      <c r="H352" s="2" t="str">
        <f>IF(D352&lt;&gt;"",VLOOKUP(ROW(H351),Beräkningshjälp!AC$2:AH$1082,COLUMN(Beräkningshjälp!AH$2)-COLUMN(Beräkningshjälp!AC$2)+1,FALSE),"")</f>
        <v/>
      </c>
      <c r="I352" s="116" t="str">
        <f>IF(D352&lt;&gt;"",VLOOKUP(ROW(E351),Beräkningshjälp!AC$2:AI$1082,COLUMN(Beräkningshjälp!AI$2)-COLUMN(Beräkningshjälp!AC$2)+1,FALSE),"")</f>
        <v/>
      </c>
    </row>
    <row r="353" spans="1:9" x14ac:dyDescent="0.25">
      <c r="A353" s="2" t="str">
        <f t="shared" si="10"/>
        <v/>
      </c>
      <c r="B353" s="136" t="str">
        <f>IF(D353&lt;&gt;"",'DATA TILL SLU'!$J$3,"")</f>
        <v/>
      </c>
      <c r="C353" s="146" t="str">
        <f>IF(D353&lt;&gt;"",'DATA TILL SLU'!$K$3,"")</f>
        <v/>
      </c>
      <c r="D353" s="2" t="str">
        <f>IF('DATA TILL SLU'!$D$7*1&lt;&gt;"",IF(COUNT(Beräkningshjälp!$AC$3:$AC$1082)&gt;=ROW(D352),'DATA TILL SLU'!$D$7*1,""),"")</f>
        <v/>
      </c>
      <c r="E353" s="136" t="str">
        <f>IF(D353&lt;&gt;"",VLOOKUP(ROW(E352),Beräkningshjälp!AC$2:AH$1082,COLUMN(Beräkningshjälp!AF$2)-COLUMN(Beräkningshjälp!AC$2)+1,FALSE),"")</f>
        <v/>
      </c>
      <c r="F353" s="352" t="str">
        <f t="shared" si="11"/>
        <v/>
      </c>
      <c r="G353" s="2" t="str">
        <f>IF(D353&lt;&gt;"",IF(VLOOKUP(VLOOKUP(E353,Beräkningshjälp!O$2:U$60,7,FALSE),Artuppgifter!$I$11:$P$22,8,FALSE)=TRUE,"Medelvikter!!","ALLA"),"")</f>
        <v/>
      </c>
      <c r="H353" s="2" t="str">
        <f>IF(D353&lt;&gt;"",VLOOKUP(ROW(H352),Beräkningshjälp!AC$2:AH$1082,COLUMN(Beräkningshjälp!AH$2)-COLUMN(Beräkningshjälp!AC$2)+1,FALSE),"")</f>
        <v/>
      </c>
      <c r="I353" s="116" t="str">
        <f>IF(D353&lt;&gt;"",VLOOKUP(ROW(E352),Beräkningshjälp!AC$2:AI$1082,COLUMN(Beräkningshjälp!AI$2)-COLUMN(Beräkningshjälp!AC$2)+1,FALSE),"")</f>
        <v/>
      </c>
    </row>
    <row r="354" spans="1:9" x14ac:dyDescent="0.25">
      <c r="A354" s="2" t="str">
        <f t="shared" si="10"/>
        <v/>
      </c>
      <c r="B354" s="136" t="str">
        <f>IF(D354&lt;&gt;"",'DATA TILL SLU'!$J$3,"")</f>
        <v/>
      </c>
      <c r="C354" s="146" t="str">
        <f>IF(D354&lt;&gt;"",'DATA TILL SLU'!$K$3,"")</f>
        <v/>
      </c>
      <c r="D354" s="2" t="str">
        <f>IF('DATA TILL SLU'!$D$7*1&lt;&gt;"",IF(COUNT(Beräkningshjälp!$AC$3:$AC$1082)&gt;=ROW(D353),'DATA TILL SLU'!$D$7*1,""),"")</f>
        <v/>
      </c>
      <c r="E354" s="136" t="str">
        <f>IF(D354&lt;&gt;"",VLOOKUP(ROW(E353),Beräkningshjälp!AC$2:AH$1082,COLUMN(Beräkningshjälp!AF$2)-COLUMN(Beräkningshjälp!AC$2)+1,FALSE),"")</f>
        <v/>
      </c>
      <c r="F354" s="352" t="str">
        <f t="shared" si="11"/>
        <v/>
      </c>
      <c r="G354" s="2" t="str">
        <f>IF(D354&lt;&gt;"",IF(VLOOKUP(VLOOKUP(E354,Beräkningshjälp!O$2:U$60,7,FALSE),Artuppgifter!$I$11:$P$22,8,FALSE)=TRUE,"Medelvikter!!","ALLA"),"")</f>
        <v/>
      </c>
      <c r="H354" s="2" t="str">
        <f>IF(D354&lt;&gt;"",VLOOKUP(ROW(H353),Beräkningshjälp!AC$2:AH$1082,COLUMN(Beräkningshjälp!AH$2)-COLUMN(Beräkningshjälp!AC$2)+1,FALSE),"")</f>
        <v/>
      </c>
      <c r="I354" s="116" t="str">
        <f>IF(D354&lt;&gt;"",VLOOKUP(ROW(E353),Beräkningshjälp!AC$2:AI$1082,COLUMN(Beräkningshjälp!AI$2)-COLUMN(Beräkningshjälp!AC$2)+1,FALSE),"")</f>
        <v/>
      </c>
    </row>
    <row r="355" spans="1:9" x14ac:dyDescent="0.25">
      <c r="A355" s="2" t="str">
        <f t="shared" si="10"/>
        <v/>
      </c>
      <c r="B355" s="136" t="str">
        <f>IF(D355&lt;&gt;"",'DATA TILL SLU'!$J$3,"")</f>
        <v/>
      </c>
      <c r="C355" s="146" t="str">
        <f>IF(D355&lt;&gt;"",'DATA TILL SLU'!$K$3,"")</f>
        <v/>
      </c>
      <c r="D355" s="2" t="str">
        <f>IF('DATA TILL SLU'!$D$7*1&lt;&gt;"",IF(COUNT(Beräkningshjälp!$AC$3:$AC$1082)&gt;=ROW(D354),'DATA TILL SLU'!$D$7*1,""),"")</f>
        <v/>
      </c>
      <c r="E355" s="136" t="str">
        <f>IF(D355&lt;&gt;"",VLOOKUP(ROW(E354),Beräkningshjälp!AC$2:AH$1082,COLUMN(Beräkningshjälp!AF$2)-COLUMN(Beräkningshjälp!AC$2)+1,FALSE),"")</f>
        <v/>
      </c>
      <c r="F355" s="352" t="str">
        <f t="shared" si="11"/>
        <v/>
      </c>
      <c r="G355" s="2" t="str">
        <f>IF(D355&lt;&gt;"",IF(VLOOKUP(VLOOKUP(E355,Beräkningshjälp!O$2:U$60,7,FALSE),Artuppgifter!$I$11:$P$22,8,FALSE)=TRUE,"Medelvikter!!","ALLA"),"")</f>
        <v/>
      </c>
      <c r="H355" s="2" t="str">
        <f>IF(D355&lt;&gt;"",VLOOKUP(ROW(H354),Beräkningshjälp!AC$2:AH$1082,COLUMN(Beräkningshjälp!AH$2)-COLUMN(Beräkningshjälp!AC$2)+1,FALSE),"")</f>
        <v/>
      </c>
      <c r="I355" s="116" t="str">
        <f>IF(D355&lt;&gt;"",VLOOKUP(ROW(E354),Beräkningshjälp!AC$2:AI$1082,COLUMN(Beräkningshjälp!AI$2)-COLUMN(Beräkningshjälp!AC$2)+1,FALSE),"")</f>
        <v/>
      </c>
    </row>
    <row r="356" spans="1:9" x14ac:dyDescent="0.25">
      <c r="A356" s="2" t="str">
        <f t="shared" si="10"/>
        <v/>
      </c>
      <c r="B356" s="136" t="str">
        <f>IF(D356&lt;&gt;"",'DATA TILL SLU'!$J$3,"")</f>
        <v/>
      </c>
      <c r="C356" s="146" t="str">
        <f>IF(D356&lt;&gt;"",'DATA TILL SLU'!$K$3,"")</f>
        <v/>
      </c>
      <c r="D356" s="2" t="str">
        <f>IF('DATA TILL SLU'!$D$7*1&lt;&gt;"",IF(COUNT(Beräkningshjälp!$AC$3:$AC$1082)&gt;=ROW(D355),'DATA TILL SLU'!$D$7*1,""),"")</f>
        <v/>
      </c>
      <c r="E356" s="136" t="str">
        <f>IF(D356&lt;&gt;"",VLOOKUP(ROW(E355),Beräkningshjälp!AC$2:AH$1082,COLUMN(Beräkningshjälp!AF$2)-COLUMN(Beräkningshjälp!AC$2)+1,FALSE),"")</f>
        <v/>
      </c>
      <c r="F356" s="352" t="str">
        <f t="shared" si="11"/>
        <v/>
      </c>
      <c r="G356" s="2" t="str">
        <f>IF(D356&lt;&gt;"",IF(VLOOKUP(VLOOKUP(E356,Beräkningshjälp!O$2:U$60,7,FALSE),Artuppgifter!$I$11:$P$22,8,FALSE)=TRUE,"Medelvikter!!","ALLA"),"")</f>
        <v/>
      </c>
      <c r="H356" s="2" t="str">
        <f>IF(D356&lt;&gt;"",VLOOKUP(ROW(H355),Beräkningshjälp!AC$2:AH$1082,COLUMN(Beräkningshjälp!AH$2)-COLUMN(Beräkningshjälp!AC$2)+1,FALSE),"")</f>
        <v/>
      </c>
      <c r="I356" s="116" t="str">
        <f>IF(D356&lt;&gt;"",VLOOKUP(ROW(E355),Beräkningshjälp!AC$2:AI$1082,COLUMN(Beräkningshjälp!AI$2)-COLUMN(Beräkningshjälp!AC$2)+1,FALSE),"")</f>
        <v/>
      </c>
    </row>
    <row r="357" spans="1:9" x14ac:dyDescent="0.25">
      <c r="A357" s="2" t="str">
        <f t="shared" si="10"/>
        <v/>
      </c>
      <c r="B357" s="136" t="str">
        <f>IF(D357&lt;&gt;"",'DATA TILL SLU'!$J$3,"")</f>
        <v/>
      </c>
      <c r="C357" s="146" t="str">
        <f>IF(D357&lt;&gt;"",'DATA TILL SLU'!$K$3,"")</f>
        <v/>
      </c>
      <c r="D357" s="2" t="str">
        <f>IF('DATA TILL SLU'!$D$7*1&lt;&gt;"",IF(COUNT(Beräkningshjälp!$AC$3:$AC$1082)&gt;=ROW(D356),'DATA TILL SLU'!$D$7*1,""),"")</f>
        <v/>
      </c>
      <c r="E357" s="136" t="str">
        <f>IF(D357&lt;&gt;"",VLOOKUP(ROW(E356),Beräkningshjälp!AC$2:AH$1082,COLUMN(Beräkningshjälp!AF$2)-COLUMN(Beräkningshjälp!AC$2)+1,FALSE),"")</f>
        <v/>
      </c>
      <c r="F357" s="352" t="str">
        <f t="shared" si="11"/>
        <v/>
      </c>
      <c r="G357" s="2" t="str">
        <f>IF(D357&lt;&gt;"",IF(VLOOKUP(VLOOKUP(E357,Beräkningshjälp!O$2:U$60,7,FALSE),Artuppgifter!$I$11:$P$22,8,FALSE)=TRUE,"Medelvikter!!","ALLA"),"")</f>
        <v/>
      </c>
      <c r="H357" s="2" t="str">
        <f>IF(D357&lt;&gt;"",VLOOKUP(ROW(H356),Beräkningshjälp!AC$2:AH$1082,COLUMN(Beräkningshjälp!AH$2)-COLUMN(Beräkningshjälp!AC$2)+1,FALSE),"")</f>
        <v/>
      </c>
      <c r="I357" s="116" t="str">
        <f>IF(D357&lt;&gt;"",VLOOKUP(ROW(E356),Beräkningshjälp!AC$2:AI$1082,COLUMN(Beräkningshjälp!AI$2)-COLUMN(Beräkningshjälp!AC$2)+1,FALSE),"")</f>
        <v/>
      </c>
    </row>
    <row r="358" spans="1:9" x14ac:dyDescent="0.25">
      <c r="A358" s="2" t="str">
        <f t="shared" si="10"/>
        <v/>
      </c>
      <c r="B358" s="136" t="str">
        <f>IF(D358&lt;&gt;"",'DATA TILL SLU'!$J$3,"")</f>
        <v/>
      </c>
      <c r="C358" s="146" t="str">
        <f>IF(D358&lt;&gt;"",'DATA TILL SLU'!$K$3,"")</f>
        <v/>
      </c>
      <c r="D358" s="2" t="str">
        <f>IF('DATA TILL SLU'!$D$7*1&lt;&gt;"",IF(COUNT(Beräkningshjälp!$AC$3:$AC$1082)&gt;=ROW(D357),'DATA TILL SLU'!$D$7*1,""),"")</f>
        <v/>
      </c>
      <c r="E358" s="136" t="str">
        <f>IF(D358&lt;&gt;"",VLOOKUP(ROW(E357),Beräkningshjälp!AC$2:AH$1082,COLUMN(Beräkningshjälp!AF$2)-COLUMN(Beräkningshjälp!AC$2)+1,FALSE),"")</f>
        <v/>
      </c>
      <c r="F358" s="352" t="str">
        <f t="shared" si="11"/>
        <v/>
      </c>
      <c r="G358" s="2" t="str">
        <f>IF(D358&lt;&gt;"",IF(VLOOKUP(VLOOKUP(E358,Beräkningshjälp!O$2:U$60,7,FALSE),Artuppgifter!$I$11:$P$22,8,FALSE)=TRUE,"Medelvikter!!","ALLA"),"")</f>
        <v/>
      </c>
      <c r="H358" s="2" t="str">
        <f>IF(D358&lt;&gt;"",VLOOKUP(ROW(H357),Beräkningshjälp!AC$2:AH$1082,COLUMN(Beräkningshjälp!AH$2)-COLUMN(Beräkningshjälp!AC$2)+1,FALSE),"")</f>
        <v/>
      </c>
      <c r="I358" s="116" t="str">
        <f>IF(D358&lt;&gt;"",VLOOKUP(ROW(E357),Beräkningshjälp!AC$2:AI$1082,COLUMN(Beräkningshjälp!AI$2)-COLUMN(Beräkningshjälp!AC$2)+1,FALSE),"")</f>
        <v/>
      </c>
    </row>
    <row r="359" spans="1:9" x14ac:dyDescent="0.25">
      <c r="A359" s="2" t="str">
        <f t="shared" si="10"/>
        <v/>
      </c>
      <c r="B359" s="136" t="str">
        <f>IF(D359&lt;&gt;"",'DATA TILL SLU'!$J$3,"")</f>
        <v/>
      </c>
      <c r="C359" s="146" t="str">
        <f>IF(D359&lt;&gt;"",'DATA TILL SLU'!$K$3,"")</f>
        <v/>
      </c>
      <c r="D359" s="2" t="str">
        <f>IF('DATA TILL SLU'!$D$7*1&lt;&gt;"",IF(COUNT(Beräkningshjälp!$AC$3:$AC$1082)&gt;=ROW(D358),'DATA TILL SLU'!$D$7*1,""),"")</f>
        <v/>
      </c>
      <c r="E359" s="136" t="str">
        <f>IF(D359&lt;&gt;"",VLOOKUP(ROW(E358),Beräkningshjälp!AC$2:AH$1082,COLUMN(Beräkningshjälp!AF$2)-COLUMN(Beräkningshjälp!AC$2)+1,FALSE),"")</f>
        <v/>
      </c>
      <c r="F359" s="352" t="str">
        <f t="shared" si="11"/>
        <v/>
      </c>
      <c r="G359" s="2" t="str">
        <f>IF(D359&lt;&gt;"",IF(VLOOKUP(VLOOKUP(E359,Beräkningshjälp!O$2:U$60,7,FALSE),Artuppgifter!$I$11:$P$22,8,FALSE)=TRUE,"Medelvikter!!","ALLA"),"")</f>
        <v/>
      </c>
      <c r="H359" s="2" t="str">
        <f>IF(D359&lt;&gt;"",VLOOKUP(ROW(H358),Beräkningshjälp!AC$2:AH$1082,COLUMN(Beräkningshjälp!AH$2)-COLUMN(Beräkningshjälp!AC$2)+1,FALSE),"")</f>
        <v/>
      </c>
      <c r="I359" s="116" t="str">
        <f>IF(D359&lt;&gt;"",VLOOKUP(ROW(E358),Beräkningshjälp!AC$2:AI$1082,COLUMN(Beräkningshjälp!AI$2)-COLUMN(Beräkningshjälp!AC$2)+1,FALSE),"")</f>
        <v/>
      </c>
    </row>
    <row r="360" spans="1:9" x14ac:dyDescent="0.25">
      <c r="A360" s="2" t="str">
        <f t="shared" si="10"/>
        <v/>
      </c>
      <c r="B360" s="136" t="str">
        <f>IF(D360&lt;&gt;"",'DATA TILL SLU'!$J$3,"")</f>
        <v/>
      </c>
      <c r="C360" s="146" t="str">
        <f>IF(D360&lt;&gt;"",'DATA TILL SLU'!$K$3,"")</f>
        <v/>
      </c>
      <c r="D360" s="2" t="str">
        <f>IF('DATA TILL SLU'!$D$7*1&lt;&gt;"",IF(COUNT(Beräkningshjälp!$AC$3:$AC$1082)&gt;=ROW(D359),'DATA TILL SLU'!$D$7*1,""),"")</f>
        <v/>
      </c>
      <c r="E360" s="136" t="str">
        <f>IF(D360&lt;&gt;"",VLOOKUP(ROW(E359),Beräkningshjälp!AC$2:AH$1082,COLUMN(Beräkningshjälp!AF$2)-COLUMN(Beräkningshjälp!AC$2)+1,FALSE),"")</f>
        <v/>
      </c>
      <c r="F360" s="352" t="str">
        <f t="shared" si="11"/>
        <v/>
      </c>
      <c r="G360" s="2" t="str">
        <f>IF(D360&lt;&gt;"",IF(VLOOKUP(VLOOKUP(E360,Beräkningshjälp!O$2:U$60,7,FALSE),Artuppgifter!$I$11:$P$22,8,FALSE)=TRUE,"Medelvikter!!","ALLA"),"")</f>
        <v/>
      </c>
      <c r="H360" s="2" t="str">
        <f>IF(D360&lt;&gt;"",VLOOKUP(ROW(H359),Beräkningshjälp!AC$2:AH$1082,COLUMN(Beräkningshjälp!AH$2)-COLUMN(Beräkningshjälp!AC$2)+1,FALSE),"")</f>
        <v/>
      </c>
      <c r="I360" s="116" t="str">
        <f>IF(D360&lt;&gt;"",VLOOKUP(ROW(E359),Beräkningshjälp!AC$2:AI$1082,COLUMN(Beräkningshjälp!AI$2)-COLUMN(Beräkningshjälp!AC$2)+1,FALSE),"")</f>
        <v/>
      </c>
    </row>
    <row r="361" spans="1:9" x14ac:dyDescent="0.25">
      <c r="A361" s="2" t="str">
        <f t="shared" si="10"/>
        <v/>
      </c>
      <c r="B361" s="136" t="str">
        <f>IF(D361&lt;&gt;"",'DATA TILL SLU'!$J$3,"")</f>
        <v/>
      </c>
      <c r="C361" s="146" t="str">
        <f>IF(D361&lt;&gt;"",'DATA TILL SLU'!$K$3,"")</f>
        <v/>
      </c>
      <c r="D361" s="2" t="str">
        <f>IF('DATA TILL SLU'!$D$7*1&lt;&gt;"",IF(COUNT(Beräkningshjälp!$AC$3:$AC$1082)&gt;=ROW(D360),'DATA TILL SLU'!$D$7*1,""),"")</f>
        <v/>
      </c>
      <c r="E361" s="136" t="str">
        <f>IF(D361&lt;&gt;"",VLOOKUP(ROW(E360),Beräkningshjälp!AC$2:AH$1082,COLUMN(Beräkningshjälp!AF$2)-COLUMN(Beräkningshjälp!AC$2)+1,FALSE),"")</f>
        <v/>
      </c>
      <c r="F361" s="352" t="str">
        <f t="shared" si="11"/>
        <v/>
      </c>
      <c r="G361" s="2" t="str">
        <f>IF(D361&lt;&gt;"",IF(VLOOKUP(VLOOKUP(E361,Beräkningshjälp!O$2:U$60,7,FALSE),Artuppgifter!$I$11:$P$22,8,FALSE)=TRUE,"Medelvikter!!","ALLA"),"")</f>
        <v/>
      </c>
      <c r="H361" s="2" t="str">
        <f>IF(D361&lt;&gt;"",VLOOKUP(ROW(H360),Beräkningshjälp!AC$2:AH$1082,COLUMN(Beräkningshjälp!AH$2)-COLUMN(Beräkningshjälp!AC$2)+1,FALSE),"")</f>
        <v/>
      </c>
      <c r="I361" s="116" t="str">
        <f>IF(D361&lt;&gt;"",VLOOKUP(ROW(E360),Beräkningshjälp!AC$2:AI$1082,COLUMN(Beräkningshjälp!AI$2)-COLUMN(Beräkningshjälp!AC$2)+1,FALSE),"")</f>
        <v/>
      </c>
    </row>
    <row r="362" spans="1:9" x14ac:dyDescent="0.25">
      <c r="A362" s="2" t="str">
        <f t="shared" si="10"/>
        <v/>
      </c>
      <c r="B362" s="136" t="str">
        <f>IF(D362&lt;&gt;"",'DATA TILL SLU'!$J$3,"")</f>
        <v/>
      </c>
      <c r="C362" s="146" t="str">
        <f>IF(D362&lt;&gt;"",'DATA TILL SLU'!$K$3,"")</f>
        <v/>
      </c>
      <c r="D362" s="2" t="str">
        <f>IF('DATA TILL SLU'!$D$7*1&lt;&gt;"",IF(COUNT(Beräkningshjälp!$AC$3:$AC$1082)&gt;=ROW(D361),'DATA TILL SLU'!$D$7*1,""),"")</f>
        <v/>
      </c>
      <c r="E362" s="136" t="str">
        <f>IF(D362&lt;&gt;"",VLOOKUP(ROW(E361),Beräkningshjälp!AC$2:AH$1082,COLUMN(Beräkningshjälp!AF$2)-COLUMN(Beräkningshjälp!AC$2)+1,FALSE),"")</f>
        <v/>
      </c>
      <c r="F362" s="352" t="str">
        <f t="shared" si="11"/>
        <v/>
      </c>
      <c r="G362" s="2" t="str">
        <f>IF(D362&lt;&gt;"",IF(VLOOKUP(VLOOKUP(E362,Beräkningshjälp!O$2:U$60,7,FALSE),Artuppgifter!$I$11:$P$22,8,FALSE)=TRUE,"Medelvikter!!","ALLA"),"")</f>
        <v/>
      </c>
      <c r="H362" s="2" t="str">
        <f>IF(D362&lt;&gt;"",VLOOKUP(ROW(H361),Beräkningshjälp!AC$2:AH$1082,COLUMN(Beräkningshjälp!AH$2)-COLUMN(Beräkningshjälp!AC$2)+1,FALSE),"")</f>
        <v/>
      </c>
      <c r="I362" s="116" t="str">
        <f>IF(D362&lt;&gt;"",VLOOKUP(ROW(E361),Beräkningshjälp!AC$2:AI$1082,COLUMN(Beräkningshjälp!AI$2)-COLUMN(Beräkningshjälp!AC$2)+1,FALSE),"")</f>
        <v/>
      </c>
    </row>
    <row r="363" spans="1:9" x14ac:dyDescent="0.25">
      <c r="A363" s="2" t="str">
        <f t="shared" si="10"/>
        <v/>
      </c>
      <c r="B363" s="136" t="str">
        <f>IF(D363&lt;&gt;"",'DATA TILL SLU'!$J$3,"")</f>
        <v/>
      </c>
      <c r="C363" s="146" t="str">
        <f>IF(D363&lt;&gt;"",'DATA TILL SLU'!$K$3,"")</f>
        <v/>
      </c>
      <c r="D363" s="2" t="str">
        <f>IF('DATA TILL SLU'!$D$7*1&lt;&gt;"",IF(COUNT(Beräkningshjälp!$AC$3:$AC$1082)&gt;=ROW(D362),'DATA TILL SLU'!$D$7*1,""),"")</f>
        <v/>
      </c>
      <c r="E363" s="136" t="str">
        <f>IF(D363&lt;&gt;"",VLOOKUP(ROW(E362),Beräkningshjälp!AC$2:AH$1082,COLUMN(Beräkningshjälp!AF$2)-COLUMN(Beräkningshjälp!AC$2)+1,FALSE),"")</f>
        <v/>
      </c>
      <c r="F363" s="352" t="str">
        <f t="shared" si="11"/>
        <v/>
      </c>
      <c r="G363" s="2" t="str">
        <f>IF(D363&lt;&gt;"",IF(VLOOKUP(VLOOKUP(E363,Beräkningshjälp!O$2:U$60,7,FALSE),Artuppgifter!$I$11:$P$22,8,FALSE)=TRUE,"Medelvikter!!","ALLA"),"")</f>
        <v/>
      </c>
      <c r="H363" s="2" t="str">
        <f>IF(D363&lt;&gt;"",VLOOKUP(ROW(H362),Beräkningshjälp!AC$2:AH$1082,COLUMN(Beräkningshjälp!AH$2)-COLUMN(Beräkningshjälp!AC$2)+1,FALSE),"")</f>
        <v/>
      </c>
      <c r="I363" s="116" t="str">
        <f>IF(D363&lt;&gt;"",VLOOKUP(ROW(E362),Beräkningshjälp!AC$2:AI$1082,COLUMN(Beräkningshjälp!AI$2)-COLUMN(Beräkningshjälp!AC$2)+1,FALSE),"")</f>
        <v/>
      </c>
    </row>
    <row r="364" spans="1:9" x14ac:dyDescent="0.25">
      <c r="A364" s="2" t="str">
        <f t="shared" si="10"/>
        <v/>
      </c>
      <c r="B364" s="136" t="str">
        <f>IF(D364&lt;&gt;"",'DATA TILL SLU'!$J$3,"")</f>
        <v/>
      </c>
      <c r="C364" s="146" t="str">
        <f>IF(D364&lt;&gt;"",'DATA TILL SLU'!$K$3,"")</f>
        <v/>
      </c>
      <c r="D364" s="2" t="str">
        <f>IF('DATA TILL SLU'!$D$7*1&lt;&gt;"",IF(COUNT(Beräkningshjälp!$AC$3:$AC$1082)&gt;=ROW(D363),'DATA TILL SLU'!$D$7*1,""),"")</f>
        <v/>
      </c>
      <c r="E364" s="136" t="str">
        <f>IF(D364&lt;&gt;"",VLOOKUP(ROW(E363),Beräkningshjälp!AC$2:AH$1082,COLUMN(Beräkningshjälp!AF$2)-COLUMN(Beräkningshjälp!AC$2)+1,FALSE),"")</f>
        <v/>
      </c>
      <c r="F364" s="352" t="str">
        <f t="shared" si="11"/>
        <v/>
      </c>
      <c r="G364" s="2" t="str">
        <f>IF(D364&lt;&gt;"",IF(VLOOKUP(VLOOKUP(E364,Beräkningshjälp!O$2:U$60,7,FALSE),Artuppgifter!$I$11:$P$22,8,FALSE)=TRUE,"Medelvikter!!","ALLA"),"")</f>
        <v/>
      </c>
      <c r="H364" s="2" t="str">
        <f>IF(D364&lt;&gt;"",VLOOKUP(ROW(H363),Beräkningshjälp!AC$2:AH$1082,COLUMN(Beräkningshjälp!AH$2)-COLUMN(Beräkningshjälp!AC$2)+1,FALSE),"")</f>
        <v/>
      </c>
      <c r="I364" s="116" t="str">
        <f>IF(D364&lt;&gt;"",VLOOKUP(ROW(E363),Beräkningshjälp!AC$2:AI$1082,COLUMN(Beräkningshjälp!AI$2)-COLUMN(Beräkningshjälp!AC$2)+1,FALSE),"")</f>
        <v/>
      </c>
    </row>
    <row r="365" spans="1:9" x14ac:dyDescent="0.25">
      <c r="A365" s="2" t="str">
        <f t="shared" si="10"/>
        <v/>
      </c>
      <c r="B365" s="136" t="str">
        <f>IF(D365&lt;&gt;"",'DATA TILL SLU'!$J$3,"")</f>
        <v/>
      </c>
      <c r="C365" s="146" t="str">
        <f>IF(D365&lt;&gt;"",'DATA TILL SLU'!$K$3,"")</f>
        <v/>
      </c>
      <c r="D365" s="2" t="str">
        <f>IF('DATA TILL SLU'!$D$7*1&lt;&gt;"",IF(COUNT(Beräkningshjälp!$AC$3:$AC$1082)&gt;=ROW(D364),'DATA TILL SLU'!$D$7*1,""),"")</f>
        <v/>
      </c>
      <c r="E365" s="136" t="str">
        <f>IF(D365&lt;&gt;"",VLOOKUP(ROW(E364),Beräkningshjälp!AC$2:AH$1082,COLUMN(Beräkningshjälp!AF$2)-COLUMN(Beräkningshjälp!AC$2)+1,FALSE),"")</f>
        <v/>
      </c>
      <c r="F365" s="352" t="str">
        <f t="shared" si="11"/>
        <v/>
      </c>
      <c r="G365" s="2" t="str">
        <f>IF(D365&lt;&gt;"",IF(VLOOKUP(VLOOKUP(E365,Beräkningshjälp!O$2:U$60,7,FALSE),Artuppgifter!$I$11:$P$22,8,FALSE)=TRUE,"Medelvikter!!","ALLA"),"")</f>
        <v/>
      </c>
      <c r="H365" s="2" t="str">
        <f>IF(D365&lt;&gt;"",VLOOKUP(ROW(H364),Beräkningshjälp!AC$2:AH$1082,COLUMN(Beräkningshjälp!AH$2)-COLUMN(Beräkningshjälp!AC$2)+1,FALSE),"")</f>
        <v/>
      </c>
      <c r="I365" s="116" t="str">
        <f>IF(D365&lt;&gt;"",VLOOKUP(ROW(E364),Beräkningshjälp!AC$2:AI$1082,COLUMN(Beräkningshjälp!AI$2)-COLUMN(Beräkningshjälp!AC$2)+1,FALSE),"")</f>
        <v/>
      </c>
    </row>
    <row r="366" spans="1:9" x14ac:dyDescent="0.25">
      <c r="A366" s="2" t="str">
        <f t="shared" si="10"/>
        <v/>
      </c>
      <c r="B366" s="136" t="str">
        <f>IF(D366&lt;&gt;"",'DATA TILL SLU'!$J$3,"")</f>
        <v/>
      </c>
      <c r="C366" s="146" t="str">
        <f>IF(D366&lt;&gt;"",'DATA TILL SLU'!$K$3,"")</f>
        <v/>
      </c>
      <c r="D366" s="2" t="str">
        <f>IF('DATA TILL SLU'!$D$7*1&lt;&gt;"",IF(COUNT(Beräkningshjälp!$AC$3:$AC$1082)&gt;=ROW(D365),'DATA TILL SLU'!$D$7*1,""),"")</f>
        <v/>
      </c>
      <c r="E366" s="136" t="str">
        <f>IF(D366&lt;&gt;"",VLOOKUP(ROW(E365),Beräkningshjälp!AC$2:AH$1082,COLUMN(Beräkningshjälp!AF$2)-COLUMN(Beräkningshjälp!AC$2)+1,FALSE),"")</f>
        <v/>
      </c>
      <c r="F366" s="352" t="str">
        <f t="shared" si="11"/>
        <v/>
      </c>
      <c r="G366" s="2" t="str">
        <f>IF(D366&lt;&gt;"",IF(VLOOKUP(VLOOKUP(E366,Beräkningshjälp!O$2:U$60,7,FALSE),Artuppgifter!$I$11:$P$22,8,FALSE)=TRUE,"Medelvikter!!","ALLA"),"")</f>
        <v/>
      </c>
      <c r="H366" s="2" t="str">
        <f>IF(D366&lt;&gt;"",VLOOKUP(ROW(H365),Beräkningshjälp!AC$2:AH$1082,COLUMN(Beräkningshjälp!AH$2)-COLUMN(Beräkningshjälp!AC$2)+1,FALSE),"")</f>
        <v/>
      </c>
      <c r="I366" s="116" t="str">
        <f>IF(D366&lt;&gt;"",VLOOKUP(ROW(E365),Beräkningshjälp!AC$2:AI$1082,COLUMN(Beräkningshjälp!AI$2)-COLUMN(Beräkningshjälp!AC$2)+1,FALSE),"")</f>
        <v/>
      </c>
    </row>
    <row r="367" spans="1:9" x14ac:dyDescent="0.25">
      <c r="A367" s="2" t="str">
        <f t="shared" si="10"/>
        <v/>
      </c>
      <c r="B367" s="136" t="str">
        <f>IF(D367&lt;&gt;"",'DATA TILL SLU'!$J$3,"")</f>
        <v/>
      </c>
      <c r="C367" s="146" t="str">
        <f>IF(D367&lt;&gt;"",'DATA TILL SLU'!$K$3,"")</f>
        <v/>
      </c>
      <c r="D367" s="2" t="str">
        <f>IF('DATA TILL SLU'!$D$7*1&lt;&gt;"",IF(COUNT(Beräkningshjälp!$AC$3:$AC$1082)&gt;=ROW(D366),'DATA TILL SLU'!$D$7*1,""),"")</f>
        <v/>
      </c>
      <c r="E367" s="136" t="str">
        <f>IF(D367&lt;&gt;"",VLOOKUP(ROW(E366),Beräkningshjälp!AC$2:AH$1082,COLUMN(Beräkningshjälp!AF$2)-COLUMN(Beräkningshjälp!AC$2)+1,FALSE),"")</f>
        <v/>
      </c>
      <c r="F367" s="352" t="str">
        <f t="shared" si="11"/>
        <v/>
      </c>
      <c r="G367" s="2" t="str">
        <f>IF(D367&lt;&gt;"",IF(VLOOKUP(VLOOKUP(E367,Beräkningshjälp!O$2:U$60,7,FALSE),Artuppgifter!$I$11:$P$22,8,FALSE)=TRUE,"Medelvikter!!","ALLA"),"")</f>
        <v/>
      </c>
      <c r="H367" s="2" t="str">
        <f>IF(D367&lt;&gt;"",VLOOKUP(ROW(H366),Beräkningshjälp!AC$2:AH$1082,COLUMN(Beräkningshjälp!AH$2)-COLUMN(Beräkningshjälp!AC$2)+1,FALSE),"")</f>
        <v/>
      </c>
      <c r="I367" s="116" t="str">
        <f>IF(D367&lt;&gt;"",VLOOKUP(ROW(E366),Beräkningshjälp!AC$2:AI$1082,COLUMN(Beräkningshjälp!AI$2)-COLUMN(Beräkningshjälp!AC$2)+1,FALSE),"")</f>
        <v/>
      </c>
    </row>
    <row r="368" spans="1:9" x14ac:dyDescent="0.25">
      <c r="A368" s="2" t="str">
        <f t="shared" si="10"/>
        <v/>
      </c>
      <c r="B368" s="136" t="str">
        <f>IF(D368&lt;&gt;"",'DATA TILL SLU'!$J$3,"")</f>
        <v/>
      </c>
      <c r="C368" s="146" t="str">
        <f>IF(D368&lt;&gt;"",'DATA TILL SLU'!$K$3,"")</f>
        <v/>
      </c>
      <c r="D368" s="2" t="str">
        <f>IF('DATA TILL SLU'!$D$7*1&lt;&gt;"",IF(COUNT(Beräkningshjälp!$AC$3:$AC$1082)&gt;=ROW(D367),'DATA TILL SLU'!$D$7*1,""),"")</f>
        <v/>
      </c>
      <c r="E368" s="136" t="str">
        <f>IF(D368&lt;&gt;"",VLOOKUP(ROW(E367),Beräkningshjälp!AC$2:AH$1082,COLUMN(Beräkningshjälp!AF$2)-COLUMN(Beräkningshjälp!AC$2)+1,FALSE),"")</f>
        <v/>
      </c>
      <c r="F368" s="352" t="str">
        <f t="shared" si="11"/>
        <v/>
      </c>
      <c r="G368" s="2" t="str">
        <f>IF(D368&lt;&gt;"",IF(VLOOKUP(VLOOKUP(E368,Beräkningshjälp!O$2:U$60,7,FALSE),Artuppgifter!$I$11:$P$22,8,FALSE)=TRUE,"Medelvikter!!","ALLA"),"")</f>
        <v/>
      </c>
      <c r="H368" s="2" t="str">
        <f>IF(D368&lt;&gt;"",VLOOKUP(ROW(H367),Beräkningshjälp!AC$2:AH$1082,COLUMN(Beräkningshjälp!AH$2)-COLUMN(Beräkningshjälp!AC$2)+1,FALSE),"")</f>
        <v/>
      </c>
      <c r="I368" s="116" t="str">
        <f>IF(D368&lt;&gt;"",VLOOKUP(ROW(E367),Beräkningshjälp!AC$2:AI$1082,COLUMN(Beräkningshjälp!AI$2)-COLUMN(Beräkningshjälp!AC$2)+1,FALSE),"")</f>
        <v/>
      </c>
    </row>
    <row r="369" spans="1:9" x14ac:dyDescent="0.25">
      <c r="A369" s="2" t="str">
        <f t="shared" si="10"/>
        <v/>
      </c>
      <c r="B369" s="136" t="str">
        <f>IF(D369&lt;&gt;"",'DATA TILL SLU'!$J$3,"")</f>
        <v/>
      </c>
      <c r="C369" s="146" t="str">
        <f>IF(D369&lt;&gt;"",'DATA TILL SLU'!$K$3,"")</f>
        <v/>
      </c>
      <c r="D369" s="2" t="str">
        <f>IF('DATA TILL SLU'!$D$7*1&lt;&gt;"",IF(COUNT(Beräkningshjälp!$AC$3:$AC$1082)&gt;=ROW(D368),'DATA TILL SLU'!$D$7*1,""),"")</f>
        <v/>
      </c>
      <c r="E369" s="136" t="str">
        <f>IF(D369&lt;&gt;"",VLOOKUP(ROW(E368),Beräkningshjälp!AC$2:AH$1082,COLUMN(Beräkningshjälp!AF$2)-COLUMN(Beräkningshjälp!AC$2)+1,FALSE),"")</f>
        <v/>
      </c>
      <c r="F369" s="352" t="str">
        <f t="shared" si="11"/>
        <v/>
      </c>
      <c r="G369" s="2" t="str">
        <f>IF(D369&lt;&gt;"",IF(VLOOKUP(VLOOKUP(E369,Beräkningshjälp!O$2:U$60,7,FALSE),Artuppgifter!$I$11:$P$22,8,FALSE)=TRUE,"Medelvikter!!","ALLA"),"")</f>
        <v/>
      </c>
      <c r="H369" s="2" t="str">
        <f>IF(D369&lt;&gt;"",VLOOKUP(ROW(H368),Beräkningshjälp!AC$2:AH$1082,COLUMN(Beräkningshjälp!AH$2)-COLUMN(Beräkningshjälp!AC$2)+1,FALSE),"")</f>
        <v/>
      </c>
      <c r="I369" s="116" t="str">
        <f>IF(D369&lt;&gt;"",VLOOKUP(ROW(E368),Beräkningshjälp!AC$2:AI$1082,COLUMN(Beräkningshjälp!AI$2)-COLUMN(Beräkningshjälp!AC$2)+1,FALSE),"")</f>
        <v/>
      </c>
    </row>
    <row r="370" spans="1:9" x14ac:dyDescent="0.25">
      <c r="A370" s="2" t="str">
        <f t="shared" si="10"/>
        <v/>
      </c>
      <c r="B370" s="136" t="str">
        <f>IF(D370&lt;&gt;"",'DATA TILL SLU'!$J$3,"")</f>
        <v/>
      </c>
      <c r="C370" s="146" t="str">
        <f>IF(D370&lt;&gt;"",'DATA TILL SLU'!$K$3,"")</f>
        <v/>
      </c>
      <c r="D370" s="2" t="str">
        <f>IF('DATA TILL SLU'!$D$7*1&lt;&gt;"",IF(COUNT(Beräkningshjälp!$AC$3:$AC$1082)&gt;=ROW(D369),'DATA TILL SLU'!$D$7*1,""),"")</f>
        <v/>
      </c>
      <c r="E370" s="136" t="str">
        <f>IF(D370&lt;&gt;"",VLOOKUP(ROW(E369),Beräkningshjälp!AC$2:AH$1082,COLUMN(Beräkningshjälp!AF$2)-COLUMN(Beräkningshjälp!AC$2)+1,FALSE),"")</f>
        <v/>
      </c>
      <c r="F370" s="352" t="str">
        <f t="shared" si="11"/>
        <v/>
      </c>
      <c r="G370" s="2" t="str">
        <f>IF(D370&lt;&gt;"",IF(VLOOKUP(VLOOKUP(E370,Beräkningshjälp!O$2:U$60,7,FALSE),Artuppgifter!$I$11:$P$22,8,FALSE)=TRUE,"Medelvikter!!","ALLA"),"")</f>
        <v/>
      </c>
      <c r="H370" s="2" t="str">
        <f>IF(D370&lt;&gt;"",VLOOKUP(ROW(H369),Beräkningshjälp!AC$2:AH$1082,COLUMN(Beräkningshjälp!AH$2)-COLUMN(Beräkningshjälp!AC$2)+1,FALSE),"")</f>
        <v/>
      </c>
      <c r="I370" s="116" t="str">
        <f>IF(D370&lt;&gt;"",VLOOKUP(ROW(E369),Beräkningshjälp!AC$2:AI$1082,COLUMN(Beräkningshjälp!AI$2)-COLUMN(Beräkningshjälp!AC$2)+1,FALSE),"")</f>
        <v/>
      </c>
    </row>
    <row r="371" spans="1:9" x14ac:dyDescent="0.25">
      <c r="A371" s="2" t="str">
        <f t="shared" si="10"/>
        <v/>
      </c>
      <c r="B371" s="136" t="str">
        <f>IF(D371&lt;&gt;"",'DATA TILL SLU'!$J$3,"")</f>
        <v/>
      </c>
      <c r="C371" s="146" t="str">
        <f>IF(D371&lt;&gt;"",'DATA TILL SLU'!$K$3,"")</f>
        <v/>
      </c>
      <c r="D371" s="2" t="str">
        <f>IF('DATA TILL SLU'!$D$7*1&lt;&gt;"",IF(COUNT(Beräkningshjälp!$AC$3:$AC$1082)&gt;=ROW(D370),'DATA TILL SLU'!$D$7*1,""),"")</f>
        <v/>
      </c>
      <c r="E371" s="136" t="str">
        <f>IF(D371&lt;&gt;"",VLOOKUP(ROW(E370),Beräkningshjälp!AC$2:AH$1082,COLUMN(Beräkningshjälp!AF$2)-COLUMN(Beräkningshjälp!AC$2)+1,FALSE),"")</f>
        <v/>
      </c>
      <c r="F371" s="352" t="str">
        <f t="shared" si="11"/>
        <v/>
      </c>
      <c r="G371" s="2" t="str">
        <f>IF(D371&lt;&gt;"",IF(VLOOKUP(VLOOKUP(E371,Beräkningshjälp!O$2:U$60,7,FALSE),Artuppgifter!$I$11:$P$22,8,FALSE)=TRUE,"Medelvikter!!","ALLA"),"")</f>
        <v/>
      </c>
      <c r="H371" s="2" t="str">
        <f>IF(D371&lt;&gt;"",VLOOKUP(ROW(H370),Beräkningshjälp!AC$2:AH$1082,COLUMN(Beräkningshjälp!AH$2)-COLUMN(Beräkningshjälp!AC$2)+1,FALSE),"")</f>
        <v/>
      </c>
      <c r="I371" s="116" t="str">
        <f>IF(D371&lt;&gt;"",VLOOKUP(ROW(E370),Beräkningshjälp!AC$2:AI$1082,COLUMN(Beräkningshjälp!AI$2)-COLUMN(Beräkningshjälp!AC$2)+1,FALSE),"")</f>
        <v/>
      </c>
    </row>
    <row r="372" spans="1:9" x14ac:dyDescent="0.25">
      <c r="A372" s="2" t="str">
        <f t="shared" si="10"/>
        <v/>
      </c>
      <c r="B372" s="136" t="str">
        <f>IF(D372&lt;&gt;"",'DATA TILL SLU'!$J$3,"")</f>
        <v/>
      </c>
      <c r="C372" s="146" t="str">
        <f>IF(D372&lt;&gt;"",'DATA TILL SLU'!$K$3,"")</f>
        <v/>
      </c>
      <c r="D372" s="2" t="str">
        <f>IF('DATA TILL SLU'!$D$7*1&lt;&gt;"",IF(COUNT(Beräkningshjälp!$AC$3:$AC$1082)&gt;=ROW(D371),'DATA TILL SLU'!$D$7*1,""),"")</f>
        <v/>
      </c>
      <c r="E372" s="136" t="str">
        <f>IF(D372&lt;&gt;"",VLOOKUP(ROW(E371),Beräkningshjälp!AC$2:AH$1082,COLUMN(Beräkningshjälp!AF$2)-COLUMN(Beräkningshjälp!AC$2)+1,FALSE),"")</f>
        <v/>
      </c>
      <c r="F372" s="352" t="str">
        <f t="shared" si="11"/>
        <v/>
      </c>
      <c r="G372" s="2" t="str">
        <f>IF(D372&lt;&gt;"",IF(VLOOKUP(VLOOKUP(E372,Beräkningshjälp!O$2:U$60,7,FALSE),Artuppgifter!$I$11:$P$22,8,FALSE)=TRUE,"Medelvikter!!","ALLA"),"")</f>
        <v/>
      </c>
      <c r="H372" s="2" t="str">
        <f>IF(D372&lt;&gt;"",VLOOKUP(ROW(H371),Beräkningshjälp!AC$2:AH$1082,COLUMN(Beräkningshjälp!AH$2)-COLUMN(Beräkningshjälp!AC$2)+1,FALSE),"")</f>
        <v/>
      </c>
      <c r="I372" s="116" t="str">
        <f>IF(D372&lt;&gt;"",VLOOKUP(ROW(E371),Beräkningshjälp!AC$2:AI$1082,COLUMN(Beräkningshjälp!AI$2)-COLUMN(Beräkningshjälp!AC$2)+1,FALSE),"")</f>
        <v/>
      </c>
    </row>
    <row r="373" spans="1:9" x14ac:dyDescent="0.25">
      <c r="A373" s="2" t="str">
        <f t="shared" si="10"/>
        <v/>
      </c>
      <c r="B373" s="136" t="str">
        <f>IF(D373&lt;&gt;"",'DATA TILL SLU'!$J$3,"")</f>
        <v/>
      </c>
      <c r="C373" s="146" t="str">
        <f>IF(D373&lt;&gt;"",'DATA TILL SLU'!$K$3,"")</f>
        <v/>
      </c>
      <c r="D373" s="2" t="str">
        <f>IF('DATA TILL SLU'!$D$7*1&lt;&gt;"",IF(COUNT(Beräkningshjälp!$AC$3:$AC$1082)&gt;=ROW(D372),'DATA TILL SLU'!$D$7*1,""),"")</f>
        <v/>
      </c>
      <c r="E373" s="136" t="str">
        <f>IF(D373&lt;&gt;"",VLOOKUP(ROW(E372),Beräkningshjälp!AC$2:AH$1082,COLUMN(Beräkningshjälp!AF$2)-COLUMN(Beräkningshjälp!AC$2)+1,FALSE),"")</f>
        <v/>
      </c>
      <c r="F373" s="352" t="str">
        <f t="shared" si="11"/>
        <v/>
      </c>
      <c r="G373" s="2" t="str">
        <f>IF(D373&lt;&gt;"",IF(VLOOKUP(VLOOKUP(E373,Beräkningshjälp!O$2:U$60,7,FALSE),Artuppgifter!$I$11:$P$22,8,FALSE)=TRUE,"Medelvikter!!","ALLA"),"")</f>
        <v/>
      </c>
      <c r="H373" s="2" t="str">
        <f>IF(D373&lt;&gt;"",VLOOKUP(ROW(H372),Beräkningshjälp!AC$2:AH$1082,COLUMN(Beräkningshjälp!AH$2)-COLUMN(Beräkningshjälp!AC$2)+1,FALSE),"")</f>
        <v/>
      </c>
      <c r="I373" s="116" t="str">
        <f>IF(D373&lt;&gt;"",VLOOKUP(ROW(E372),Beräkningshjälp!AC$2:AI$1082,COLUMN(Beräkningshjälp!AI$2)-COLUMN(Beräkningshjälp!AC$2)+1,FALSE),"")</f>
        <v/>
      </c>
    </row>
    <row r="374" spans="1:9" x14ac:dyDescent="0.25">
      <c r="A374" s="2" t="str">
        <f t="shared" si="10"/>
        <v/>
      </c>
      <c r="B374" s="136" t="str">
        <f>IF(D374&lt;&gt;"",'DATA TILL SLU'!$J$3,"")</f>
        <v/>
      </c>
      <c r="C374" s="146" t="str">
        <f>IF(D374&lt;&gt;"",'DATA TILL SLU'!$K$3,"")</f>
        <v/>
      </c>
      <c r="D374" s="2" t="str">
        <f>IF('DATA TILL SLU'!$D$7*1&lt;&gt;"",IF(COUNT(Beräkningshjälp!$AC$3:$AC$1082)&gt;=ROW(D373),'DATA TILL SLU'!$D$7*1,""),"")</f>
        <v/>
      </c>
      <c r="E374" s="136" t="str">
        <f>IF(D374&lt;&gt;"",VLOOKUP(ROW(E373),Beräkningshjälp!AC$2:AH$1082,COLUMN(Beräkningshjälp!AF$2)-COLUMN(Beräkningshjälp!AC$2)+1,FALSE),"")</f>
        <v/>
      </c>
      <c r="F374" s="352" t="str">
        <f t="shared" si="11"/>
        <v/>
      </c>
      <c r="G374" s="2" t="str">
        <f>IF(D374&lt;&gt;"",IF(VLOOKUP(VLOOKUP(E374,Beräkningshjälp!O$2:U$60,7,FALSE),Artuppgifter!$I$11:$P$22,8,FALSE)=TRUE,"Medelvikter!!","ALLA"),"")</f>
        <v/>
      </c>
      <c r="H374" s="2" t="str">
        <f>IF(D374&lt;&gt;"",VLOOKUP(ROW(H373),Beräkningshjälp!AC$2:AH$1082,COLUMN(Beräkningshjälp!AH$2)-COLUMN(Beräkningshjälp!AC$2)+1,FALSE),"")</f>
        <v/>
      </c>
      <c r="I374" s="116" t="str">
        <f>IF(D374&lt;&gt;"",VLOOKUP(ROW(E373),Beräkningshjälp!AC$2:AI$1082,COLUMN(Beräkningshjälp!AI$2)-COLUMN(Beräkningshjälp!AC$2)+1,FALSE),"")</f>
        <v/>
      </c>
    </row>
    <row r="375" spans="1:9" x14ac:dyDescent="0.25">
      <c r="A375" s="2" t="str">
        <f t="shared" si="10"/>
        <v/>
      </c>
      <c r="B375" s="136" t="str">
        <f>IF(D375&lt;&gt;"",'DATA TILL SLU'!$J$3,"")</f>
        <v/>
      </c>
      <c r="C375" s="146" t="str">
        <f>IF(D375&lt;&gt;"",'DATA TILL SLU'!$K$3,"")</f>
        <v/>
      </c>
      <c r="D375" s="2" t="str">
        <f>IF('DATA TILL SLU'!$D$7*1&lt;&gt;"",IF(COUNT(Beräkningshjälp!$AC$3:$AC$1082)&gt;=ROW(D374),'DATA TILL SLU'!$D$7*1,""),"")</f>
        <v/>
      </c>
      <c r="E375" s="136" t="str">
        <f>IF(D375&lt;&gt;"",VLOOKUP(ROW(E374),Beräkningshjälp!AC$2:AH$1082,COLUMN(Beräkningshjälp!AF$2)-COLUMN(Beräkningshjälp!AC$2)+1,FALSE),"")</f>
        <v/>
      </c>
      <c r="F375" s="352" t="str">
        <f t="shared" si="11"/>
        <v/>
      </c>
      <c r="G375" s="2" t="str">
        <f>IF(D375&lt;&gt;"",IF(VLOOKUP(VLOOKUP(E375,Beräkningshjälp!O$2:U$60,7,FALSE),Artuppgifter!$I$11:$P$22,8,FALSE)=TRUE,"Medelvikter!!","ALLA"),"")</f>
        <v/>
      </c>
      <c r="H375" s="2" t="str">
        <f>IF(D375&lt;&gt;"",VLOOKUP(ROW(H374),Beräkningshjälp!AC$2:AH$1082,COLUMN(Beräkningshjälp!AH$2)-COLUMN(Beräkningshjälp!AC$2)+1,FALSE),"")</f>
        <v/>
      </c>
      <c r="I375" s="116" t="str">
        <f>IF(D375&lt;&gt;"",VLOOKUP(ROW(E374),Beräkningshjälp!AC$2:AI$1082,COLUMN(Beräkningshjälp!AI$2)-COLUMN(Beräkningshjälp!AC$2)+1,FALSE),"")</f>
        <v/>
      </c>
    </row>
    <row r="376" spans="1:9" x14ac:dyDescent="0.25">
      <c r="A376" s="2" t="str">
        <f t="shared" si="10"/>
        <v/>
      </c>
      <c r="B376" s="136" t="str">
        <f>IF(D376&lt;&gt;"",'DATA TILL SLU'!$J$3,"")</f>
        <v/>
      </c>
      <c r="C376" s="146" t="str">
        <f>IF(D376&lt;&gt;"",'DATA TILL SLU'!$K$3,"")</f>
        <v/>
      </c>
      <c r="D376" s="2" t="str">
        <f>IF('DATA TILL SLU'!$D$7*1&lt;&gt;"",IF(COUNT(Beräkningshjälp!$AC$3:$AC$1082)&gt;=ROW(D375),'DATA TILL SLU'!$D$7*1,""),"")</f>
        <v/>
      </c>
      <c r="E376" s="136" t="str">
        <f>IF(D376&lt;&gt;"",VLOOKUP(ROW(E375),Beräkningshjälp!AC$2:AH$1082,COLUMN(Beräkningshjälp!AF$2)-COLUMN(Beräkningshjälp!AC$2)+1,FALSE),"")</f>
        <v/>
      </c>
      <c r="F376" s="352" t="str">
        <f t="shared" si="11"/>
        <v/>
      </c>
      <c r="G376" s="2" t="str">
        <f>IF(D376&lt;&gt;"",IF(VLOOKUP(VLOOKUP(E376,Beräkningshjälp!O$2:U$60,7,FALSE),Artuppgifter!$I$11:$P$22,8,FALSE)=TRUE,"Medelvikter!!","ALLA"),"")</f>
        <v/>
      </c>
      <c r="H376" s="2" t="str">
        <f>IF(D376&lt;&gt;"",VLOOKUP(ROW(H375),Beräkningshjälp!AC$2:AH$1082,COLUMN(Beräkningshjälp!AH$2)-COLUMN(Beräkningshjälp!AC$2)+1,FALSE),"")</f>
        <v/>
      </c>
      <c r="I376" s="116" t="str">
        <f>IF(D376&lt;&gt;"",VLOOKUP(ROW(E375),Beräkningshjälp!AC$2:AI$1082,COLUMN(Beräkningshjälp!AI$2)-COLUMN(Beräkningshjälp!AC$2)+1,FALSE),"")</f>
        <v/>
      </c>
    </row>
    <row r="377" spans="1:9" x14ac:dyDescent="0.25">
      <c r="A377" s="2" t="str">
        <f t="shared" si="10"/>
        <v/>
      </c>
      <c r="B377" s="136" t="str">
        <f>IF(D377&lt;&gt;"",'DATA TILL SLU'!$J$3,"")</f>
        <v/>
      </c>
      <c r="C377" s="146" t="str">
        <f>IF(D377&lt;&gt;"",'DATA TILL SLU'!$K$3,"")</f>
        <v/>
      </c>
      <c r="D377" s="2" t="str">
        <f>IF('DATA TILL SLU'!$D$7*1&lt;&gt;"",IF(COUNT(Beräkningshjälp!$AC$3:$AC$1082)&gt;=ROW(D376),'DATA TILL SLU'!$D$7*1,""),"")</f>
        <v/>
      </c>
      <c r="E377" s="136" t="str">
        <f>IF(D377&lt;&gt;"",VLOOKUP(ROW(E376),Beräkningshjälp!AC$2:AH$1082,COLUMN(Beräkningshjälp!AF$2)-COLUMN(Beräkningshjälp!AC$2)+1,FALSE),"")</f>
        <v/>
      </c>
      <c r="F377" s="352" t="str">
        <f t="shared" si="11"/>
        <v/>
      </c>
      <c r="G377" s="2" t="str">
        <f>IF(D377&lt;&gt;"",IF(VLOOKUP(VLOOKUP(E377,Beräkningshjälp!O$2:U$60,7,FALSE),Artuppgifter!$I$11:$P$22,8,FALSE)=TRUE,"Medelvikter!!","ALLA"),"")</f>
        <v/>
      </c>
      <c r="H377" s="2" t="str">
        <f>IF(D377&lt;&gt;"",VLOOKUP(ROW(H376),Beräkningshjälp!AC$2:AH$1082,COLUMN(Beräkningshjälp!AH$2)-COLUMN(Beräkningshjälp!AC$2)+1,FALSE),"")</f>
        <v/>
      </c>
      <c r="I377" s="116" t="str">
        <f>IF(D377&lt;&gt;"",VLOOKUP(ROW(E376),Beräkningshjälp!AC$2:AI$1082,COLUMN(Beräkningshjälp!AI$2)-COLUMN(Beräkningshjälp!AC$2)+1,FALSE),"")</f>
        <v/>
      </c>
    </row>
    <row r="378" spans="1:9" x14ac:dyDescent="0.25">
      <c r="A378" s="2" t="str">
        <f t="shared" si="10"/>
        <v/>
      </c>
      <c r="B378" s="136" t="str">
        <f>IF(D378&lt;&gt;"",'DATA TILL SLU'!$J$3,"")</f>
        <v/>
      </c>
      <c r="C378" s="146" t="str">
        <f>IF(D378&lt;&gt;"",'DATA TILL SLU'!$K$3,"")</f>
        <v/>
      </c>
      <c r="D378" s="2" t="str">
        <f>IF('DATA TILL SLU'!$D$7*1&lt;&gt;"",IF(COUNT(Beräkningshjälp!$AC$3:$AC$1082)&gt;=ROW(D377),'DATA TILL SLU'!$D$7*1,""),"")</f>
        <v/>
      </c>
      <c r="E378" s="136" t="str">
        <f>IF(D378&lt;&gt;"",VLOOKUP(ROW(E377),Beräkningshjälp!AC$2:AH$1082,COLUMN(Beräkningshjälp!AF$2)-COLUMN(Beräkningshjälp!AC$2)+1,FALSE),"")</f>
        <v/>
      </c>
      <c r="F378" s="352" t="str">
        <f t="shared" si="11"/>
        <v/>
      </c>
      <c r="G378" s="2" t="str">
        <f>IF(D378&lt;&gt;"",IF(VLOOKUP(VLOOKUP(E378,Beräkningshjälp!O$2:U$60,7,FALSE),Artuppgifter!$I$11:$P$22,8,FALSE)=TRUE,"Medelvikter!!","ALLA"),"")</f>
        <v/>
      </c>
      <c r="H378" s="2" t="str">
        <f>IF(D378&lt;&gt;"",VLOOKUP(ROW(H377),Beräkningshjälp!AC$2:AH$1082,COLUMN(Beräkningshjälp!AH$2)-COLUMN(Beräkningshjälp!AC$2)+1,FALSE),"")</f>
        <v/>
      </c>
      <c r="I378" s="116" t="str">
        <f>IF(D378&lt;&gt;"",VLOOKUP(ROW(E377),Beräkningshjälp!AC$2:AI$1082,COLUMN(Beräkningshjälp!AI$2)-COLUMN(Beräkningshjälp!AC$2)+1,FALSE),"")</f>
        <v/>
      </c>
    </row>
    <row r="379" spans="1:9" x14ac:dyDescent="0.25">
      <c r="A379" s="2" t="str">
        <f t="shared" si="10"/>
        <v/>
      </c>
      <c r="B379" s="136" t="str">
        <f>IF(D379&lt;&gt;"",'DATA TILL SLU'!$J$3,"")</f>
        <v/>
      </c>
      <c r="C379" s="146" t="str">
        <f>IF(D379&lt;&gt;"",'DATA TILL SLU'!$K$3,"")</f>
        <v/>
      </c>
      <c r="D379" s="2" t="str">
        <f>IF('DATA TILL SLU'!$D$7*1&lt;&gt;"",IF(COUNT(Beräkningshjälp!$AC$3:$AC$1082)&gt;=ROW(D378),'DATA TILL SLU'!$D$7*1,""),"")</f>
        <v/>
      </c>
      <c r="E379" s="136" t="str">
        <f>IF(D379&lt;&gt;"",VLOOKUP(ROW(E378),Beräkningshjälp!AC$2:AH$1082,COLUMN(Beräkningshjälp!AF$2)-COLUMN(Beräkningshjälp!AC$2)+1,FALSE),"")</f>
        <v/>
      </c>
      <c r="F379" s="352" t="str">
        <f t="shared" si="11"/>
        <v/>
      </c>
      <c r="G379" s="2" t="str">
        <f>IF(D379&lt;&gt;"",IF(VLOOKUP(VLOOKUP(E379,Beräkningshjälp!O$2:U$60,7,FALSE),Artuppgifter!$I$11:$P$22,8,FALSE)=TRUE,"Medelvikter!!","ALLA"),"")</f>
        <v/>
      </c>
      <c r="H379" s="2" t="str">
        <f>IF(D379&lt;&gt;"",VLOOKUP(ROW(H378),Beräkningshjälp!AC$2:AH$1082,COLUMN(Beräkningshjälp!AH$2)-COLUMN(Beräkningshjälp!AC$2)+1,FALSE),"")</f>
        <v/>
      </c>
      <c r="I379" s="116" t="str">
        <f>IF(D379&lt;&gt;"",VLOOKUP(ROW(E378),Beräkningshjälp!AC$2:AI$1082,COLUMN(Beräkningshjälp!AI$2)-COLUMN(Beräkningshjälp!AC$2)+1,FALSE),"")</f>
        <v/>
      </c>
    </row>
    <row r="380" spans="1:9" x14ac:dyDescent="0.25">
      <c r="A380" s="2" t="str">
        <f t="shared" si="10"/>
        <v/>
      </c>
      <c r="B380" s="136" t="str">
        <f>IF(D380&lt;&gt;"",'DATA TILL SLU'!$J$3,"")</f>
        <v/>
      </c>
      <c r="C380" s="146" t="str">
        <f>IF(D380&lt;&gt;"",'DATA TILL SLU'!$K$3,"")</f>
        <v/>
      </c>
      <c r="D380" s="2" t="str">
        <f>IF('DATA TILL SLU'!$D$7*1&lt;&gt;"",IF(COUNT(Beräkningshjälp!$AC$3:$AC$1082)&gt;=ROW(D379),'DATA TILL SLU'!$D$7*1,""),"")</f>
        <v/>
      </c>
      <c r="E380" s="136" t="str">
        <f>IF(D380&lt;&gt;"",VLOOKUP(ROW(E379),Beräkningshjälp!AC$2:AH$1082,COLUMN(Beräkningshjälp!AF$2)-COLUMN(Beräkningshjälp!AC$2)+1,FALSE),"")</f>
        <v/>
      </c>
      <c r="F380" s="352" t="str">
        <f t="shared" si="11"/>
        <v/>
      </c>
      <c r="G380" s="2" t="str">
        <f>IF(D380&lt;&gt;"",IF(VLOOKUP(VLOOKUP(E380,Beräkningshjälp!O$2:U$60,7,FALSE),Artuppgifter!$I$11:$P$22,8,FALSE)=TRUE,"Medelvikter!!","ALLA"),"")</f>
        <v/>
      </c>
      <c r="H380" s="2" t="str">
        <f>IF(D380&lt;&gt;"",VLOOKUP(ROW(H379),Beräkningshjälp!AC$2:AH$1082,COLUMN(Beräkningshjälp!AH$2)-COLUMN(Beräkningshjälp!AC$2)+1,FALSE),"")</f>
        <v/>
      </c>
      <c r="I380" s="116" t="str">
        <f>IF(D380&lt;&gt;"",VLOOKUP(ROW(E379),Beräkningshjälp!AC$2:AI$1082,COLUMN(Beräkningshjälp!AI$2)-COLUMN(Beräkningshjälp!AC$2)+1,FALSE),"")</f>
        <v/>
      </c>
    </row>
    <row r="381" spans="1:9" x14ac:dyDescent="0.25">
      <c r="A381" s="2" t="str">
        <f t="shared" si="10"/>
        <v/>
      </c>
      <c r="B381" s="136" t="str">
        <f>IF(D381&lt;&gt;"",'DATA TILL SLU'!$J$3,"")</f>
        <v/>
      </c>
      <c r="C381" s="146" t="str">
        <f>IF(D381&lt;&gt;"",'DATA TILL SLU'!$K$3,"")</f>
        <v/>
      </c>
      <c r="D381" s="2" t="str">
        <f>IF('DATA TILL SLU'!$D$7*1&lt;&gt;"",IF(COUNT(Beräkningshjälp!$AC$3:$AC$1082)&gt;=ROW(D380),'DATA TILL SLU'!$D$7*1,""),"")</f>
        <v/>
      </c>
      <c r="E381" s="136" t="str">
        <f>IF(D381&lt;&gt;"",VLOOKUP(ROW(E380),Beräkningshjälp!AC$2:AH$1082,COLUMN(Beräkningshjälp!AF$2)-COLUMN(Beräkningshjälp!AC$2)+1,FALSE),"")</f>
        <v/>
      </c>
      <c r="F381" s="352" t="str">
        <f t="shared" si="11"/>
        <v/>
      </c>
      <c r="G381" s="2" t="str">
        <f>IF(D381&lt;&gt;"",IF(VLOOKUP(VLOOKUP(E381,Beräkningshjälp!O$2:U$60,7,FALSE),Artuppgifter!$I$11:$P$22,8,FALSE)=TRUE,"Medelvikter!!","ALLA"),"")</f>
        <v/>
      </c>
      <c r="H381" s="2" t="str">
        <f>IF(D381&lt;&gt;"",VLOOKUP(ROW(H380),Beräkningshjälp!AC$2:AH$1082,COLUMN(Beräkningshjälp!AH$2)-COLUMN(Beräkningshjälp!AC$2)+1,FALSE),"")</f>
        <v/>
      </c>
      <c r="I381" s="116" t="str">
        <f>IF(D381&lt;&gt;"",VLOOKUP(ROW(E380),Beräkningshjälp!AC$2:AI$1082,COLUMN(Beräkningshjälp!AI$2)-COLUMN(Beräkningshjälp!AC$2)+1,FALSE),"")</f>
        <v/>
      </c>
    </row>
    <row r="382" spans="1:9" x14ac:dyDescent="0.25">
      <c r="A382" s="2" t="str">
        <f t="shared" si="10"/>
        <v/>
      </c>
      <c r="B382" s="136" t="str">
        <f>IF(D382&lt;&gt;"",'DATA TILL SLU'!$J$3,"")</f>
        <v/>
      </c>
      <c r="C382" s="146" t="str">
        <f>IF(D382&lt;&gt;"",'DATA TILL SLU'!$K$3,"")</f>
        <v/>
      </c>
      <c r="D382" s="2" t="str">
        <f>IF('DATA TILL SLU'!$D$7*1&lt;&gt;"",IF(COUNT(Beräkningshjälp!$AC$3:$AC$1082)&gt;=ROW(D381),'DATA TILL SLU'!$D$7*1,""),"")</f>
        <v/>
      </c>
      <c r="E382" s="136" t="str">
        <f>IF(D382&lt;&gt;"",VLOOKUP(ROW(E381),Beräkningshjälp!AC$2:AH$1082,COLUMN(Beräkningshjälp!AF$2)-COLUMN(Beräkningshjälp!AC$2)+1,FALSE),"")</f>
        <v/>
      </c>
      <c r="F382" s="352" t="str">
        <f t="shared" si="11"/>
        <v/>
      </c>
      <c r="G382" s="2" t="str">
        <f>IF(D382&lt;&gt;"",IF(VLOOKUP(VLOOKUP(E382,Beräkningshjälp!O$2:U$60,7,FALSE),Artuppgifter!$I$11:$P$22,8,FALSE)=TRUE,"Medelvikter!!","ALLA"),"")</f>
        <v/>
      </c>
      <c r="H382" s="2" t="str">
        <f>IF(D382&lt;&gt;"",VLOOKUP(ROW(H381),Beräkningshjälp!AC$2:AH$1082,COLUMN(Beräkningshjälp!AH$2)-COLUMN(Beräkningshjälp!AC$2)+1,FALSE),"")</f>
        <v/>
      </c>
      <c r="I382" s="116" t="str">
        <f>IF(D382&lt;&gt;"",VLOOKUP(ROW(E381),Beräkningshjälp!AC$2:AI$1082,COLUMN(Beräkningshjälp!AI$2)-COLUMN(Beräkningshjälp!AC$2)+1,FALSE),"")</f>
        <v/>
      </c>
    </row>
    <row r="383" spans="1:9" x14ac:dyDescent="0.25">
      <c r="A383" s="2" t="str">
        <f t="shared" si="10"/>
        <v/>
      </c>
      <c r="B383" s="136" t="str">
        <f>IF(D383&lt;&gt;"",'DATA TILL SLU'!$J$3,"")</f>
        <v/>
      </c>
      <c r="C383" s="146" t="str">
        <f>IF(D383&lt;&gt;"",'DATA TILL SLU'!$K$3,"")</f>
        <v/>
      </c>
      <c r="D383" s="2" t="str">
        <f>IF('DATA TILL SLU'!$D$7*1&lt;&gt;"",IF(COUNT(Beräkningshjälp!$AC$3:$AC$1082)&gt;=ROW(D382),'DATA TILL SLU'!$D$7*1,""),"")</f>
        <v/>
      </c>
      <c r="E383" s="136" t="str">
        <f>IF(D383&lt;&gt;"",VLOOKUP(ROW(E382),Beräkningshjälp!AC$2:AH$1082,COLUMN(Beräkningshjälp!AF$2)-COLUMN(Beräkningshjälp!AC$2)+1,FALSE),"")</f>
        <v/>
      </c>
      <c r="F383" s="352" t="str">
        <f t="shared" si="11"/>
        <v/>
      </c>
      <c r="G383" s="2" t="str">
        <f>IF(D383&lt;&gt;"",IF(VLOOKUP(VLOOKUP(E383,Beräkningshjälp!O$2:U$60,7,FALSE),Artuppgifter!$I$11:$P$22,8,FALSE)=TRUE,"Medelvikter!!","ALLA"),"")</f>
        <v/>
      </c>
      <c r="H383" s="2" t="str">
        <f>IF(D383&lt;&gt;"",VLOOKUP(ROW(H382),Beräkningshjälp!AC$2:AH$1082,COLUMN(Beräkningshjälp!AH$2)-COLUMN(Beräkningshjälp!AC$2)+1,FALSE),"")</f>
        <v/>
      </c>
      <c r="I383" s="116" t="str">
        <f>IF(D383&lt;&gt;"",VLOOKUP(ROW(E382),Beräkningshjälp!AC$2:AI$1082,COLUMN(Beräkningshjälp!AI$2)-COLUMN(Beräkningshjälp!AC$2)+1,FALSE),"")</f>
        <v/>
      </c>
    </row>
    <row r="384" spans="1:9" x14ac:dyDescent="0.25">
      <c r="A384" s="2" t="str">
        <f t="shared" si="10"/>
        <v/>
      </c>
      <c r="B384" s="136" t="str">
        <f>IF(D384&lt;&gt;"",'DATA TILL SLU'!$J$3,"")</f>
        <v/>
      </c>
      <c r="C384" s="146" t="str">
        <f>IF(D384&lt;&gt;"",'DATA TILL SLU'!$K$3,"")</f>
        <v/>
      </c>
      <c r="D384" s="2" t="str">
        <f>IF('DATA TILL SLU'!$D$7*1&lt;&gt;"",IF(COUNT(Beräkningshjälp!$AC$3:$AC$1082)&gt;=ROW(D383),'DATA TILL SLU'!$D$7*1,""),"")</f>
        <v/>
      </c>
      <c r="E384" s="136" t="str">
        <f>IF(D384&lt;&gt;"",VLOOKUP(ROW(E383),Beräkningshjälp!AC$2:AH$1082,COLUMN(Beräkningshjälp!AF$2)-COLUMN(Beräkningshjälp!AC$2)+1,FALSE),"")</f>
        <v/>
      </c>
      <c r="F384" s="352" t="str">
        <f t="shared" si="11"/>
        <v/>
      </c>
      <c r="G384" s="2" t="str">
        <f>IF(D384&lt;&gt;"",IF(VLOOKUP(VLOOKUP(E384,Beräkningshjälp!O$2:U$60,7,FALSE),Artuppgifter!$I$11:$P$22,8,FALSE)=TRUE,"Medelvikter!!","ALLA"),"")</f>
        <v/>
      </c>
      <c r="H384" s="2" t="str">
        <f>IF(D384&lt;&gt;"",VLOOKUP(ROW(H383),Beräkningshjälp!AC$2:AH$1082,COLUMN(Beräkningshjälp!AH$2)-COLUMN(Beräkningshjälp!AC$2)+1,FALSE),"")</f>
        <v/>
      </c>
      <c r="I384" s="116" t="str">
        <f>IF(D384&lt;&gt;"",VLOOKUP(ROW(E383),Beräkningshjälp!AC$2:AI$1082,COLUMN(Beräkningshjälp!AI$2)-COLUMN(Beräkningshjälp!AC$2)+1,FALSE),"")</f>
        <v/>
      </c>
    </row>
    <row r="385" spans="1:9" x14ac:dyDescent="0.25">
      <c r="A385" s="2" t="str">
        <f t="shared" si="10"/>
        <v/>
      </c>
      <c r="B385" s="136" t="str">
        <f>IF(D385&lt;&gt;"",'DATA TILL SLU'!$J$3,"")</f>
        <v/>
      </c>
      <c r="C385" s="146" t="str">
        <f>IF(D385&lt;&gt;"",'DATA TILL SLU'!$K$3,"")</f>
        <v/>
      </c>
      <c r="D385" s="2" t="str">
        <f>IF('DATA TILL SLU'!$D$7*1&lt;&gt;"",IF(COUNT(Beräkningshjälp!$AC$3:$AC$1082)&gt;=ROW(D384),'DATA TILL SLU'!$D$7*1,""),"")</f>
        <v/>
      </c>
      <c r="E385" s="136" t="str">
        <f>IF(D385&lt;&gt;"",VLOOKUP(ROW(E384),Beräkningshjälp!AC$2:AH$1082,COLUMN(Beräkningshjälp!AF$2)-COLUMN(Beräkningshjälp!AC$2)+1,FALSE),"")</f>
        <v/>
      </c>
      <c r="F385" s="352" t="str">
        <f t="shared" si="11"/>
        <v/>
      </c>
      <c r="G385" s="2" t="str">
        <f>IF(D385&lt;&gt;"",IF(VLOOKUP(VLOOKUP(E385,Beräkningshjälp!O$2:U$60,7,FALSE),Artuppgifter!$I$11:$P$22,8,FALSE)=TRUE,"Medelvikter!!","ALLA"),"")</f>
        <v/>
      </c>
      <c r="H385" s="2" t="str">
        <f>IF(D385&lt;&gt;"",VLOOKUP(ROW(H384),Beräkningshjälp!AC$2:AH$1082,COLUMN(Beräkningshjälp!AH$2)-COLUMN(Beräkningshjälp!AC$2)+1,FALSE),"")</f>
        <v/>
      </c>
      <c r="I385" s="116" t="str">
        <f>IF(D385&lt;&gt;"",VLOOKUP(ROW(E384),Beräkningshjälp!AC$2:AI$1082,COLUMN(Beräkningshjälp!AI$2)-COLUMN(Beräkningshjälp!AC$2)+1,FALSE),"")</f>
        <v/>
      </c>
    </row>
    <row r="386" spans="1:9" x14ac:dyDescent="0.25">
      <c r="A386" s="2" t="str">
        <f t="shared" si="10"/>
        <v/>
      </c>
      <c r="B386" s="136" t="str">
        <f>IF(D386&lt;&gt;"",'DATA TILL SLU'!$J$3,"")</f>
        <v/>
      </c>
      <c r="C386" s="146" t="str">
        <f>IF(D386&lt;&gt;"",'DATA TILL SLU'!$K$3,"")</f>
        <v/>
      </c>
      <c r="D386" s="2" t="str">
        <f>IF('DATA TILL SLU'!$D$7*1&lt;&gt;"",IF(COUNT(Beräkningshjälp!$AC$3:$AC$1082)&gt;=ROW(D385),'DATA TILL SLU'!$D$7*1,""),"")</f>
        <v/>
      </c>
      <c r="E386" s="136" t="str">
        <f>IF(D386&lt;&gt;"",VLOOKUP(ROW(E385),Beräkningshjälp!AC$2:AH$1082,COLUMN(Beräkningshjälp!AF$2)-COLUMN(Beräkningshjälp!AC$2)+1,FALSE),"")</f>
        <v/>
      </c>
      <c r="F386" s="352" t="str">
        <f t="shared" si="11"/>
        <v/>
      </c>
      <c r="G386" s="2" t="str">
        <f>IF(D386&lt;&gt;"",IF(VLOOKUP(VLOOKUP(E386,Beräkningshjälp!O$2:U$60,7,FALSE),Artuppgifter!$I$11:$P$22,8,FALSE)=TRUE,"Medelvikter!!","ALLA"),"")</f>
        <v/>
      </c>
      <c r="H386" s="2" t="str">
        <f>IF(D386&lt;&gt;"",VLOOKUP(ROW(H385),Beräkningshjälp!AC$2:AH$1082,COLUMN(Beräkningshjälp!AH$2)-COLUMN(Beräkningshjälp!AC$2)+1,FALSE),"")</f>
        <v/>
      </c>
      <c r="I386" s="116" t="str">
        <f>IF(D386&lt;&gt;"",VLOOKUP(ROW(E385),Beräkningshjälp!AC$2:AI$1082,COLUMN(Beräkningshjälp!AI$2)-COLUMN(Beräkningshjälp!AC$2)+1,FALSE),"")</f>
        <v/>
      </c>
    </row>
    <row r="387" spans="1:9" x14ac:dyDescent="0.25">
      <c r="A387" s="2" t="str">
        <f t="shared" ref="A387:A450" si="12">IF(D387&lt;&gt;"","LANGDVIKTER","")</f>
        <v/>
      </c>
      <c r="B387" s="136" t="str">
        <f>IF(D387&lt;&gt;"",'DATA TILL SLU'!$J$3,"")</f>
        <v/>
      </c>
      <c r="C387" s="146" t="str">
        <f>IF(D387&lt;&gt;"",'DATA TILL SLU'!$K$3,"")</f>
        <v/>
      </c>
      <c r="D387" s="2" t="str">
        <f>IF('DATA TILL SLU'!$D$7*1&lt;&gt;"",IF(COUNT(Beräkningshjälp!$AC$3:$AC$1082)&gt;=ROW(D386),'DATA TILL SLU'!$D$7*1,""),"")</f>
        <v/>
      </c>
      <c r="E387" s="136" t="str">
        <f>IF(D387&lt;&gt;"",VLOOKUP(ROW(E386),Beräkningshjälp!AC$2:AH$1082,COLUMN(Beräkningshjälp!AF$2)-COLUMN(Beräkningshjälp!AC$2)+1,FALSE),"")</f>
        <v/>
      </c>
      <c r="F387" s="352" t="str">
        <f t="shared" ref="F387:F450" si="13">IF(D387&lt;&gt;"","IND","")</f>
        <v/>
      </c>
      <c r="G387" s="2" t="str">
        <f>IF(D387&lt;&gt;"",IF(VLOOKUP(VLOOKUP(E387,Beräkningshjälp!O$2:U$60,7,FALSE),Artuppgifter!$I$11:$P$22,8,FALSE)=TRUE,"Medelvikter!!","ALLA"),"")</f>
        <v/>
      </c>
      <c r="H387" s="2" t="str">
        <f>IF(D387&lt;&gt;"",VLOOKUP(ROW(H386),Beräkningshjälp!AC$2:AH$1082,COLUMN(Beräkningshjälp!AH$2)-COLUMN(Beräkningshjälp!AC$2)+1,FALSE),"")</f>
        <v/>
      </c>
      <c r="I387" s="116" t="str">
        <f>IF(D387&lt;&gt;"",VLOOKUP(ROW(E386),Beräkningshjälp!AC$2:AI$1082,COLUMN(Beräkningshjälp!AI$2)-COLUMN(Beräkningshjälp!AC$2)+1,FALSE),"")</f>
        <v/>
      </c>
    </row>
    <row r="388" spans="1:9" x14ac:dyDescent="0.25">
      <c r="A388" s="2" t="str">
        <f t="shared" si="12"/>
        <v/>
      </c>
      <c r="B388" s="136" t="str">
        <f>IF(D388&lt;&gt;"",'DATA TILL SLU'!$J$3,"")</f>
        <v/>
      </c>
      <c r="C388" s="146" t="str">
        <f>IF(D388&lt;&gt;"",'DATA TILL SLU'!$K$3,"")</f>
        <v/>
      </c>
      <c r="D388" s="2" t="str">
        <f>IF('DATA TILL SLU'!$D$7*1&lt;&gt;"",IF(COUNT(Beräkningshjälp!$AC$3:$AC$1082)&gt;=ROW(D387),'DATA TILL SLU'!$D$7*1,""),"")</f>
        <v/>
      </c>
      <c r="E388" s="136" t="str">
        <f>IF(D388&lt;&gt;"",VLOOKUP(ROW(E387),Beräkningshjälp!AC$2:AH$1082,COLUMN(Beräkningshjälp!AF$2)-COLUMN(Beräkningshjälp!AC$2)+1,FALSE),"")</f>
        <v/>
      </c>
      <c r="F388" s="352" t="str">
        <f t="shared" si="13"/>
        <v/>
      </c>
      <c r="G388" s="2" t="str">
        <f>IF(D388&lt;&gt;"",IF(VLOOKUP(VLOOKUP(E388,Beräkningshjälp!O$2:U$60,7,FALSE),Artuppgifter!$I$11:$P$22,8,FALSE)=TRUE,"Medelvikter!!","ALLA"),"")</f>
        <v/>
      </c>
      <c r="H388" s="2" t="str">
        <f>IF(D388&lt;&gt;"",VLOOKUP(ROW(H387),Beräkningshjälp!AC$2:AH$1082,COLUMN(Beräkningshjälp!AH$2)-COLUMN(Beräkningshjälp!AC$2)+1,FALSE),"")</f>
        <v/>
      </c>
      <c r="I388" s="116" t="str">
        <f>IF(D388&lt;&gt;"",VLOOKUP(ROW(E387),Beräkningshjälp!AC$2:AI$1082,COLUMN(Beräkningshjälp!AI$2)-COLUMN(Beräkningshjälp!AC$2)+1,FALSE),"")</f>
        <v/>
      </c>
    </row>
    <row r="389" spans="1:9" x14ac:dyDescent="0.25">
      <c r="A389" s="2" t="str">
        <f t="shared" si="12"/>
        <v/>
      </c>
      <c r="B389" s="136" t="str">
        <f>IF(D389&lt;&gt;"",'DATA TILL SLU'!$J$3,"")</f>
        <v/>
      </c>
      <c r="C389" s="146" t="str">
        <f>IF(D389&lt;&gt;"",'DATA TILL SLU'!$K$3,"")</f>
        <v/>
      </c>
      <c r="D389" s="2" t="str">
        <f>IF('DATA TILL SLU'!$D$7*1&lt;&gt;"",IF(COUNT(Beräkningshjälp!$AC$3:$AC$1082)&gt;=ROW(D388),'DATA TILL SLU'!$D$7*1,""),"")</f>
        <v/>
      </c>
      <c r="E389" s="136" t="str">
        <f>IF(D389&lt;&gt;"",VLOOKUP(ROW(E388),Beräkningshjälp!AC$2:AH$1082,COLUMN(Beräkningshjälp!AF$2)-COLUMN(Beräkningshjälp!AC$2)+1,FALSE),"")</f>
        <v/>
      </c>
      <c r="F389" s="352" t="str">
        <f t="shared" si="13"/>
        <v/>
      </c>
      <c r="G389" s="2" t="str">
        <f>IF(D389&lt;&gt;"",IF(VLOOKUP(VLOOKUP(E389,Beräkningshjälp!O$2:U$60,7,FALSE),Artuppgifter!$I$11:$P$22,8,FALSE)=TRUE,"Medelvikter!!","ALLA"),"")</f>
        <v/>
      </c>
      <c r="H389" s="2" t="str">
        <f>IF(D389&lt;&gt;"",VLOOKUP(ROW(H388),Beräkningshjälp!AC$2:AH$1082,COLUMN(Beräkningshjälp!AH$2)-COLUMN(Beräkningshjälp!AC$2)+1,FALSE),"")</f>
        <v/>
      </c>
      <c r="I389" s="116" t="str">
        <f>IF(D389&lt;&gt;"",VLOOKUP(ROW(E388),Beräkningshjälp!AC$2:AI$1082,COLUMN(Beräkningshjälp!AI$2)-COLUMN(Beräkningshjälp!AC$2)+1,FALSE),"")</f>
        <v/>
      </c>
    </row>
    <row r="390" spans="1:9" x14ac:dyDescent="0.25">
      <c r="A390" s="2" t="str">
        <f t="shared" si="12"/>
        <v/>
      </c>
      <c r="B390" s="136" t="str">
        <f>IF(D390&lt;&gt;"",'DATA TILL SLU'!$J$3,"")</f>
        <v/>
      </c>
      <c r="C390" s="146" t="str">
        <f>IF(D390&lt;&gt;"",'DATA TILL SLU'!$K$3,"")</f>
        <v/>
      </c>
      <c r="D390" s="2" t="str">
        <f>IF('DATA TILL SLU'!$D$7*1&lt;&gt;"",IF(COUNT(Beräkningshjälp!$AC$3:$AC$1082)&gt;=ROW(D389),'DATA TILL SLU'!$D$7*1,""),"")</f>
        <v/>
      </c>
      <c r="E390" s="136" t="str">
        <f>IF(D390&lt;&gt;"",VLOOKUP(ROW(E389),Beräkningshjälp!AC$2:AH$1082,COLUMN(Beräkningshjälp!AF$2)-COLUMN(Beräkningshjälp!AC$2)+1,FALSE),"")</f>
        <v/>
      </c>
      <c r="F390" s="352" t="str">
        <f t="shared" si="13"/>
        <v/>
      </c>
      <c r="G390" s="2" t="str">
        <f>IF(D390&lt;&gt;"",IF(VLOOKUP(VLOOKUP(E390,Beräkningshjälp!O$2:U$60,7,FALSE),Artuppgifter!$I$11:$P$22,8,FALSE)=TRUE,"Medelvikter!!","ALLA"),"")</f>
        <v/>
      </c>
      <c r="H390" s="2" t="str">
        <f>IF(D390&lt;&gt;"",VLOOKUP(ROW(H389),Beräkningshjälp!AC$2:AH$1082,COLUMN(Beräkningshjälp!AH$2)-COLUMN(Beräkningshjälp!AC$2)+1,FALSE),"")</f>
        <v/>
      </c>
      <c r="I390" s="116" t="str">
        <f>IF(D390&lt;&gt;"",VLOOKUP(ROW(E389),Beräkningshjälp!AC$2:AI$1082,COLUMN(Beräkningshjälp!AI$2)-COLUMN(Beräkningshjälp!AC$2)+1,FALSE),"")</f>
        <v/>
      </c>
    </row>
    <row r="391" spans="1:9" x14ac:dyDescent="0.25">
      <c r="A391" s="2" t="str">
        <f t="shared" si="12"/>
        <v/>
      </c>
      <c r="B391" s="136" t="str">
        <f>IF(D391&lt;&gt;"",'DATA TILL SLU'!$J$3,"")</f>
        <v/>
      </c>
      <c r="C391" s="146" t="str">
        <f>IF(D391&lt;&gt;"",'DATA TILL SLU'!$K$3,"")</f>
        <v/>
      </c>
      <c r="D391" s="2" t="str">
        <f>IF('DATA TILL SLU'!$D$7*1&lt;&gt;"",IF(COUNT(Beräkningshjälp!$AC$3:$AC$1082)&gt;=ROW(D390),'DATA TILL SLU'!$D$7*1,""),"")</f>
        <v/>
      </c>
      <c r="E391" s="136" t="str">
        <f>IF(D391&lt;&gt;"",VLOOKUP(ROW(E390),Beräkningshjälp!AC$2:AH$1082,COLUMN(Beräkningshjälp!AF$2)-COLUMN(Beräkningshjälp!AC$2)+1,FALSE),"")</f>
        <v/>
      </c>
      <c r="F391" s="352" t="str">
        <f t="shared" si="13"/>
        <v/>
      </c>
      <c r="G391" s="2" t="str">
        <f>IF(D391&lt;&gt;"",IF(VLOOKUP(VLOOKUP(E391,Beräkningshjälp!O$2:U$60,7,FALSE),Artuppgifter!$I$11:$P$22,8,FALSE)=TRUE,"Medelvikter!!","ALLA"),"")</f>
        <v/>
      </c>
      <c r="H391" s="2" t="str">
        <f>IF(D391&lt;&gt;"",VLOOKUP(ROW(H390),Beräkningshjälp!AC$2:AH$1082,COLUMN(Beräkningshjälp!AH$2)-COLUMN(Beräkningshjälp!AC$2)+1,FALSE),"")</f>
        <v/>
      </c>
      <c r="I391" s="116" t="str">
        <f>IF(D391&lt;&gt;"",VLOOKUP(ROW(E390),Beräkningshjälp!AC$2:AI$1082,COLUMN(Beräkningshjälp!AI$2)-COLUMN(Beräkningshjälp!AC$2)+1,FALSE),"")</f>
        <v/>
      </c>
    </row>
    <row r="392" spans="1:9" x14ac:dyDescent="0.25">
      <c r="A392" s="2" t="str">
        <f t="shared" si="12"/>
        <v/>
      </c>
      <c r="B392" s="136" t="str">
        <f>IF(D392&lt;&gt;"",'DATA TILL SLU'!$J$3,"")</f>
        <v/>
      </c>
      <c r="C392" s="146" t="str">
        <f>IF(D392&lt;&gt;"",'DATA TILL SLU'!$K$3,"")</f>
        <v/>
      </c>
      <c r="D392" s="2" t="str">
        <f>IF('DATA TILL SLU'!$D$7*1&lt;&gt;"",IF(COUNT(Beräkningshjälp!$AC$3:$AC$1082)&gt;=ROW(D391),'DATA TILL SLU'!$D$7*1,""),"")</f>
        <v/>
      </c>
      <c r="E392" s="136" t="str">
        <f>IF(D392&lt;&gt;"",VLOOKUP(ROW(E391),Beräkningshjälp!AC$2:AH$1082,COLUMN(Beräkningshjälp!AF$2)-COLUMN(Beräkningshjälp!AC$2)+1,FALSE),"")</f>
        <v/>
      </c>
      <c r="F392" s="352" t="str">
        <f t="shared" si="13"/>
        <v/>
      </c>
      <c r="G392" s="2" t="str">
        <f>IF(D392&lt;&gt;"",IF(VLOOKUP(VLOOKUP(E392,Beräkningshjälp!O$2:U$60,7,FALSE),Artuppgifter!$I$11:$P$22,8,FALSE)=TRUE,"Medelvikter!!","ALLA"),"")</f>
        <v/>
      </c>
      <c r="H392" s="2" t="str">
        <f>IF(D392&lt;&gt;"",VLOOKUP(ROW(H391),Beräkningshjälp!AC$2:AH$1082,COLUMN(Beräkningshjälp!AH$2)-COLUMN(Beräkningshjälp!AC$2)+1,FALSE),"")</f>
        <v/>
      </c>
      <c r="I392" s="116" t="str">
        <f>IF(D392&lt;&gt;"",VLOOKUP(ROW(E391),Beräkningshjälp!AC$2:AI$1082,COLUMN(Beräkningshjälp!AI$2)-COLUMN(Beräkningshjälp!AC$2)+1,FALSE),"")</f>
        <v/>
      </c>
    </row>
    <row r="393" spans="1:9" x14ac:dyDescent="0.25">
      <c r="A393" s="2" t="str">
        <f t="shared" si="12"/>
        <v/>
      </c>
      <c r="B393" s="136" t="str">
        <f>IF(D393&lt;&gt;"",'DATA TILL SLU'!$J$3,"")</f>
        <v/>
      </c>
      <c r="C393" s="146" t="str">
        <f>IF(D393&lt;&gt;"",'DATA TILL SLU'!$K$3,"")</f>
        <v/>
      </c>
      <c r="D393" s="2" t="str">
        <f>IF('DATA TILL SLU'!$D$7*1&lt;&gt;"",IF(COUNT(Beräkningshjälp!$AC$3:$AC$1082)&gt;=ROW(D392),'DATA TILL SLU'!$D$7*1,""),"")</f>
        <v/>
      </c>
      <c r="E393" s="136" t="str">
        <f>IF(D393&lt;&gt;"",VLOOKUP(ROW(E392),Beräkningshjälp!AC$2:AH$1082,COLUMN(Beräkningshjälp!AF$2)-COLUMN(Beräkningshjälp!AC$2)+1,FALSE),"")</f>
        <v/>
      </c>
      <c r="F393" s="352" t="str">
        <f t="shared" si="13"/>
        <v/>
      </c>
      <c r="G393" s="2" t="str">
        <f>IF(D393&lt;&gt;"",IF(VLOOKUP(VLOOKUP(E393,Beräkningshjälp!O$2:U$60,7,FALSE),Artuppgifter!$I$11:$P$22,8,FALSE)=TRUE,"Medelvikter!!","ALLA"),"")</f>
        <v/>
      </c>
      <c r="H393" s="2" t="str">
        <f>IF(D393&lt;&gt;"",VLOOKUP(ROW(H392),Beräkningshjälp!AC$2:AH$1082,COLUMN(Beräkningshjälp!AH$2)-COLUMN(Beräkningshjälp!AC$2)+1,FALSE),"")</f>
        <v/>
      </c>
      <c r="I393" s="116" t="str">
        <f>IF(D393&lt;&gt;"",VLOOKUP(ROW(E392),Beräkningshjälp!AC$2:AI$1082,COLUMN(Beräkningshjälp!AI$2)-COLUMN(Beräkningshjälp!AC$2)+1,FALSE),"")</f>
        <v/>
      </c>
    </row>
    <row r="394" spans="1:9" x14ac:dyDescent="0.25">
      <c r="A394" s="2" t="str">
        <f t="shared" si="12"/>
        <v/>
      </c>
      <c r="B394" s="136" t="str">
        <f>IF(D394&lt;&gt;"",'DATA TILL SLU'!$J$3,"")</f>
        <v/>
      </c>
      <c r="C394" s="146" t="str">
        <f>IF(D394&lt;&gt;"",'DATA TILL SLU'!$K$3,"")</f>
        <v/>
      </c>
      <c r="D394" s="2" t="str">
        <f>IF('DATA TILL SLU'!$D$7*1&lt;&gt;"",IF(COUNT(Beräkningshjälp!$AC$3:$AC$1082)&gt;=ROW(D393),'DATA TILL SLU'!$D$7*1,""),"")</f>
        <v/>
      </c>
      <c r="E394" s="136" t="str">
        <f>IF(D394&lt;&gt;"",VLOOKUP(ROW(E393),Beräkningshjälp!AC$2:AH$1082,COLUMN(Beräkningshjälp!AF$2)-COLUMN(Beräkningshjälp!AC$2)+1,FALSE),"")</f>
        <v/>
      </c>
      <c r="F394" s="352" t="str">
        <f t="shared" si="13"/>
        <v/>
      </c>
      <c r="G394" s="2" t="str">
        <f>IF(D394&lt;&gt;"",IF(VLOOKUP(VLOOKUP(E394,Beräkningshjälp!O$2:U$60,7,FALSE),Artuppgifter!$I$11:$P$22,8,FALSE)=TRUE,"Medelvikter!!","ALLA"),"")</f>
        <v/>
      </c>
      <c r="H394" s="2" t="str">
        <f>IF(D394&lt;&gt;"",VLOOKUP(ROW(H393),Beräkningshjälp!AC$2:AH$1082,COLUMN(Beräkningshjälp!AH$2)-COLUMN(Beräkningshjälp!AC$2)+1,FALSE),"")</f>
        <v/>
      </c>
      <c r="I394" s="116" t="str">
        <f>IF(D394&lt;&gt;"",VLOOKUP(ROW(E393),Beräkningshjälp!AC$2:AI$1082,COLUMN(Beräkningshjälp!AI$2)-COLUMN(Beräkningshjälp!AC$2)+1,FALSE),"")</f>
        <v/>
      </c>
    </row>
    <row r="395" spans="1:9" x14ac:dyDescent="0.25">
      <c r="A395" s="2" t="str">
        <f t="shared" si="12"/>
        <v/>
      </c>
      <c r="B395" s="136" t="str">
        <f>IF(D395&lt;&gt;"",'DATA TILL SLU'!$J$3,"")</f>
        <v/>
      </c>
      <c r="C395" s="146" t="str">
        <f>IF(D395&lt;&gt;"",'DATA TILL SLU'!$K$3,"")</f>
        <v/>
      </c>
      <c r="D395" s="2" t="str">
        <f>IF('DATA TILL SLU'!$D$7*1&lt;&gt;"",IF(COUNT(Beräkningshjälp!$AC$3:$AC$1082)&gt;=ROW(D394),'DATA TILL SLU'!$D$7*1,""),"")</f>
        <v/>
      </c>
      <c r="E395" s="136" t="str">
        <f>IF(D395&lt;&gt;"",VLOOKUP(ROW(E394),Beräkningshjälp!AC$2:AH$1082,COLUMN(Beräkningshjälp!AF$2)-COLUMN(Beräkningshjälp!AC$2)+1,FALSE),"")</f>
        <v/>
      </c>
      <c r="F395" s="352" t="str">
        <f t="shared" si="13"/>
        <v/>
      </c>
      <c r="G395" s="2" t="str">
        <f>IF(D395&lt;&gt;"",IF(VLOOKUP(VLOOKUP(E395,Beräkningshjälp!O$2:U$60,7,FALSE),Artuppgifter!$I$11:$P$22,8,FALSE)=TRUE,"Medelvikter!!","ALLA"),"")</f>
        <v/>
      </c>
      <c r="H395" s="2" t="str">
        <f>IF(D395&lt;&gt;"",VLOOKUP(ROW(H394),Beräkningshjälp!AC$2:AH$1082,COLUMN(Beräkningshjälp!AH$2)-COLUMN(Beräkningshjälp!AC$2)+1,FALSE),"")</f>
        <v/>
      </c>
      <c r="I395" s="116" t="str">
        <f>IF(D395&lt;&gt;"",VLOOKUP(ROW(E394),Beräkningshjälp!AC$2:AI$1082,COLUMN(Beräkningshjälp!AI$2)-COLUMN(Beräkningshjälp!AC$2)+1,FALSE),"")</f>
        <v/>
      </c>
    </row>
    <row r="396" spans="1:9" x14ac:dyDescent="0.25">
      <c r="A396" s="2" t="str">
        <f t="shared" si="12"/>
        <v/>
      </c>
      <c r="B396" s="136" t="str">
        <f>IF(D396&lt;&gt;"",'DATA TILL SLU'!$J$3,"")</f>
        <v/>
      </c>
      <c r="C396" s="146" t="str">
        <f>IF(D396&lt;&gt;"",'DATA TILL SLU'!$K$3,"")</f>
        <v/>
      </c>
      <c r="D396" s="2" t="str">
        <f>IF('DATA TILL SLU'!$D$7*1&lt;&gt;"",IF(COUNT(Beräkningshjälp!$AC$3:$AC$1082)&gt;=ROW(D395),'DATA TILL SLU'!$D$7*1,""),"")</f>
        <v/>
      </c>
      <c r="E396" s="136" t="str">
        <f>IF(D396&lt;&gt;"",VLOOKUP(ROW(E395),Beräkningshjälp!AC$2:AH$1082,COLUMN(Beräkningshjälp!AF$2)-COLUMN(Beräkningshjälp!AC$2)+1,FALSE),"")</f>
        <v/>
      </c>
      <c r="F396" s="352" t="str">
        <f t="shared" si="13"/>
        <v/>
      </c>
      <c r="G396" s="2" t="str">
        <f>IF(D396&lt;&gt;"",IF(VLOOKUP(VLOOKUP(E396,Beräkningshjälp!O$2:U$60,7,FALSE),Artuppgifter!$I$11:$P$22,8,FALSE)=TRUE,"Medelvikter!!","ALLA"),"")</f>
        <v/>
      </c>
      <c r="H396" s="2" t="str">
        <f>IF(D396&lt;&gt;"",VLOOKUP(ROW(H395),Beräkningshjälp!AC$2:AH$1082,COLUMN(Beräkningshjälp!AH$2)-COLUMN(Beräkningshjälp!AC$2)+1,FALSE),"")</f>
        <v/>
      </c>
      <c r="I396" s="116" t="str">
        <f>IF(D396&lt;&gt;"",VLOOKUP(ROW(E395),Beräkningshjälp!AC$2:AI$1082,COLUMN(Beräkningshjälp!AI$2)-COLUMN(Beräkningshjälp!AC$2)+1,FALSE),"")</f>
        <v/>
      </c>
    </row>
    <row r="397" spans="1:9" x14ac:dyDescent="0.25">
      <c r="A397" s="2" t="str">
        <f t="shared" si="12"/>
        <v/>
      </c>
      <c r="B397" s="136" t="str">
        <f>IF(D397&lt;&gt;"",'DATA TILL SLU'!$J$3,"")</f>
        <v/>
      </c>
      <c r="C397" s="146" t="str">
        <f>IF(D397&lt;&gt;"",'DATA TILL SLU'!$K$3,"")</f>
        <v/>
      </c>
      <c r="D397" s="2" t="str">
        <f>IF('DATA TILL SLU'!$D$7*1&lt;&gt;"",IF(COUNT(Beräkningshjälp!$AC$3:$AC$1082)&gt;=ROW(D396),'DATA TILL SLU'!$D$7*1,""),"")</f>
        <v/>
      </c>
      <c r="E397" s="136" t="str">
        <f>IF(D397&lt;&gt;"",VLOOKUP(ROW(E396),Beräkningshjälp!AC$2:AH$1082,COLUMN(Beräkningshjälp!AF$2)-COLUMN(Beräkningshjälp!AC$2)+1,FALSE),"")</f>
        <v/>
      </c>
      <c r="F397" s="352" t="str">
        <f t="shared" si="13"/>
        <v/>
      </c>
      <c r="G397" s="2" t="str">
        <f>IF(D397&lt;&gt;"",IF(VLOOKUP(VLOOKUP(E397,Beräkningshjälp!O$2:U$60,7,FALSE),Artuppgifter!$I$11:$P$22,8,FALSE)=TRUE,"Medelvikter!!","ALLA"),"")</f>
        <v/>
      </c>
      <c r="H397" s="2" t="str">
        <f>IF(D397&lt;&gt;"",VLOOKUP(ROW(H396),Beräkningshjälp!AC$2:AH$1082,COLUMN(Beräkningshjälp!AH$2)-COLUMN(Beräkningshjälp!AC$2)+1,FALSE),"")</f>
        <v/>
      </c>
      <c r="I397" s="116" t="str">
        <f>IF(D397&lt;&gt;"",VLOOKUP(ROW(E396),Beräkningshjälp!AC$2:AI$1082,COLUMN(Beräkningshjälp!AI$2)-COLUMN(Beräkningshjälp!AC$2)+1,FALSE),"")</f>
        <v/>
      </c>
    </row>
    <row r="398" spans="1:9" x14ac:dyDescent="0.25">
      <c r="A398" s="2" t="str">
        <f t="shared" si="12"/>
        <v/>
      </c>
      <c r="B398" s="136" t="str">
        <f>IF(D398&lt;&gt;"",'DATA TILL SLU'!$J$3,"")</f>
        <v/>
      </c>
      <c r="C398" s="146" t="str">
        <f>IF(D398&lt;&gt;"",'DATA TILL SLU'!$K$3,"")</f>
        <v/>
      </c>
      <c r="D398" s="2" t="str">
        <f>IF('DATA TILL SLU'!$D$7*1&lt;&gt;"",IF(COUNT(Beräkningshjälp!$AC$3:$AC$1082)&gt;=ROW(D397),'DATA TILL SLU'!$D$7*1,""),"")</f>
        <v/>
      </c>
      <c r="E398" s="136" t="str">
        <f>IF(D398&lt;&gt;"",VLOOKUP(ROW(E397),Beräkningshjälp!AC$2:AH$1082,COLUMN(Beräkningshjälp!AF$2)-COLUMN(Beräkningshjälp!AC$2)+1,FALSE),"")</f>
        <v/>
      </c>
      <c r="F398" s="352" t="str">
        <f t="shared" si="13"/>
        <v/>
      </c>
      <c r="G398" s="2" t="str">
        <f>IF(D398&lt;&gt;"",IF(VLOOKUP(VLOOKUP(E398,Beräkningshjälp!O$2:U$60,7,FALSE),Artuppgifter!$I$11:$P$22,8,FALSE)=TRUE,"Medelvikter!!","ALLA"),"")</f>
        <v/>
      </c>
      <c r="H398" s="2" t="str">
        <f>IF(D398&lt;&gt;"",VLOOKUP(ROW(H397),Beräkningshjälp!AC$2:AH$1082,COLUMN(Beräkningshjälp!AH$2)-COLUMN(Beräkningshjälp!AC$2)+1,FALSE),"")</f>
        <v/>
      </c>
      <c r="I398" s="116" t="str">
        <f>IF(D398&lt;&gt;"",VLOOKUP(ROW(E397),Beräkningshjälp!AC$2:AI$1082,COLUMN(Beräkningshjälp!AI$2)-COLUMN(Beräkningshjälp!AC$2)+1,FALSE),"")</f>
        <v/>
      </c>
    </row>
    <row r="399" spans="1:9" x14ac:dyDescent="0.25">
      <c r="A399" s="2" t="str">
        <f t="shared" si="12"/>
        <v/>
      </c>
      <c r="B399" s="136" t="str">
        <f>IF(D399&lt;&gt;"",'DATA TILL SLU'!$J$3,"")</f>
        <v/>
      </c>
      <c r="C399" s="146" t="str">
        <f>IF(D399&lt;&gt;"",'DATA TILL SLU'!$K$3,"")</f>
        <v/>
      </c>
      <c r="D399" s="2" t="str">
        <f>IF('DATA TILL SLU'!$D$7*1&lt;&gt;"",IF(COUNT(Beräkningshjälp!$AC$3:$AC$1082)&gt;=ROW(D398),'DATA TILL SLU'!$D$7*1,""),"")</f>
        <v/>
      </c>
      <c r="E399" s="136" t="str">
        <f>IF(D399&lt;&gt;"",VLOOKUP(ROW(E398),Beräkningshjälp!AC$2:AH$1082,COLUMN(Beräkningshjälp!AF$2)-COLUMN(Beräkningshjälp!AC$2)+1,FALSE),"")</f>
        <v/>
      </c>
      <c r="F399" s="352" t="str">
        <f t="shared" si="13"/>
        <v/>
      </c>
      <c r="G399" s="2" t="str">
        <f>IF(D399&lt;&gt;"",IF(VLOOKUP(VLOOKUP(E399,Beräkningshjälp!O$2:U$60,7,FALSE),Artuppgifter!$I$11:$P$22,8,FALSE)=TRUE,"Medelvikter!!","ALLA"),"")</f>
        <v/>
      </c>
      <c r="H399" s="2" t="str">
        <f>IF(D399&lt;&gt;"",VLOOKUP(ROW(H398),Beräkningshjälp!AC$2:AH$1082,COLUMN(Beräkningshjälp!AH$2)-COLUMN(Beräkningshjälp!AC$2)+1,FALSE),"")</f>
        <v/>
      </c>
      <c r="I399" s="116" t="str">
        <f>IF(D399&lt;&gt;"",VLOOKUP(ROW(E398),Beräkningshjälp!AC$2:AI$1082,COLUMN(Beräkningshjälp!AI$2)-COLUMN(Beräkningshjälp!AC$2)+1,FALSE),"")</f>
        <v/>
      </c>
    </row>
    <row r="400" spans="1:9" x14ac:dyDescent="0.25">
      <c r="A400" s="2" t="str">
        <f t="shared" si="12"/>
        <v/>
      </c>
      <c r="B400" s="136" t="str">
        <f>IF(D400&lt;&gt;"",'DATA TILL SLU'!$J$3,"")</f>
        <v/>
      </c>
      <c r="C400" s="146" t="str">
        <f>IF(D400&lt;&gt;"",'DATA TILL SLU'!$K$3,"")</f>
        <v/>
      </c>
      <c r="D400" s="2" t="str">
        <f>IF('DATA TILL SLU'!$D$7*1&lt;&gt;"",IF(COUNT(Beräkningshjälp!$AC$3:$AC$1082)&gt;=ROW(D399),'DATA TILL SLU'!$D$7*1,""),"")</f>
        <v/>
      </c>
      <c r="E400" s="136" t="str">
        <f>IF(D400&lt;&gt;"",VLOOKUP(ROW(E399),Beräkningshjälp!AC$2:AH$1082,COLUMN(Beräkningshjälp!AF$2)-COLUMN(Beräkningshjälp!AC$2)+1,FALSE),"")</f>
        <v/>
      </c>
      <c r="F400" s="352" t="str">
        <f t="shared" si="13"/>
        <v/>
      </c>
      <c r="G400" s="2" t="str">
        <f>IF(D400&lt;&gt;"",IF(VLOOKUP(VLOOKUP(E400,Beräkningshjälp!O$2:U$60,7,FALSE),Artuppgifter!$I$11:$P$22,8,FALSE)=TRUE,"Medelvikter!!","ALLA"),"")</f>
        <v/>
      </c>
      <c r="H400" s="2" t="str">
        <f>IF(D400&lt;&gt;"",VLOOKUP(ROW(H399),Beräkningshjälp!AC$2:AH$1082,COLUMN(Beräkningshjälp!AH$2)-COLUMN(Beräkningshjälp!AC$2)+1,FALSE),"")</f>
        <v/>
      </c>
      <c r="I400" s="116" t="str">
        <f>IF(D400&lt;&gt;"",VLOOKUP(ROW(E399),Beräkningshjälp!AC$2:AI$1082,COLUMN(Beräkningshjälp!AI$2)-COLUMN(Beräkningshjälp!AC$2)+1,FALSE),"")</f>
        <v/>
      </c>
    </row>
    <row r="401" spans="1:9" x14ac:dyDescent="0.25">
      <c r="A401" s="2" t="str">
        <f t="shared" si="12"/>
        <v/>
      </c>
      <c r="B401" s="136" t="str">
        <f>IF(D401&lt;&gt;"",'DATA TILL SLU'!$J$3,"")</f>
        <v/>
      </c>
      <c r="C401" s="146" t="str">
        <f>IF(D401&lt;&gt;"",'DATA TILL SLU'!$K$3,"")</f>
        <v/>
      </c>
      <c r="D401" s="2" t="str">
        <f>IF('DATA TILL SLU'!$D$7*1&lt;&gt;"",IF(COUNT(Beräkningshjälp!$AC$3:$AC$1082)&gt;=ROW(D400),'DATA TILL SLU'!$D$7*1,""),"")</f>
        <v/>
      </c>
      <c r="E401" s="136" t="str">
        <f>IF(D401&lt;&gt;"",VLOOKUP(ROW(E400),Beräkningshjälp!AC$2:AH$1082,COLUMN(Beräkningshjälp!AF$2)-COLUMN(Beräkningshjälp!AC$2)+1,FALSE),"")</f>
        <v/>
      </c>
      <c r="F401" s="352" t="str">
        <f t="shared" si="13"/>
        <v/>
      </c>
      <c r="G401" s="2" t="str">
        <f>IF(D401&lt;&gt;"",IF(VLOOKUP(VLOOKUP(E401,Beräkningshjälp!O$2:U$60,7,FALSE),Artuppgifter!$I$11:$P$22,8,FALSE)=TRUE,"Medelvikter!!","ALLA"),"")</f>
        <v/>
      </c>
      <c r="H401" s="2" t="str">
        <f>IF(D401&lt;&gt;"",VLOOKUP(ROW(H400),Beräkningshjälp!AC$2:AH$1082,COLUMN(Beräkningshjälp!AH$2)-COLUMN(Beräkningshjälp!AC$2)+1,FALSE),"")</f>
        <v/>
      </c>
      <c r="I401" s="116" t="str">
        <f>IF(D401&lt;&gt;"",VLOOKUP(ROW(E400),Beräkningshjälp!AC$2:AI$1082,COLUMN(Beräkningshjälp!AI$2)-COLUMN(Beräkningshjälp!AC$2)+1,FALSE),"")</f>
        <v/>
      </c>
    </row>
    <row r="402" spans="1:9" x14ac:dyDescent="0.25">
      <c r="A402" s="2" t="str">
        <f t="shared" si="12"/>
        <v/>
      </c>
      <c r="B402" s="136" t="str">
        <f>IF(D402&lt;&gt;"",'DATA TILL SLU'!$J$3,"")</f>
        <v/>
      </c>
      <c r="C402" s="146" t="str">
        <f>IF(D402&lt;&gt;"",'DATA TILL SLU'!$K$3,"")</f>
        <v/>
      </c>
      <c r="D402" s="2" t="str">
        <f>IF('DATA TILL SLU'!$D$7*1&lt;&gt;"",IF(COUNT(Beräkningshjälp!$AC$3:$AC$1082)&gt;=ROW(D401),'DATA TILL SLU'!$D$7*1,""),"")</f>
        <v/>
      </c>
      <c r="E402" s="136" t="str">
        <f>IF(D402&lt;&gt;"",VLOOKUP(ROW(E401),Beräkningshjälp!AC$2:AH$1082,COLUMN(Beräkningshjälp!AF$2)-COLUMN(Beräkningshjälp!AC$2)+1,FALSE),"")</f>
        <v/>
      </c>
      <c r="F402" s="352" t="str">
        <f t="shared" si="13"/>
        <v/>
      </c>
      <c r="G402" s="2" t="str">
        <f>IF(D402&lt;&gt;"",IF(VLOOKUP(VLOOKUP(E402,Beräkningshjälp!O$2:U$60,7,FALSE),Artuppgifter!$I$11:$P$22,8,FALSE)=TRUE,"Medelvikter!!","ALLA"),"")</f>
        <v/>
      </c>
      <c r="H402" s="2" t="str">
        <f>IF(D402&lt;&gt;"",VLOOKUP(ROW(H401),Beräkningshjälp!AC$2:AH$1082,COLUMN(Beräkningshjälp!AH$2)-COLUMN(Beräkningshjälp!AC$2)+1,FALSE),"")</f>
        <v/>
      </c>
      <c r="I402" s="116" t="str">
        <f>IF(D402&lt;&gt;"",VLOOKUP(ROW(E401),Beräkningshjälp!AC$2:AI$1082,COLUMN(Beräkningshjälp!AI$2)-COLUMN(Beräkningshjälp!AC$2)+1,FALSE),"")</f>
        <v/>
      </c>
    </row>
    <row r="403" spans="1:9" x14ac:dyDescent="0.25">
      <c r="A403" s="2" t="str">
        <f t="shared" si="12"/>
        <v/>
      </c>
      <c r="B403" s="136" t="str">
        <f>IF(D403&lt;&gt;"",'DATA TILL SLU'!$J$3,"")</f>
        <v/>
      </c>
      <c r="C403" s="146" t="str">
        <f>IF(D403&lt;&gt;"",'DATA TILL SLU'!$K$3,"")</f>
        <v/>
      </c>
      <c r="D403" s="2" t="str">
        <f>IF('DATA TILL SLU'!$D$7*1&lt;&gt;"",IF(COUNT(Beräkningshjälp!$AC$3:$AC$1082)&gt;=ROW(D402),'DATA TILL SLU'!$D$7*1,""),"")</f>
        <v/>
      </c>
      <c r="E403" s="136" t="str">
        <f>IF(D403&lt;&gt;"",VLOOKUP(ROW(E402),Beräkningshjälp!AC$2:AH$1082,COLUMN(Beräkningshjälp!AF$2)-COLUMN(Beräkningshjälp!AC$2)+1,FALSE),"")</f>
        <v/>
      </c>
      <c r="F403" s="352" t="str">
        <f t="shared" si="13"/>
        <v/>
      </c>
      <c r="G403" s="2" t="str">
        <f>IF(D403&lt;&gt;"",IF(VLOOKUP(VLOOKUP(E403,Beräkningshjälp!O$2:U$60,7,FALSE),Artuppgifter!$I$11:$P$22,8,FALSE)=TRUE,"Medelvikter!!","ALLA"),"")</f>
        <v/>
      </c>
      <c r="H403" s="2" t="str">
        <f>IF(D403&lt;&gt;"",VLOOKUP(ROW(H402),Beräkningshjälp!AC$2:AH$1082,COLUMN(Beräkningshjälp!AH$2)-COLUMN(Beräkningshjälp!AC$2)+1,FALSE),"")</f>
        <v/>
      </c>
      <c r="I403" s="116" t="str">
        <f>IF(D403&lt;&gt;"",VLOOKUP(ROW(E402),Beräkningshjälp!AC$2:AI$1082,COLUMN(Beräkningshjälp!AI$2)-COLUMN(Beräkningshjälp!AC$2)+1,FALSE),"")</f>
        <v/>
      </c>
    </row>
    <row r="404" spans="1:9" x14ac:dyDescent="0.25">
      <c r="A404" s="2" t="str">
        <f t="shared" si="12"/>
        <v/>
      </c>
      <c r="B404" s="136" t="str">
        <f>IF(D404&lt;&gt;"",'DATA TILL SLU'!$J$3,"")</f>
        <v/>
      </c>
      <c r="C404" s="146" t="str">
        <f>IF(D404&lt;&gt;"",'DATA TILL SLU'!$K$3,"")</f>
        <v/>
      </c>
      <c r="D404" s="2" t="str">
        <f>IF('DATA TILL SLU'!$D$7*1&lt;&gt;"",IF(COUNT(Beräkningshjälp!$AC$3:$AC$1082)&gt;=ROW(D403),'DATA TILL SLU'!$D$7*1,""),"")</f>
        <v/>
      </c>
      <c r="E404" s="136" t="str">
        <f>IF(D404&lt;&gt;"",VLOOKUP(ROW(E403),Beräkningshjälp!AC$2:AH$1082,COLUMN(Beräkningshjälp!AF$2)-COLUMN(Beräkningshjälp!AC$2)+1,FALSE),"")</f>
        <v/>
      </c>
      <c r="F404" s="352" t="str">
        <f t="shared" si="13"/>
        <v/>
      </c>
      <c r="G404" s="2" t="str">
        <f>IF(D404&lt;&gt;"",IF(VLOOKUP(VLOOKUP(E404,Beräkningshjälp!O$2:U$60,7,FALSE),Artuppgifter!$I$11:$P$22,8,FALSE)=TRUE,"Medelvikter!!","ALLA"),"")</f>
        <v/>
      </c>
      <c r="H404" s="2" t="str">
        <f>IF(D404&lt;&gt;"",VLOOKUP(ROW(H403),Beräkningshjälp!AC$2:AH$1082,COLUMN(Beräkningshjälp!AH$2)-COLUMN(Beräkningshjälp!AC$2)+1,FALSE),"")</f>
        <v/>
      </c>
      <c r="I404" s="116" t="str">
        <f>IF(D404&lt;&gt;"",VLOOKUP(ROW(E403),Beräkningshjälp!AC$2:AI$1082,COLUMN(Beräkningshjälp!AI$2)-COLUMN(Beräkningshjälp!AC$2)+1,FALSE),"")</f>
        <v/>
      </c>
    </row>
    <row r="405" spans="1:9" x14ac:dyDescent="0.25">
      <c r="A405" s="2" t="str">
        <f t="shared" si="12"/>
        <v/>
      </c>
      <c r="B405" s="136" t="str">
        <f>IF(D405&lt;&gt;"",'DATA TILL SLU'!$J$3,"")</f>
        <v/>
      </c>
      <c r="C405" s="146" t="str">
        <f>IF(D405&lt;&gt;"",'DATA TILL SLU'!$K$3,"")</f>
        <v/>
      </c>
      <c r="D405" s="2" t="str">
        <f>IF('DATA TILL SLU'!$D$7*1&lt;&gt;"",IF(COUNT(Beräkningshjälp!$AC$3:$AC$1082)&gt;=ROW(D404),'DATA TILL SLU'!$D$7*1,""),"")</f>
        <v/>
      </c>
      <c r="E405" s="136" t="str">
        <f>IF(D405&lt;&gt;"",VLOOKUP(ROW(E404),Beräkningshjälp!AC$2:AH$1082,COLUMN(Beräkningshjälp!AF$2)-COLUMN(Beräkningshjälp!AC$2)+1,FALSE),"")</f>
        <v/>
      </c>
      <c r="F405" s="352" t="str">
        <f t="shared" si="13"/>
        <v/>
      </c>
      <c r="G405" s="2" t="str">
        <f>IF(D405&lt;&gt;"",IF(VLOOKUP(VLOOKUP(E405,Beräkningshjälp!O$2:U$60,7,FALSE),Artuppgifter!$I$11:$P$22,8,FALSE)=TRUE,"Medelvikter!!","ALLA"),"")</f>
        <v/>
      </c>
      <c r="H405" s="2" t="str">
        <f>IF(D405&lt;&gt;"",VLOOKUP(ROW(H404),Beräkningshjälp!AC$2:AH$1082,COLUMN(Beräkningshjälp!AH$2)-COLUMN(Beräkningshjälp!AC$2)+1,FALSE),"")</f>
        <v/>
      </c>
      <c r="I405" s="116" t="str">
        <f>IF(D405&lt;&gt;"",VLOOKUP(ROW(E404),Beräkningshjälp!AC$2:AI$1082,COLUMN(Beräkningshjälp!AI$2)-COLUMN(Beräkningshjälp!AC$2)+1,FALSE),"")</f>
        <v/>
      </c>
    </row>
    <row r="406" spans="1:9" x14ac:dyDescent="0.25">
      <c r="A406" s="2" t="str">
        <f t="shared" si="12"/>
        <v/>
      </c>
      <c r="B406" s="136" t="str">
        <f>IF(D406&lt;&gt;"",'DATA TILL SLU'!$J$3,"")</f>
        <v/>
      </c>
      <c r="C406" s="146" t="str">
        <f>IF(D406&lt;&gt;"",'DATA TILL SLU'!$K$3,"")</f>
        <v/>
      </c>
      <c r="D406" s="2" t="str">
        <f>IF('DATA TILL SLU'!$D$7*1&lt;&gt;"",IF(COUNT(Beräkningshjälp!$AC$3:$AC$1082)&gt;=ROW(D405),'DATA TILL SLU'!$D$7*1,""),"")</f>
        <v/>
      </c>
      <c r="E406" s="136" t="str">
        <f>IF(D406&lt;&gt;"",VLOOKUP(ROW(E405),Beräkningshjälp!AC$2:AH$1082,COLUMN(Beräkningshjälp!AF$2)-COLUMN(Beräkningshjälp!AC$2)+1,FALSE),"")</f>
        <v/>
      </c>
      <c r="F406" s="352" t="str">
        <f t="shared" si="13"/>
        <v/>
      </c>
      <c r="G406" s="2" t="str">
        <f>IF(D406&lt;&gt;"",IF(VLOOKUP(VLOOKUP(E406,Beräkningshjälp!O$2:U$60,7,FALSE),Artuppgifter!$I$11:$P$22,8,FALSE)=TRUE,"Medelvikter!!","ALLA"),"")</f>
        <v/>
      </c>
      <c r="H406" s="2" t="str">
        <f>IF(D406&lt;&gt;"",VLOOKUP(ROW(H405),Beräkningshjälp!AC$2:AH$1082,COLUMN(Beräkningshjälp!AH$2)-COLUMN(Beräkningshjälp!AC$2)+1,FALSE),"")</f>
        <v/>
      </c>
      <c r="I406" s="116" t="str">
        <f>IF(D406&lt;&gt;"",VLOOKUP(ROW(E405),Beräkningshjälp!AC$2:AI$1082,COLUMN(Beräkningshjälp!AI$2)-COLUMN(Beräkningshjälp!AC$2)+1,FALSE),"")</f>
        <v/>
      </c>
    </row>
    <row r="407" spans="1:9" x14ac:dyDescent="0.25">
      <c r="A407" s="2" t="str">
        <f t="shared" si="12"/>
        <v/>
      </c>
      <c r="B407" s="136" t="str">
        <f>IF(D407&lt;&gt;"",'DATA TILL SLU'!$J$3,"")</f>
        <v/>
      </c>
      <c r="C407" s="146" t="str">
        <f>IF(D407&lt;&gt;"",'DATA TILL SLU'!$K$3,"")</f>
        <v/>
      </c>
      <c r="D407" s="2" t="str">
        <f>IF('DATA TILL SLU'!$D$7*1&lt;&gt;"",IF(COUNT(Beräkningshjälp!$AC$3:$AC$1082)&gt;=ROW(D406),'DATA TILL SLU'!$D$7*1,""),"")</f>
        <v/>
      </c>
      <c r="E407" s="136" t="str">
        <f>IF(D407&lt;&gt;"",VLOOKUP(ROW(E406),Beräkningshjälp!AC$2:AH$1082,COLUMN(Beräkningshjälp!AF$2)-COLUMN(Beräkningshjälp!AC$2)+1,FALSE),"")</f>
        <v/>
      </c>
      <c r="F407" s="352" t="str">
        <f t="shared" si="13"/>
        <v/>
      </c>
      <c r="G407" s="2" t="str">
        <f>IF(D407&lt;&gt;"",IF(VLOOKUP(VLOOKUP(E407,Beräkningshjälp!O$2:U$60,7,FALSE),Artuppgifter!$I$11:$P$22,8,FALSE)=TRUE,"Medelvikter!!","ALLA"),"")</f>
        <v/>
      </c>
      <c r="H407" s="2" t="str">
        <f>IF(D407&lt;&gt;"",VLOOKUP(ROW(H406),Beräkningshjälp!AC$2:AH$1082,COLUMN(Beräkningshjälp!AH$2)-COLUMN(Beräkningshjälp!AC$2)+1,FALSE),"")</f>
        <v/>
      </c>
      <c r="I407" s="116" t="str">
        <f>IF(D407&lt;&gt;"",VLOOKUP(ROW(E406),Beräkningshjälp!AC$2:AI$1082,COLUMN(Beräkningshjälp!AI$2)-COLUMN(Beräkningshjälp!AC$2)+1,FALSE),"")</f>
        <v/>
      </c>
    </row>
    <row r="408" spans="1:9" x14ac:dyDescent="0.25">
      <c r="A408" s="2" t="str">
        <f t="shared" si="12"/>
        <v/>
      </c>
      <c r="B408" s="136" t="str">
        <f>IF(D408&lt;&gt;"",'DATA TILL SLU'!$J$3,"")</f>
        <v/>
      </c>
      <c r="C408" s="146" t="str">
        <f>IF(D408&lt;&gt;"",'DATA TILL SLU'!$K$3,"")</f>
        <v/>
      </c>
      <c r="D408" s="2" t="str">
        <f>IF('DATA TILL SLU'!$D$7*1&lt;&gt;"",IF(COUNT(Beräkningshjälp!$AC$3:$AC$1082)&gt;=ROW(D407),'DATA TILL SLU'!$D$7*1,""),"")</f>
        <v/>
      </c>
      <c r="E408" s="136" t="str">
        <f>IF(D408&lt;&gt;"",VLOOKUP(ROW(E407),Beräkningshjälp!AC$2:AH$1082,COLUMN(Beräkningshjälp!AF$2)-COLUMN(Beräkningshjälp!AC$2)+1,FALSE),"")</f>
        <v/>
      </c>
      <c r="F408" s="352" t="str">
        <f t="shared" si="13"/>
        <v/>
      </c>
      <c r="G408" s="2" t="str">
        <f>IF(D408&lt;&gt;"",IF(VLOOKUP(VLOOKUP(E408,Beräkningshjälp!O$2:U$60,7,FALSE),Artuppgifter!$I$11:$P$22,8,FALSE)=TRUE,"Medelvikter!!","ALLA"),"")</f>
        <v/>
      </c>
      <c r="H408" s="2" t="str">
        <f>IF(D408&lt;&gt;"",VLOOKUP(ROW(H407),Beräkningshjälp!AC$2:AH$1082,COLUMN(Beräkningshjälp!AH$2)-COLUMN(Beräkningshjälp!AC$2)+1,FALSE),"")</f>
        <v/>
      </c>
      <c r="I408" s="116" t="str">
        <f>IF(D408&lt;&gt;"",VLOOKUP(ROW(E407),Beräkningshjälp!AC$2:AI$1082,COLUMN(Beräkningshjälp!AI$2)-COLUMN(Beräkningshjälp!AC$2)+1,FALSE),"")</f>
        <v/>
      </c>
    </row>
    <row r="409" spans="1:9" x14ac:dyDescent="0.25">
      <c r="A409" s="2" t="str">
        <f t="shared" si="12"/>
        <v/>
      </c>
      <c r="B409" s="136" t="str">
        <f>IF(D409&lt;&gt;"",'DATA TILL SLU'!$J$3,"")</f>
        <v/>
      </c>
      <c r="C409" s="146" t="str">
        <f>IF(D409&lt;&gt;"",'DATA TILL SLU'!$K$3,"")</f>
        <v/>
      </c>
      <c r="D409" s="2" t="str">
        <f>IF('DATA TILL SLU'!$D$7*1&lt;&gt;"",IF(COUNT(Beräkningshjälp!$AC$3:$AC$1082)&gt;=ROW(D408),'DATA TILL SLU'!$D$7*1,""),"")</f>
        <v/>
      </c>
      <c r="E409" s="136" t="str">
        <f>IF(D409&lt;&gt;"",VLOOKUP(ROW(E408),Beräkningshjälp!AC$2:AH$1082,COLUMN(Beräkningshjälp!AF$2)-COLUMN(Beräkningshjälp!AC$2)+1,FALSE),"")</f>
        <v/>
      </c>
      <c r="F409" s="352" t="str">
        <f t="shared" si="13"/>
        <v/>
      </c>
      <c r="G409" s="2" t="str">
        <f>IF(D409&lt;&gt;"",IF(VLOOKUP(VLOOKUP(E409,Beräkningshjälp!O$2:U$60,7,FALSE),Artuppgifter!$I$11:$P$22,8,FALSE)=TRUE,"Medelvikter!!","ALLA"),"")</f>
        <v/>
      </c>
      <c r="H409" s="2" t="str">
        <f>IF(D409&lt;&gt;"",VLOOKUP(ROW(H408),Beräkningshjälp!AC$2:AH$1082,COLUMN(Beräkningshjälp!AH$2)-COLUMN(Beräkningshjälp!AC$2)+1,FALSE),"")</f>
        <v/>
      </c>
      <c r="I409" s="116" t="str">
        <f>IF(D409&lt;&gt;"",VLOOKUP(ROW(E408),Beräkningshjälp!AC$2:AI$1082,COLUMN(Beräkningshjälp!AI$2)-COLUMN(Beräkningshjälp!AC$2)+1,FALSE),"")</f>
        <v/>
      </c>
    </row>
    <row r="410" spans="1:9" x14ac:dyDescent="0.25">
      <c r="A410" s="2" t="str">
        <f t="shared" si="12"/>
        <v/>
      </c>
      <c r="B410" s="136" t="str">
        <f>IF(D410&lt;&gt;"",'DATA TILL SLU'!$J$3,"")</f>
        <v/>
      </c>
      <c r="C410" s="146" t="str">
        <f>IF(D410&lt;&gt;"",'DATA TILL SLU'!$K$3,"")</f>
        <v/>
      </c>
      <c r="D410" s="2" t="str">
        <f>IF('DATA TILL SLU'!$D$7*1&lt;&gt;"",IF(COUNT(Beräkningshjälp!$AC$3:$AC$1082)&gt;=ROW(D409),'DATA TILL SLU'!$D$7*1,""),"")</f>
        <v/>
      </c>
      <c r="E410" s="136" t="str">
        <f>IF(D410&lt;&gt;"",VLOOKUP(ROW(E409),Beräkningshjälp!AC$2:AH$1082,COLUMN(Beräkningshjälp!AF$2)-COLUMN(Beräkningshjälp!AC$2)+1,FALSE),"")</f>
        <v/>
      </c>
      <c r="F410" s="352" t="str">
        <f t="shared" si="13"/>
        <v/>
      </c>
      <c r="G410" s="2" t="str">
        <f>IF(D410&lt;&gt;"",IF(VLOOKUP(VLOOKUP(E410,Beräkningshjälp!O$2:U$60,7,FALSE),Artuppgifter!$I$11:$P$22,8,FALSE)=TRUE,"Medelvikter!!","ALLA"),"")</f>
        <v/>
      </c>
      <c r="H410" s="2" t="str">
        <f>IF(D410&lt;&gt;"",VLOOKUP(ROW(H409),Beräkningshjälp!AC$2:AH$1082,COLUMN(Beräkningshjälp!AH$2)-COLUMN(Beräkningshjälp!AC$2)+1,FALSE),"")</f>
        <v/>
      </c>
      <c r="I410" s="116" t="str">
        <f>IF(D410&lt;&gt;"",VLOOKUP(ROW(E409),Beräkningshjälp!AC$2:AI$1082,COLUMN(Beräkningshjälp!AI$2)-COLUMN(Beräkningshjälp!AC$2)+1,FALSE),"")</f>
        <v/>
      </c>
    </row>
    <row r="411" spans="1:9" x14ac:dyDescent="0.25">
      <c r="A411" s="2" t="str">
        <f t="shared" si="12"/>
        <v/>
      </c>
      <c r="B411" s="136" t="str">
        <f>IF(D411&lt;&gt;"",'DATA TILL SLU'!$J$3,"")</f>
        <v/>
      </c>
      <c r="C411" s="146" t="str">
        <f>IF(D411&lt;&gt;"",'DATA TILL SLU'!$K$3,"")</f>
        <v/>
      </c>
      <c r="D411" s="2" t="str">
        <f>IF('DATA TILL SLU'!$D$7*1&lt;&gt;"",IF(COUNT(Beräkningshjälp!$AC$3:$AC$1082)&gt;=ROW(D410),'DATA TILL SLU'!$D$7*1,""),"")</f>
        <v/>
      </c>
      <c r="E411" s="136" t="str">
        <f>IF(D411&lt;&gt;"",VLOOKUP(ROW(E410),Beräkningshjälp!AC$2:AH$1082,COLUMN(Beräkningshjälp!AF$2)-COLUMN(Beräkningshjälp!AC$2)+1,FALSE),"")</f>
        <v/>
      </c>
      <c r="F411" s="352" t="str">
        <f t="shared" si="13"/>
        <v/>
      </c>
      <c r="G411" s="2" t="str">
        <f>IF(D411&lt;&gt;"",IF(VLOOKUP(VLOOKUP(E411,Beräkningshjälp!O$2:U$60,7,FALSE),Artuppgifter!$I$11:$P$22,8,FALSE)=TRUE,"Medelvikter!!","ALLA"),"")</f>
        <v/>
      </c>
      <c r="H411" s="2" t="str">
        <f>IF(D411&lt;&gt;"",VLOOKUP(ROW(H410),Beräkningshjälp!AC$2:AH$1082,COLUMN(Beräkningshjälp!AH$2)-COLUMN(Beräkningshjälp!AC$2)+1,FALSE),"")</f>
        <v/>
      </c>
      <c r="I411" s="116" t="str">
        <f>IF(D411&lt;&gt;"",VLOOKUP(ROW(E410),Beräkningshjälp!AC$2:AI$1082,COLUMN(Beräkningshjälp!AI$2)-COLUMN(Beräkningshjälp!AC$2)+1,FALSE),"")</f>
        <v/>
      </c>
    </row>
    <row r="412" spans="1:9" x14ac:dyDescent="0.25">
      <c r="A412" s="2" t="str">
        <f t="shared" si="12"/>
        <v/>
      </c>
      <c r="B412" s="136" t="str">
        <f>IF(D412&lt;&gt;"",'DATA TILL SLU'!$J$3,"")</f>
        <v/>
      </c>
      <c r="C412" s="146" t="str">
        <f>IF(D412&lt;&gt;"",'DATA TILL SLU'!$K$3,"")</f>
        <v/>
      </c>
      <c r="D412" s="2" t="str">
        <f>IF('DATA TILL SLU'!$D$7*1&lt;&gt;"",IF(COUNT(Beräkningshjälp!$AC$3:$AC$1082)&gt;=ROW(D411),'DATA TILL SLU'!$D$7*1,""),"")</f>
        <v/>
      </c>
      <c r="E412" s="136" t="str">
        <f>IF(D412&lt;&gt;"",VLOOKUP(ROW(E411),Beräkningshjälp!AC$2:AH$1082,COLUMN(Beräkningshjälp!AF$2)-COLUMN(Beräkningshjälp!AC$2)+1,FALSE),"")</f>
        <v/>
      </c>
      <c r="F412" s="352" t="str">
        <f t="shared" si="13"/>
        <v/>
      </c>
      <c r="G412" s="2" t="str">
        <f>IF(D412&lt;&gt;"",IF(VLOOKUP(VLOOKUP(E412,Beräkningshjälp!O$2:U$60,7,FALSE),Artuppgifter!$I$11:$P$22,8,FALSE)=TRUE,"Medelvikter!!","ALLA"),"")</f>
        <v/>
      </c>
      <c r="H412" s="2" t="str">
        <f>IF(D412&lt;&gt;"",VLOOKUP(ROW(H411),Beräkningshjälp!AC$2:AH$1082,COLUMN(Beräkningshjälp!AH$2)-COLUMN(Beräkningshjälp!AC$2)+1,FALSE),"")</f>
        <v/>
      </c>
      <c r="I412" s="116" t="str">
        <f>IF(D412&lt;&gt;"",VLOOKUP(ROW(E411),Beräkningshjälp!AC$2:AI$1082,COLUMN(Beräkningshjälp!AI$2)-COLUMN(Beräkningshjälp!AC$2)+1,FALSE),"")</f>
        <v/>
      </c>
    </row>
    <row r="413" spans="1:9" x14ac:dyDescent="0.25">
      <c r="A413" s="2" t="str">
        <f t="shared" si="12"/>
        <v/>
      </c>
      <c r="B413" s="136" t="str">
        <f>IF(D413&lt;&gt;"",'DATA TILL SLU'!$J$3,"")</f>
        <v/>
      </c>
      <c r="C413" s="146" t="str">
        <f>IF(D413&lt;&gt;"",'DATA TILL SLU'!$K$3,"")</f>
        <v/>
      </c>
      <c r="D413" s="2" t="str">
        <f>IF('DATA TILL SLU'!$D$7*1&lt;&gt;"",IF(COUNT(Beräkningshjälp!$AC$3:$AC$1082)&gt;=ROW(D412),'DATA TILL SLU'!$D$7*1,""),"")</f>
        <v/>
      </c>
      <c r="E413" s="136" t="str">
        <f>IF(D413&lt;&gt;"",VLOOKUP(ROW(E412),Beräkningshjälp!AC$2:AH$1082,COLUMN(Beräkningshjälp!AF$2)-COLUMN(Beräkningshjälp!AC$2)+1,FALSE),"")</f>
        <v/>
      </c>
      <c r="F413" s="352" t="str">
        <f t="shared" si="13"/>
        <v/>
      </c>
      <c r="G413" s="2" t="str">
        <f>IF(D413&lt;&gt;"",IF(VLOOKUP(VLOOKUP(E413,Beräkningshjälp!O$2:U$60,7,FALSE),Artuppgifter!$I$11:$P$22,8,FALSE)=TRUE,"Medelvikter!!","ALLA"),"")</f>
        <v/>
      </c>
      <c r="H413" s="2" t="str">
        <f>IF(D413&lt;&gt;"",VLOOKUP(ROW(H412),Beräkningshjälp!AC$2:AH$1082,COLUMN(Beräkningshjälp!AH$2)-COLUMN(Beräkningshjälp!AC$2)+1,FALSE),"")</f>
        <v/>
      </c>
      <c r="I413" s="116" t="str">
        <f>IF(D413&lt;&gt;"",VLOOKUP(ROW(E412),Beräkningshjälp!AC$2:AI$1082,COLUMN(Beräkningshjälp!AI$2)-COLUMN(Beräkningshjälp!AC$2)+1,FALSE),"")</f>
        <v/>
      </c>
    </row>
    <row r="414" spans="1:9" x14ac:dyDescent="0.25">
      <c r="A414" s="2" t="str">
        <f t="shared" si="12"/>
        <v/>
      </c>
      <c r="B414" s="136" t="str">
        <f>IF(D414&lt;&gt;"",'DATA TILL SLU'!$J$3,"")</f>
        <v/>
      </c>
      <c r="C414" s="146" t="str">
        <f>IF(D414&lt;&gt;"",'DATA TILL SLU'!$K$3,"")</f>
        <v/>
      </c>
      <c r="D414" s="2" t="str">
        <f>IF('DATA TILL SLU'!$D$7*1&lt;&gt;"",IF(COUNT(Beräkningshjälp!$AC$3:$AC$1082)&gt;=ROW(D413),'DATA TILL SLU'!$D$7*1,""),"")</f>
        <v/>
      </c>
      <c r="E414" s="136" t="str">
        <f>IF(D414&lt;&gt;"",VLOOKUP(ROW(E413),Beräkningshjälp!AC$2:AH$1082,COLUMN(Beräkningshjälp!AF$2)-COLUMN(Beräkningshjälp!AC$2)+1,FALSE),"")</f>
        <v/>
      </c>
      <c r="F414" s="352" t="str">
        <f t="shared" si="13"/>
        <v/>
      </c>
      <c r="G414" s="2" t="str">
        <f>IF(D414&lt;&gt;"",IF(VLOOKUP(VLOOKUP(E414,Beräkningshjälp!O$2:U$60,7,FALSE),Artuppgifter!$I$11:$P$22,8,FALSE)=TRUE,"Medelvikter!!","ALLA"),"")</f>
        <v/>
      </c>
      <c r="H414" s="2" t="str">
        <f>IF(D414&lt;&gt;"",VLOOKUP(ROW(H413),Beräkningshjälp!AC$2:AH$1082,COLUMN(Beräkningshjälp!AH$2)-COLUMN(Beräkningshjälp!AC$2)+1,FALSE),"")</f>
        <v/>
      </c>
      <c r="I414" s="116" t="str">
        <f>IF(D414&lt;&gt;"",VLOOKUP(ROW(E413),Beräkningshjälp!AC$2:AI$1082,COLUMN(Beräkningshjälp!AI$2)-COLUMN(Beräkningshjälp!AC$2)+1,FALSE),"")</f>
        <v/>
      </c>
    </row>
    <row r="415" spans="1:9" x14ac:dyDescent="0.25">
      <c r="A415" s="2" t="str">
        <f t="shared" si="12"/>
        <v/>
      </c>
      <c r="B415" s="136" t="str">
        <f>IF(D415&lt;&gt;"",'DATA TILL SLU'!$J$3,"")</f>
        <v/>
      </c>
      <c r="C415" s="146" t="str">
        <f>IF(D415&lt;&gt;"",'DATA TILL SLU'!$K$3,"")</f>
        <v/>
      </c>
      <c r="D415" s="2" t="str">
        <f>IF('DATA TILL SLU'!$D$7*1&lt;&gt;"",IF(COUNT(Beräkningshjälp!$AC$3:$AC$1082)&gt;=ROW(D414),'DATA TILL SLU'!$D$7*1,""),"")</f>
        <v/>
      </c>
      <c r="E415" s="136" t="str">
        <f>IF(D415&lt;&gt;"",VLOOKUP(ROW(E414),Beräkningshjälp!AC$2:AH$1082,COLUMN(Beräkningshjälp!AF$2)-COLUMN(Beräkningshjälp!AC$2)+1,FALSE),"")</f>
        <v/>
      </c>
      <c r="F415" s="352" t="str">
        <f t="shared" si="13"/>
        <v/>
      </c>
      <c r="G415" s="2" t="str">
        <f>IF(D415&lt;&gt;"",IF(VLOOKUP(VLOOKUP(E415,Beräkningshjälp!O$2:U$60,7,FALSE),Artuppgifter!$I$11:$P$22,8,FALSE)=TRUE,"Medelvikter!!","ALLA"),"")</f>
        <v/>
      </c>
      <c r="H415" s="2" t="str">
        <f>IF(D415&lt;&gt;"",VLOOKUP(ROW(H414),Beräkningshjälp!AC$2:AH$1082,COLUMN(Beräkningshjälp!AH$2)-COLUMN(Beräkningshjälp!AC$2)+1,FALSE),"")</f>
        <v/>
      </c>
      <c r="I415" s="116" t="str">
        <f>IF(D415&lt;&gt;"",VLOOKUP(ROW(E414),Beräkningshjälp!AC$2:AI$1082,COLUMN(Beräkningshjälp!AI$2)-COLUMN(Beräkningshjälp!AC$2)+1,FALSE),"")</f>
        <v/>
      </c>
    </row>
    <row r="416" spans="1:9" x14ac:dyDescent="0.25">
      <c r="A416" s="2" t="str">
        <f t="shared" si="12"/>
        <v/>
      </c>
      <c r="B416" s="136" t="str">
        <f>IF(D416&lt;&gt;"",'DATA TILL SLU'!$J$3,"")</f>
        <v/>
      </c>
      <c r="C416" s="146" t="str">
        <f>IF(D416&lt;&gt;"",'DATA TILL SLU'!$K$3,"")</f>
        <v/>
      </c>
      <c r="D416" s="2" t="str">
        <f>IF('DATA TILL SLU'!$D$7*1&lt;&gt;"",IF(COUNT(Beräkningshjälp!$AC$3:$AC$1082)&gt;=ROW(D415),'DATA TILL SLU'!$D$7*1,""),"")</f>
        <v/>
      </c>
      <c r="E416" s="136" t="str">
        <f>IF(D416&lt;&gt;"",VLOOKUP(ROW(E415),Beräkningshjälp!AC$2:AH$1082,COLUMN(Beräkningshjälp!AF$2)-COLUMN(Beräkningshjälp!AC$2)+1,FALSE),"")</f>
        <v/>
      </c>
      <c r="F416" s="352" t="str">
        <f t="shared" si="13"/>
        <v/>
      </c>
      <c r="G416" s="2" t="str">
        <f>IF(D416&lt;&gt;"",IF(VLOOKUP(VLOOKUP(E416,Beräkningshjälp!O$2:U$60,7,FALSE),Artuppgifter!$I$11:$P$22,8,FALSE)=TRUE,"Medelvikter!!","ALLA"),"")</f>
        <v/>
      </c>
      <c r="H416" s="2" t="str">
        <f>IF(D416&lt;&gt;"",VLOOKUP(ROW(H415),Beräkningshjälp!AC$2:AH$1082,COLUMN(Beräkningshjälp!AH$2)-COLUMN(Beräkningshjälp!AC$2)+1,FALSE),"")</f>
        <v/>
      </c>
      <c r="I416" s="116" t="str">
        <f>IF(D416&lt;&gt;"",VLOOKUP(ROW(E415),Beräkningshjälp!AC$2:AI$1082,COLUMN(Beräkningshjälp!AI$2)-COLUMN(Beräkningshjälp!AC$2)+1,FALSE),"")</f>
        <v/>
      </c>
    </row>
    <row r="417" spans="1:9" x14ac:dyDescent="0.25">
      <c r="A417" s="2" t="str">
        <f t="shared" si="12"/>
        <v/>
      </c>
      <c r="B417" s="136" t="str">
        <f>IF(D417&lt;&gt;"",'DATA TILL SLU'!$J$3,"")</f>
        <v/>
      </c>
      <c r="C417" s="146" t="str">
        <f>IF(D417&lt;&gt;"",'DATA TILL SLU'!$K$3,"")</f>
        <v/>
      </c>
      <c r="D417" s="2" t="str">
        <f>IF('DATA TILL SLU'!$D$7*1&lt;&gt;"",IF(COUNT(Beräkningshjälp!$AC$3:$AC$1082)&gt;=ROW(D416),'DATA TILL SLU'!$D$7*1,""),"")</f>
        <v/>
      </c>
      <c r="E417" s="136" t="str">
        <f>IF(D417&lt;&gt;"",VLOOKUP(ROW(E416),Beräkningshjälp!AC$2:AH$1082,COLUMN(Beräkningshjälp!AF$2)-COLUMN(Beräkningshjälp!AC$2)+1,FALSE),"")</f>
        <v/>
      </c>
      <c r="F417" s="352" t="str">
        <f t="shared" si="13"/>
        <v/>
      </c>
      <c r="G417" s="2" t="str">
        <f>IF(D417&lt;&gt;"",IF(VLOOKUP(VLOOKUP(E417,Beräkningshjälp!O$2:U$60,7,FALSE),Artuppgifter!$I$11:$P$22,8,FALSE)=TRUE,"Medelvikter!!","ALLA"),"")</f>
        <v/>
      </c>
      <c r="H417" s="2" t="str">
        <f>IF(D417&lt;&gt;"",VLOOKUP(ROW(H416),Beräkningshjälp!AC$2:AH$1082,COLUMN(Beräkningshjälp!AH$2)-COLUMN(Beräkningshjälp!AC$2)+1,FALSE),"")</f>
        <v/>
      </c>
      <c r="I417" s="116" t="str">
        <f>IF(D417&lt;&gt;"",VLOOKUP(ROW(E416),Beräkningshjälp!AC$2:AI$1082,COLUMN(Beräkningshjälp!AI$2)-COLUMN(Beräkningshjälp!AC$2)+1,FALSE),"")</f>
        <v/>
      </c>
    </row>
    <row r="418" spans="1:9" x14ac:dyDescent="0.25">
      <c r="A418" s="2" t="str">
        <f t="shared" si="12"/>
        <v/>
      </c>
      <c r="B418" s="136" t="str">
        <f>IF(D418&lt;&gt;"",'DATA TILL SLU'!$J$3,"")</f>
        <v/>
      </c>
      <c r="C418" s="146" t="str">
        <f>IF(D418&lt;&gt;"",'DATA TILL SLU'!$K$3,"")</f>
        <v/>
      </c>
      <c r="D418" s="2" t="str">
        <f>IF('DATA TILL SLU'!$D$7*1&lt;&gt;"",IF(COUNT(Beräkningshjälp!$AC$3:$AC$1082)&gt;=ROW(D417),'DATA TILL SLU'!$D$7*1,""),"")</f>
        <v/>
      </c>
      <c r="E418" s="136" t="str">
        <f>IF(D418&lt;&gt;"",VLOOKUP(ROW(E417),Beräkningshjälp!AC$2:AH$1082,COLUMN(Beräkningshjälp!AF$2)-COLUMN(Beräkningshjälp!AC$2)+1,FALSE),"")</f>
        <v/>
      </c>
      <c r="F418" s="352" t="str">
        <f t="shared" si="13"/>
        <v/>
      </c>
      <c r="G418" s="2" t="str">
        <f>IF(D418&lt;&gt;"",IF(VLOOKUP(VLOOKUP(E418,Beräkningshjälp!O$2:U$60,7,FALSE),Artuppgifter!$I$11:$P$22,8,FALSE)=TRUE,"Medelvikter!!","ALLA"),"")</f>
        <v/>
      </c>
      <c r="H418" s="2" t="str">
        <f>IF(D418&lt;&gt;"",VLOOKUP(ROW(H417),Beräkningshjälp!AC$2:AH$1082,COLUMN(Beräkningshjälp!AH$2)-COLUMN(Beräkningshjälp!AC$2)+1,FALSE),"")</f>
        <v/>
      </c>
      <c r="I418" s="116" t="str">
        <f>IF(D418&lt;&gt;"",VLOOKUP(ROW(E417),Beräkningshjälp!AC$2:AI$1082,COLUMN(Beräkningshjälp!AI$2)-COLUMN(Beräkningshjälp!AC$2)+1,FALSE),"")</f>
        <v/>
      </c>
    </row>
    <row r="419" spans="1:9" x14ac:dyDescent="0.25">
      <c r="A419" s="2" t="str">
        <f t="shared" si="12"/>
        <v/>
      </c>
      <c r="B419" s="136" t="str">
        <f>IF(D419&lt;&gt;"",'DATA TILL SLU'!$J$3,"")</f>
        <v/>
      </c>
      <c r="C419" s="146" t="str">
        <f>IF(D419&lt;&gt;"",'DATA TILL SLU'!$K$3,"")</f>
        <v/>
      </c>
      <c r="D419" s="2" t="str">
        <f>IF('DATA TILL SLU'!$D$7*1&lt;&gt;"",IF(COUNT(Beräkningshjälp!$AC$3:$AC$1082)&gt;=ROW(D418),'DATA TILL SLU'!$D$7*1,""),"")</f>
        <v/>
      </c>
      <c r="E419" s="136" t="str">
        <f>IF(D419&lt;&gt;"",VLOOKUP(ROW(E418),Beräkningshjälp!AC$2:AH$1082,COLUMN(Beräkningshjälp!AF$2)-COLUMN(Beräkningshjälp!AC$2)+1,FALSE),"")</f>
        <v/>
      </c>
      <c r="F419" s="352" t="str">
        <f t="shared" si="13"/>
        <v/>
      </c>
      <c r="G419" s="2" t="str">
        <f>IF(D419&lt;&gt;"",IF(VLOOKUP(VLOOKUP(E419,Beräkningshjälp!O$2:U$60,7,FALSE),Artuppgifter!$I$11:$P$22,8,FALSE)=TRUE,"Medelvikter!!","ALLA"),"")</f>
        <v/>
      </c>
      <c r="H419" s="2" t="str">
        <f>IF(D419&lt;&gt;"",VLOOKUP(ROW(H418),Beräkningshjälp!AC$2:AH$1082,COLUMN(Beräkningshjälp!AH$2)-COLUMN(Beräkningshjälp!AC$2)+1,FALSE),"")</f>
        <v/>
      </c>
      <c r="I419" s="116" t="str">
        <f>IF(D419&lt;&gt;"",VLOOKUP(ROW(E418),Beräkningshjälp!AC$2:AI$1082,COLUMN(Beräkningshjälp!AI$2)-COLUMN(Beräkningshjälp!AC$2)+1,FALSE),"")</f>
        <v/>
      </c>
    </row>
    <row r="420" spans="1:9" x14ac:dyDescent="0.25">
      <c r="A420" s="2" t="str">
        <f t="shared" si="12"/>
        <v/>
      </c>
      <c r="B420" s="136" t="str">
        <f>IF(D420&lt;&gt;"",'DATA TILL SLU'!$J$3,"")</f>
        <v/>
      </c>
      <c r="C420" s="146" t="str">
        <f>IF(D420&lt;&gt;"",'DATA TILL SLU'!$K$3,"")</f>
        <v/>
      </c>
      <c r="D420" s="2" t="str">
        <f>IF('DATA TILL SLU'!$D$7*1&lt;&gt;"",IF(COUNT(Beräkningshjälp!$AC$3:$AC$1082)&gt;=ROW(D419),'DATA TILL SLU'!$D$7*1,""),"")</f>
        <v/>
      </c>
      <c r="E420" s="136" t="str">
        <f>IF(D420&lt;&gt;"",VLOOKUP(ROW(E419),Beräkningshjälp!AC$2:AH$1082,COLUMN(Beräkningshjälp!AF$2)-COLUMN(Beräkningshjälp!AC$2)+1,FALSE),"")</f>
        <v/>
      </c>
      <c r="F420" s="352" t="str">
        <f t="shared" si="13"/>
        <v/>
      </c>
      <c r="G420" s="2" t="str">
        <f>IF(D420&lt;&gt;"",IF(VLOOKUP(VLOOKUP(E420,Beräkningshjälp!O$2:U$60,7,FALSE),Artuppgifter!$I$11:$P$22,8,FALSE)=TRUE,"Medelvikter!!","ALLA"),"")</f>
        <v/>
      </c>
      <c r="H420" s="2" t="str">
        <f>IF(D420&lt;&gt;"",VLOOKUP(ROW(H419),Beräkningshjälp!AC$2:AH$1082,COLUMN(Beräkningshjälp!AH$2)-COLUMN(Beräkningshjälp!AC$2)+1,FALSE),"")</f>
        <v/>
      </c>
      <c r="I420" s="116" t="str">
        <f>IF(D420&lt;&gt;"",VLOOKUP(ROW(E419),Beräkningshjälp!AC$2:AI$1082,COLUMN(Beräkningshjälp!AI$2)-COLUMN(Beräkningshjälp!AC$2)+1,FALSE),"")</f>
        <v/>
      </c>
    </row>
    <row r="421" spans="1:9" x14ac:dyDescent="0.25">
      <c r="A421" s="2" t="str">
        <f t="shared" si="12"/>
        <v/>
      </c>
      <c r="B421" s="136" t="str">
        <f>IF(D421&lt;&gt;"",'DATA TILL SLU'!$J$3,"")</f>
        <v/>
      </c>
      <c r="C421" s="146" t="str">
        <f>IF(D421&lt;&gt;"",'DATA TILL SLU'!$K$3,"")</f>
        <v/>
      </c>
      <c r="D421" s="2" t="str">
        <f>IF('DATA TILL SLU'!$D$7*1&lt;&gt;"",IF(COUNT(Beräkningshjälp!$AC$3:$AC$1082)&gt;=ROW(D420),'DATA TILL SLU'!$D$7*1,""),"")</f>
        <v/>
      </c>
      <c r="E421" s="136" t="str">
        <f>IF(D421&lt;&gt;"",VLOOKUP(ROW(E420),Beräkningshjälp!AC$2:AH$1082,COLUMN(Beräkningshjälp!AF$2)-COLUMN(Beräkningshjälp!AC$2)+1,FALSE),"")</f>
        <v/>
      </c>
      <c r="F421" s="352" t="str">
        <f t="shared" si="13"/>
        <v/>
      </c>
      <c r="G421" s="2" t="str">
        <f>IF(D421&lt;&gt;"",IF(VLOOKUP(VLOOKUP(E421,Beräkningshjälp!O$2:U$60,7,FALSE),Artuppgifter!$I$11:$P$22,8,FALSE)=TRUE,"Medelvikter!!","ALLA"),"")</f>
        <v/>
      </c>
      <c r="H421" s="2" t="str">
        <f>IF(D421&lt;&gt;"",VLOOKUP(ROW(H420),Beräkningshjälp!AC$2:AH$1082,COLUMN(Beräkningshjälp!AH$2)-COLUMN(Beräkningshjälp!AC$2)+1,FALSE),"")</f>
        <v/>
      </c>
      <c r="I421" s="116" t="str">
        <f>IF(D421&lt;&gt;"",VLOOKUP(ROW(E420),Beräkningshjälp!AC$2:AI$1082,COLUMN(Beräkningshjälp!AI$2)-COLUMN(Beräkningshjälp!AC$2)+1,FALSE),"")</f>
        <v/>
      </c>
    </row>
    <row r="422" spans="1:9" x14ac:dyDescent="0.25">
      <c r="A422" s="2" t="str">
        <f t="shared" si="12"/>
        <v/>
      </c>
      <c r="B422" s="136" t="str">
        <f>IF(D422&lt;&gt;"",'DATA TILL SLU'!$J$3,"")</f>
        <v/>
      </c>
      <c r="C422" s="146" t="str">
        <f>IF(D422&lt;&gt;"",'DATA TILL SLU'!$K$3,"")</f>
        <v/>
      </c>
      <c r="D422" s="2" t="str">
        <f>IF('DATA TILL SLU'!$D$7*1&lt;&gt;"",IF(COUNT(Beräkningshjälp!$AC$3:$AC$1082)&gt;=ROW(D421),'DATA TILL SLU'!$D$7*1,""),"")</f>
        <v/>
      </c>
      <c r="E422" s="136" t="str">
        <f>IF(D422&lt;&gt;"",VLOOKUP(ROW(E421),Beräkningshjälp!AC$2:AH$1082,COLUMN(Beräkningshjälp!AF$2)-COLUMN(Beräkningshjälp!AC$2)+1,FALSE),"")</f>
        <v/>
      </c>
      <c r="F422" s="352" t="str">
        <f t="shared" si="13"/>
        <v/>
      </c>
      <c r="G422" s="2" t="str">
        <f>IF(D422&lt;&gt;"",IF(VLOOKUP(VLOOKUP(E422,Beräkningshjälp!O$2:U$60,7,FALSE),Artuppgifter!$I$11:$P$22,8,FALSE)=TRUE,"Medelvikter!!","ALLA"),"")</f>
        <v/>
      </c>
      <c r="H422" s="2" t="str">
        <f>IF(D422&lt;&gt;"",VLOOKUP(ROW(H421),Beräkningshjälp!AC$2:AH$1082,COLUMN(Beräkningshjälp!AH$2)-COLUMN(Beräkningshjälp!AC$2)+1,FALSE),"")</f>
        <v/>
      </c>
      <c r="I422" s="116" t="str">
        <f>IF(D422&lt;&gt;"",VLOOKUP(ROW(E421),Beräkningshjälp!AC$2:AI$1082,COLUMN(Beräkningshjälp!AI$2)-COLUMN(Beräkningshjälp!AC$2)+1,FALSE),"")</f>
        <v/>
      </c>
    </row>
    <row r="423" spans="1:9" x14ac:dyDescent="0.25">
      <c r="A423" s="2" t="str">
        <f t="shared" si="12"/>
        <v/>
      </c>
      <c r="B423" s="136" t="str">
        <f>IF(D423&lt;&gt;"",'DATA TILL SLU'!$J$3,"")</f>
        <v/>
      </c>
      <c r="C423" s="146" t="str">
        <f>IF(D423&lt;&gt;"",'DATA TILL SLU'!$K$3,"")</f>
        <v/>
      </c>
      <c r="D423" s="2" t="str">
        <f>IF('DATA TILL SLU'!$D$7*1&lt;&gt;"",IF(COUNT(Beräkningshjälp!$AC$3:$AC$1082)&gt;=ROW(D422),'DATA TILL SLU'!$D$7*1,""),"")</f>
        <v/>
      </c>
      <c r="E423" s="136" t="str">
        <f>IF(D423&lt;&gt;"",VLOOKUP(ROW(E422),Beräkningshjälp!AC$2:AH$1082,COLUMN(Beräkningshjälp!AF$2)-COLUMN(Beräkningshjälp!AC$2)+1,FALSE),"")</f>
        <v/>
      </c>
      <c r="F423" s="352" t="str">
        <f t="shared" si="13"/>
        <v/>
      </c>
      <c r="G423" s="2" t="str">
        <f>IF(D423&lt;&gt;"",IF(VLOOKUP(VLOOKUP(E423,Beräkningshjälp!O$2:U$60,7,FALSE),Artuppgifter!$I$11:$P$22,8,FALSE)=TRUE,"Medelvikter!!","ALLA"),"")</f>
        <v/>
      </c>
      <c r="H423" s="2" t="str">
        <f>IF(D423&lt;&gt;"",VLOOKUP(ROW(H422),Beräkningshjälp!AC$2:AH$1082,COLUMN(Beräkningshjälp!AH$2)-COLUMN(Beräkningshjälp!AC$2)+1,FALSE),"")</f>
        <v/>
      </c>
      <c r="I423" s="116" t="str">
        <f>IF(D423&lt;&gt;"",VLOOKUP(ROW(E422),Beräkningshjälp!AC$2:AI$1082,COLUMN(Beräkningshjälp!AI$2)-COLUMN(Beräkningshjälp!AC$2)+1,FALSE),"")</f>
        <v/>
      </c>
    </row>
    <row r="424" spans="1:9" x14ac:dyDescent="0.25">
      <c r="A424" s="2" t="str">
        <f t="shared" si="12"/>
        <v/>
      </c>
      <c r="B424" s="136" t="str">
        <f>IF(D424&lt;&gt;"",'DATA TILL SLU'!$J$3,"")</f>
        <v/>
      </c>
      <c r="C424" s="146" t="str">
        <f>IF(D424&lt;&gt;"",'DATA TILL SLU'!$K$3,"")</f>
        <v/>
      </c>
      <c r="D424" s="2" t="str">
        <f>IF('DATA TILL SLU'!$D$7*1&lt;&gt;"",IF(COUNT(Beräkningshjälp!$AC$3:$AC$1082)&gt;=ROW(D423),'DATA TILL SLU'!$D$7*1,""),"")</f>
        <v/>
      </c>
      <c r="E424" s="136" t="str">
        <f>IF(D424&lt;&gt;"",VLOOKUP(ROW(E423),Beräkningshjälp!AC$2:AH$1082,COLUMN(Beräkningshjälp!AF$2)-COLUMN(Beräkningshjälp!AC$2)+1,FALSE),"")</f>
        <v/>
      </c>
      <c r="F424" s="352" t="str">
        <f t="shared" si="13"/>
        <v/>
      </c>
      <c r="G424" s="2" t="str">
        <f>IF(D424&lt;&gt;"",IF(VLOOKUP(VLOOKUP(E424,Beräkningshjälp!O$2:U$60,7,FALSE),Artuppgifter!$I$11:$P$22,8,FALSE)=TRUE,"Medelvikter!!","ALLA"),"")</f>
        <v/>
      </c>
      <c r="H424" s="2" t="str">
        <f>IF(D424&lt;&gt;"",VLOOKUP(ROW(H423),Beräkningshjälp!AC$2:AH$1082,COLUMN(Beräkningshjälp!AH$2)-COLUMN(Beräkningshjälp!AC$2)+1,FALSE),"")</f>
        <v/>
      </c>
      <c r="I424" s="116" t="str">
        <f>IF(D424&lt;&gt;"",VLOOKUP(ROW(E423),Beräkningshjälp!AC$2:AI$1082,COLUMN(Beräkningshjälp!AI$2)-COLUMN(Beräkningshjälp!AC$2)+1,FALSE),"")</f>
        <v/>
      </c>
    </row>
    <row r="425" spans="1:9" x14ac:dyDescent="0.25">
      <c r="A425" s="2" t="str">
        <f t="shared" si="12"/>
        <v/>
      </c>
      <c r="B425" s="136" t="str">
        <f>IF(D425&lt;&gt;"",'DATA TILL SLU'!$J$3,"")</f>
        <v/>
      </c>
      <c r="C425" s="146" t="str">
        <f>IF(D425&lt;&gt;"",'DATA TILL SLU'!$K$3,"")</f>
        <v/>
      </c>
      <c r="D425" s="2" t="str">
        <f>IF('DATA TILL SLU'!$D$7*1&lt;&gt;"",IF(COUNT(Beräkningshjälp!$AC$3:$AC$1082)&gt;=ROW(D424),'DATA TILL SLU'!$D$7*1,""),"")</f>
        <v/>
      </c>
      <c r="E425" s="136" t="str">
        <f>IF(D425&lt;&gt;"",VLOOKUP(ROW(E424),Beräkningshjälp!AC$2:AH$1082,COLUMN(Beräkningshjälp!AF$2)-COLUMN(Beräkningshjälp!AC$2)+1,FALSE),"")</f>
        <v/>
      </c>
      <c r="F425" s="352" t="str">
        <f t="shared" si="13"/>
        <v/>
      </c>
      <c r="G425" s="2" t="str">
        <f>IF(D425&lt;&gt;"",IF(VLOOKUP(VLOOKUP(E425,Beräkningshjälp!O$2:U$60,7,FALSE),Artuppgifter!$I$11:$P$22,8,FALSE)=TRUE,"Medelvikter!!","ALLA"),"")</f>
        <v/>
      </c>
      <c r="H425" s="2" t="str">
        <f>IF(D425&lt;&gt;"",VLOOKUP(ROW(H424),Beräkningshjälp!AC$2:AH$1082,COLUMN(Beräkningshjälp!AH$2)-COLUMN(Beräkningshjälp!AC$2)+1,FALSE),"")</f>
        <v/>
      </c>
      <c r="I425" s="116" t="str">
        <f>IF(D425&lt;&gt;"",VLOOKUP(ROW(E424),Beräkningshjälp!AC$2:AI$1082,COLUMN(Beräkningshjälp!AI$2)-COLUMN(Beräkningshjälp!AC$2)+1,FALSE),"")</f>
        <v/>
      </c>
    </row>
    <row r="426" spans="1:9" x14ac:dyDescent="0.25">
      <c r="A426" s="2" t="str">
        <f t="shared" si="12"/>
        <v/>
      </c>
      <c r="B426" s="136" t="str">
        <f>IF(D426&lt;&gt;"",'DATA TILL SLU'!$J$3,"")</f>
        <v/>
      </c>
      <c r="C426" s="146" t="str">
        <f>IF(D426&lt;&gt;"",'DATA TILL SLU'!$K$3,"")</f>
        <v/>
      </c>
      <c r="D426" s="2" t="str">
        <f>IF('DATA TILL SLU'!$D$7*1&lt;&gt;"",IF(COUNT(Beräkningshjälp!$AC$3:$AC$1082)&gt;=ROW(D425),'DATA TILL SLU'!$D$7*1,""),"")</f>
        <v/>
      </c>
      <c r="E426" s="136" t="str">
        <f>IF(D426&lt;&gt;"",VLOOKUP(ROW(E425),Beräkningshjälp!AC$2:AH$1082,COLUMN(Beräkningshjälp!AF$2)-COLUMN(Beräkningshjälp!AC$2)+1,FALSE),"")</f>
        <v/>
      </c>
      <c r="F426" s="352" t="str">
        <f t="shared" si="13"/>
        <v/>
      </c>
      <c r="G426" s="2" t="str">
        <f>IF(D426&lt;&gt;"",IF(VLOOKUP(VLOOKUP(E426,Beräkningshjälp!O$2:U$60,7,FALSE),Artuppgifter!$I$11:$P$22,8,FALSE)=TRUE,"Medelvikter!!","ALLA"),"")</f>
        <v/>
      </c>
      <c r="H426" s="2" t="str">
        <f>IF(D426&lt;&gt;"",VLOOKUP(ROW(H425),Beräkningshjälp!AC$2:AH$1082,COLUMN(Beräkningshjälp!AH$2)-COLUMN(Beräkningshjälp!AC$2)+1,FALSE),"")</f>
        <v/>
      </c>
      <c r="I426" s="116" t="str">
        <f>IF(D426&lt;&gt;"",VLOOKUP(ROW(E425),Beräkningshjälp!AC$2:AI$1082,COLUMN(Beräkningshjälp!AI$2)-COLUMN(Beräkningshjälp!AC$2)+1,FALSE),"")</f>
        <v/>
      </c>
    </row>
    <row r="427" spans="1:9" x14ac:dyDescent="0.25">
      <c r="A427" s="2" t="str">
        <f t="shared" si="12"/>
        <v/>
      </c>
      <c r="B427" s="136" t="str">
        <f>IF(D427&lt;&gt;"",'DATA TILL SLU'!$J$3,"")</f>
        <v/>
      </c>
      <c r="C427" s="146" t="str">
        <f>IF(D427&lt;&gt;"",'DATA TILL SLU'!$K$3,"")</f>
        <v/>
      </c>
      <c r="D427" s="2" t="str">
        <f>IF('DATA TILL SLU'!$D$7*1&lt;&gt;"",IF(COUNT(Beräkningshjälp!$AC$3:$AC$1082)&gt;=ROW(D426),'DATA TILL SLU'!$D$7*1,""),"")</f>
        <v/>
      </c>
      <c r="E427" s="136" t="str">
        <f>IF(D427&lt;&gt;"",VLOOKUP(ROW(E426),Beräkningshjälp!AC$2:AH$1082,COLUMN(Beräkningshjälp!AF$2)-COLUMN(Beräkningshjälp!AC$2)+1,FALSE),"")</f>
        <v/>
      </c>
      <c r="F427" s="352" t="str">
        <f t="shared" si="13"/>
        <v/>
      </c>
      <c r="G427" s="2" t="str">
        <f>IF(D427&lt;&gt;"",IF(VLOOKUP(VLOOKUP(E427,Beräkningshjälp!O$2:U$60,7,FALSE),Artuppgifter!$I$11:$P$22,8,FALSE)=TRUE,"Medelvikter!!","ALLA"),"")</f>
        <v/>
      </c>
      <c r="H427" s="2" t="str">
        <f>IF(D427&lt;&gt;"",VLOOKUP(ROW(H426),Beräkningshjälp!AC$2:AH$1082,COLUMN(Beräkningshjälp!AH$2)-COLUMN(Beräkningshjälp!AC$2)+1,FALSE),"")</f>
        <v/>
      </c>
      <c r="I427" s="116" t="str">
        <f>IF(D427&lt;&gt;"",VLOOKUP(ROW(E426),Beräkningshjälp!AC$2:AI$1082,COLUMN(Beräkningshjälp!AI$2)-COLUMN(Beräkningshjälp!AC$2)+1,FALSE),"")</f>
        <v/>
      </c>
    </row>
    <row r="428" spans="1:9" x14ac:dyDescent="0.25">
      <c r="A428" s="2" t="str">
        <f t="shared" si="12"/>
        <v/>
      </c>
      <c r="B428" s="136" t="str">
        <f>IF(D428&lt;&gt;"",'DATA TILL SLU'!$J$3,"")</f>
        <v/>
      </c>
      <c r="C428" s="146" t="str">
        <f>IF(D428&lt;&gt;"",'DATA TILL SLU'!$K$3,"")</f>
        <v/>
      </c>
      <c r="D428" s="2" t="str">
        <f>IF('DATA TILL SLU'!$D$7*1&lt;&gt;"",IF(COUNT(Beräkningshjälp!$AC$3:$AC$1082)&gt;=ROW(D427),'DATA TILL SLU'!$D$7*1,""),"")</f>
        <v/>
      </c>
      <c r="E428" s="136" t="str">
        <f>IF(D428&lt;&gt;"",VLOOKUP(ROW(E427),Beräkningshjälp!AC$2:AH$1082,COLUMN(Beräkningshjälp!AF$2)-COLUMN(Beräkningshjälp!AC$2)+1,FALSE),"")</f>
        <v/>
      </c>
      <c r="F428" s="352" t="str">
        <f t="shared" si="13"/>
        <v/>
      </c>
      <c r="G428" s="2" t="str">
        <f>IF(D428&lt;&gt;"",IF(VLOOKUP(VLOOKUP(E428,Beräkningshjälp!O$2:U$60,7,FALSE),Artuppgifter!$I$11:$P$22,8,FALSE)=TRUE,"Medelvikter!!","ALLA"),"")</f>
        <v/>
      </c>
      <c r="H428" s="2" t="str">
        <f>IF(D428&lt;&gt;"",VLOOKUP(ROW(H427),Beräkningshjälp!AC$2:AH$1082,COLUMN(Beräkningshjälp!AH$2)-COLUMN(Beräkningshjälp!AC$2)+1,FALSE),"")</f>
        <v/>
      </c>
      <c r="I428" s="116" t="str">
        <f>IF(D428&lt;&gt;"",VLOOKUP(ROW(E427),Beräkningshjälp!AC$2:AI$1082,COLUMN(Beräkningshjälp!AI$2)-COLUMN(Beräkningshjälp!AC$2)+1,FALSE),"")</f>
        <v/>
      </c>
    </row>
    <row r="429" spans="1:9" x14ac:dyDescent="0.25">
      <c r="A429" s="2" t="str">
        <f t="shared" si="12"/>
        <v/>
      </c>
      <c r="B429" s="136" t="str">
        <f>IF(D429&lt;&gt;"",'DATA TILL SLU'!$J$3,"")</f>
        <v/>
      </c>
      <c r="C429" s="146" t="str">
        <f>IF(D429&lt;&gt;"",'DATA TILL SLU'!$K$3,"")</f>
        <v/>
      </c>
      <c r="D429" s="2" t="str">
        <f>IF('DATA TILL SLU'!$D$7*1&lt;&gt;"",IF(COUNT(Beräkningshjälp!$AC$3:$AC$1082)&gt;=ROW(D428),'DATA TILL SLU'!$D$7*1,""),"")</f>
        <v/>
      </c>
      <c r="E429" s="136" t="str">
        <f>IF(D429&lt;&gt;"",VLOOKUP(ROW(E428),Beräkningshjälp!AC$2:AH$1082,COLUMN(Beräkningshjälp!AF$2)-COLUMN(Beräkningshjälp!AC$2)+1,FALSE),"")</f>
        <v/>
      </c>
      <c r="F429" s="352" t="str">
        <f t="shared" si="13"/>
        <v/>
      </c>
      <c r="G429" s="2" t="str">
        <f>IF(D429&lt;&gt;"",IF(VLOOKUP(VLOOKUP(E429,Beräkningshjälp!O$2:U$60,7,FALSE),Artuppgifter!$I$11:$P$22,8,FALSE)=TRUE,"Medelvikter!!","ALLA"),"")</f>
        <v/>
      </c>
      <c r="H429" s="2" t="str">
        <f>IF(D429&lt;&gt;"",VLOOKUP(ROW(H428),Beräkningshjälp!AC$2:AH$1082,COLUMN(Beräkningshjälp!AH$2)-COLUMN(Beräkningshjälp!AC$2)+1,FALSE),"")</f>
        <v/>
      </c>
      <c r="I429" s="116" t="str">
        <f>IF(D429&lt;&gt;"",VLOOKUP(ROW(E428),Beräkningshjälp!AC$2:AI$1082,COLUMN(Beräkningshjälp!AI$2)-COLUMN(Beräkningshjälp!AC$2)+1,FALSE),"")</f>
        <v/>
      </c>
    </row>
    <row r="430" spans="1:9" x14ac:dyDescent="0.25">
      <c r="A430" s="2" t="str">
        <f t="shared" si="12"/>
        <v/>
      </c>
      <c r="B430" s="136" t="str">
        <f>IF(D430&lt;&gt;"",'DATA TILL SLU'!$J$3,"")</f>
        <v/>
      </c>
      <c r="C430" s="146" t="str">
        <f>IF(D430&lt;&gt;"",'DATA TILL SLU'!$K$3,"")</f>
        <v/>
      </c>
      <c r="D430" s="2" t="str">
        <f>IF('DATA TILL SLU'!$D$7*1&lt;&gt;"",IF(COUNT(Beräkningshjälp!$AC$3:$AC$1082)&gt;=ROW(D429),'DATA TILL SLU'!$D$7*1,""),"")</f>
        <v/>
      </c>
      <c r="E430" s="136" t="str">
        <f>IF(D430&lt;&gt;"",VLOOKUP(ROW(E429),Beräkningshjälp!AC$2:AH$1082,COLUMN(Beräkningshjälp!AF$2)-COLUMN(Beräkningshjälp!AC$2)+1,FALSE),"")</f>
        <v/>
      </c>
      <c r="F430" s="352" t="str">
        <f t="shared" si="13"/>
        <v/>
      </c>
      <c r="G430" s="2" t="str">
        <f>IF(D430&lt;&gt;"",IF(VLOOKUP(VLOOKUP(E430,Beräkningshjälp!O$2:U$60,7,FALSE),Artuppgifter!$I$11:$P$22,8,FALSE)=TRUE,"Medelvikter!!","ALLA"),"")</f>
        <v/>
      </c>
      <c r="H430" s="2" t="str">
        <f>IF(D430&lt;&gt;"",VLOOKUP(ROW(H429),Beräkningshjälp!AC$2:AH$1082,COLUMN(Beräkningshjälp!AH$2)-COLUMN(Beräkningshjälp!AC$2)+1,FALSE),"")</f>
        <v/>
      </c>
      <c r="I430" s="116" t="str">
        <f>IF(D430&lt;&gt;"",VLOOKUP(ROW(E429),Beräkningshjälp!AC$2:AI$1082,COLUMN(Beräkningshjälp!AI$2)-COLUMN(Beräkningshjälp!AC$2)+1,FALSE),"")</f>
        <v/>
      </c>
    </row>
    <row r="431" spans="1:9" x14ac:dyDescent="0.25">
      <c r="A431" s="2" t="str">
        <f t="shared" si="12"/>
        <v/>
      </c>
      <c r="B431" s="136" t="str">
        <f>IF(D431&lt;&gt;"",'DATA TILL SLU'!$J$3,"")</f>
        <v/>
      </c>
      <c r="C431" s="146" t="str">
        <f>IF(D431&lt;&gt;"",'DATA TILL SLU'!$K$3,"")</f>
        <v/>
      </c>
      <c r="D431" s="2" t="str">
        <f>IF('DATA TILL SLU'!$D$7*1&lt;&gt;"",IF(COUNT(Beräkningshjälp!$AC$3:$AC$1082)&gt;=ROW(D430),'DATA TILL SLU'!$D$7*1,""),"")</f>
        <v/>
      </c>
      <c r="E431" s="136" t="str">
        <f>IF(D431&lt;&gt;"",VLOOKUP(ROW(E430),Beräkningshjälp!AC$2:AH$1082,COLUMN(Beräkningshjälp!AF$2)-COLUMN(Beräkningshjälp!AC$2)+1,FALSE),"")</f>
        <v/>
      </c>
      <c r="F431" s="352" t="str">
        <f t="shared" si="13"/>
        <v/>
      </c>
      <c r="G431" s="2" t="str">
        <f>IF(D431&lt;&gt;"",IF(VLOOKUP(VLOOKUP(E431,Beräkningshjälp!O$2:U$60,7,FALSE),Artuppgifter!$I$11:$P$22,8,FALSE)=TRUE,"Medelvikter!!","ALLA"),"")</f>
        <v/>
      </c>
      <c r="H431" s="2" t="str">
        <f>IF(D431&lt;&gt;"",VLOOKUP(ROW(H430),Beräkningshjälp!AC$2:AH$1082,COLUMN(Beräkningshjälp!AH$2)-COLUMN(Beräkningshjälp!AC$2)+1,FALSE),"")</f>
        <v/>
      </c>
      <c r="I431" s="116" t="str">
        <f>IF(D431&lt;&gt;"",VLOOKUP(ROW(E430),Beräkningshjälp!AC$2:AI$1082,COLUMN(Beräkningshjälp!AI$2)-COLUMN(Beräkningshjälp!AC$2)+1,FALSE),"")</f>
        <v/>
      </c>
    </row>
    <row r="432" spans="1:9" x14ac:dyDescent="0.25">
      <c r="A432" s="2" t="str">
        <f t="shared" si="12"/>
        <v/>
      </c>
      <c r="B432" s="136" t="str">
        <f>IF(D432&lt;&gt;"",'DATA TILL SLU'!$J$3,"")</f>
        <v/>
      </c>
      <c r="C432" s="146" t="str">
        <f>IF(D432&lt;&gt;"",'DATA TILL SLU'!$K$3,"")</f>
        <v/>
      </c>
      <c r="D432" s="2" t="str">
        <f>IF('DATA TILL SLU'!$D$7*1&lt;&gt;"",IF(COUNT(Beräkningshjälp!$AC$3:$AC$1082)&gt;=ROW(D431),'DATA TILL SLU'!$D$7*1,""),"")</f>
        <v/>
      </c>
      <c r="E432" s="136" t="str">
        <f>IF(D432&lt;&gt;"",VLOOKUP(ROW(E431),Beräkningshjälp!AC$2:AH$1082,COLUMN(Beräkningshjälp!AF$2)-COLUMN(Beräkningshjälp!AC$2)+1,FALSE),"")</f>
        <v/>
      </c>
      <c r="F432" s="352" t="str">
        <f t="shared" si="13"/>
        <v/>
      </c>
      <c r="G432" s="2" t="str">
        <f>IF(D432&lt;&gt;"",IF(VLOOKUP(VLOOKUP(E432,Beräkningshjälp!O$2:U$60,7,FALSE),Artuppgifter!$I$11:$P$22,8,FALSE)=TRUE,"Medelvikter!!","ALLA"),"")</f>
        <v/>
      </c>
      <c r="H432" s="2" t="str">
        <f>IF(D432&lt;&gt;"",VLOOKUP(ROW(H431),Beräkningshjälp!AC$2:AH$1082,COLUMN(Beräkningshjälp!AH$2)-COLUMN(Beräkningshjälp!AC$2)+1,FALSE),"")</f>
        <v/>
      </c>
      <c r="I432" s="116" t="str">
        <f>IF(D432&lt;&gt;"",VLOOKUP(ROW(E431),Beräkningshjälp!AC$2:AI$1082,COLUMN(Beräkningshjälp!AI$2)-COLUMN(Beräkningshjälp!AC$2)+1,FALSE),"")</f>
        <v/>
      </c>
    </row>
    <row r="433" spans="1:9" x14ac:dyDescent="0.25">
      <c r="A433" s="2" t="str">
        <f t="shared" si="12"/>
        <v/>
      </c>
      <c r="B433" s="136" t="str">
        <f>IF(D433&lt;&gt;"",'DATA TILL SLU'!$J$3,"")</f>
        <v/>
      </c>
      <c r="C433" s="146" t="str">
        <f>IF(D433&lt;&gt;"",'DATA TILL SLU'!$K$3,"")</f>
        <v/>
      </c>
      <c r="D433" s="2" t="str">
        <f>IF('DATA TILL SLU'!$D$7*1&lt;&gt;"",IF(COUNT(Beräkningshjälp!$AC$3:$AC$1082)&gt;=ROW(D432),'DATA TILL SLU'!$D$7*1,""),"")</f>
        <v/>
      </c>
      <c r="E433" s="136" t="str">
        <f>IF(D433&lt;&gt;"",VLOOKUP(ROW(E432),Beräkningshjälp!AC$2:AH$1082,COLUMN(Beräkningshjälp!AF$2)-COLUMN(Beräkningshjälp!AC$2)+1,FALSE),"")</f>
        <v/>
      </c>
      <c r="F433" s="352" t="str">
        <f t="shared" si="13"/>
        <v/>
      </c>
      <c r="G433" s="2" t="str">
        <f>IF(D433&lt;&gt;"",IF(VLOOKUP(VLOOKUP(E433,Beräkningshjälp!O$2:U$60,7,FALSE),Artuppgifter!$I$11:$P$22,8,FALSE)=TRUE,"Medelvikter!!","ALLA"),"")</f>
        <v/>
      </c>
      <c r="H433" s="2" t="str">
        <f>IF(D433&lt;&gt;"",VLOOKUP(ROW(H432),Beräkningshjälp!AC$2:AH$1082,COLUMN(Beräkningshjälp!AH$2)-COLUMN(Beräkningshjälp!AC$2)+1,FALSE),"")</f>
        <v/>
      </c>
      <c r="I433" s="116" t="str">
        <f>IF(D433&lt;&gt;"",VLOOKUP(ROW(E432),Beräkningshjälp!AC$2:AI$1082,COLUMN(Beräkningshjälp!AI$2)-COLUMN(Beräkningshjälp!AC$2)+1,FALSE),"")</f>
        <v/>
      </c>
    </row>
    <row r="434" spans="1:9" x14ac:dyDescent="0.25">
      <c r="A434" s="2" t="str">
        <f t="shared" si="12"/>
        <v/>
      </c>
      <c r="B434" s="136" t="str">
        <f>IF(D434&lt;&gt;"",'DATA TILL SLU'!$J$3,"")</f>
        <v/>
      </c>
      <c r="C434" s="146" t="str">
        <f>IF(D434&lt;&gt;"",'DATA TILL SLU'!$K$3,"")</f>
        <v/>
      </c>
      <c r="D434" s="2" t="str">
        <f>IF('DATA TILL SLU'!$D$7*1&lt;&gt;"",IF(COUNT(Beräkningshjälp!$AC$3:$AC$1082)&gt;=ROW(D433),'DATA TILL SLU'!$D$7*1,""),"")</f>
        <v/>
      </c>
      <c r="E434" s="136" t="str">
        <f>IF(D434&lt;&gt;"",VLOOKUP(ROW(E433),Beräkningshjälp!AC$2:AH$1082,COLUMN(Beräkningshjälp!AF$2)-COLUMN(Beräkningshjälp!AC$2)+1,FALSE),"")</f>
        <v/>
      </c>
      <c r="F434" s="352" t="str">
        <f t="shared" si="13"/>
        <v/>
      </c>
      <c r="G434" s="2" t="str">
        <f>IF(D434&lt;&gt;"",IF(VLOOKUP(VLOOKUP(E434,Beräkningshjälp!O$2:U$60,7,FALSE),Artuppgifter!$I$11:$P$22,8,FALSE)=TRUE,"Medelvikter!!","ALLA"),"")</f>
        <v/>
      </c>
      <c r="H434" s="2" t="str">
        <f>IF(D434&lt;&gt;"",VLOOKUP(ROW(H433),Beräkningshjälp!AC$2:AH$1082,COLUMN(Beräkningshjälp!AH$2)-COLUMN(Beräkningshjälp!AC$2)+1,FALSE),"")</f>
        <v/>
      </c>
      <c r="I434" s="116" t="str">
        <f>IF(D434&lt;&gt;"",VLOOKUP(ROW(E433),Beräkningshjälp!AC$2:AI$1082,COLUMN(Beräkningshjälp!AI$2)-COLUMN(Beräkningshjälp!AC$2)+1,FALSE),"")</f>
        <v/>
      </c>
    </row>
    <row r="435" spans="1:9" x14ac:dyDescent="0.25">
      <c r="A435" s="2" t="str">
        <f t="shared" si="12"/>
        <v/>
      </c>
      <c r="B435" s="136" t="str">
        <f>IF(D435&lt;&gt;"",'DATA TILL SLU'!$J$3,"")</f>
        <v/>
      </c>
      <c r="C435" s="146" t="str">
        <f>IF(D435&lt;&gt;"",'DATA TILL SLU'!$K$3,"")</f>
        <v/>
      </c>
      <c r="D435" s="2" t="str">
        <f>IF('DATA TILL SLU'!$D$7*1&lt;&gt;"",IF(COUNT(Beräkningshjälp!$AC$3:$AC$1082)&gt;=ROW(D434),'DATA TILL SLU'!$D$7*1,""),"")</f>
        <v/>
      </c>
      <c r="E435" s="136" t="str">
        <f>IF(D435&lt;&gt;"",VLOOKUP(ROW(E434),Beräkningshjälp!AC$2:AH$1082,COLUMN(Beräkningshjälp!AF$2)-COLUMN(Beräkningshjälp!AC$2)+1,FALSE),"")</f>
        <v/>
      </c>
      <c r="F435" s="352" t="str">
        <f t="shared" si="13"/>
        <v/>
      </c>
      <c r="G435" s="2" t="str">
        <f>IF(D435&lt;&gt;"",IF(VLOOKUP(VLOOKUP(E435,Beräkningshjälp!O$2:U$60,7,FALSE),Artuppgifter!$I$11:$P$22,8,FALSE)=TRUE,"Medelvikter!!","ALLA"),"")</f>
        <v/>
      </c>
      <c r="H435" s="2" t="str">
        <f>IF(D435&lt;&gt;"",VLOOKUP(ROW(H434),Beräkningshjälp!AC$2:AH$1082,COLUMN(Beräkningshjälp!AH$2)-COLUMN(Beräkningshjälp!AC$2)+1,FALSE),"")</f>
        <v/>
      </c>
      <c r="I435" s="116" t="str">
        <f>IF(D435&lt;&gt;"",VLOOKUP(ROW(E434),Beräkningshjälp!AC$2:AI$1082,COLUMN(Beräkningshjälp!AI$2)-COLUMN(Beräkningshjälp!AC$2)+1,FALSE),"")</f>
        <v/>
      </c>
    </row>
    <row r="436" spans="1:9" x14ac:dyDescent="0.25">
      <c r="A436" s="2" t="str">
        <f t="shared" si="12"/>
        <v/>
      </c>
      <c r="B436" s="136" t="str">
        <f>IF(D436&lt;&gt;"",'DATA TILL SLU'!$J$3,"")</f>
        <v/>
      </c>
      <c r="C436" s="146" t="str">
        <f>IF(D436&lt;&gt;"",'DATA TILL SLU'!$K$3,"")</f>
        <v/>
      </c>
      <c r="D436" s="2" t="str">
        <f>IF('DATA TILL SLU'!$D$7*1&lt;&gt;"",IF(COUNT(Beräkningshjälp!$AC$3:$AC$1082)&gt;=ROW(D435),'DATA TILL SLU'!$D$7*1,""),"")</f>
        <v/>
      </c>
      <c r="E436" s="136" t="str">
        <f>IF(D436&lt;&gt;"",VLOOKUP(ROW(E435),Beräkningshjälp!AC$2:AH$1082,COLUMN(Beräkningshjälp!AF$2)-COLUMN(Beräkningshjälp!AC$2)+1,FALSE),"")</f>
        <v/>
      </c>
      <c r="F436" s="352" t="str">
        <f t="shared" si="13"/>
        <v/>
      </c>
      <c r="G436" s="2" t="str">
        <f>IF(D436&lt;&gt;"",IF(VLOOKUP(VLOOKUP(E436,Beräkningshjälp!O$2:U$60,7,FALSE),Artuppgifter!$I$11:$P$22,8,FALSE)=TRUE,"Medelvikter!!","ALLA"),"")</f>
        <v/>
      </c>
      <c r="H436" s="2" t="str">
        <f>IF(D436&lt;&gt;"",VLOOKUP(ROW(H435),Beräkningshjälp!AC$2:AH$1082,COLUMN(Beräkningshjälp!AH$2)-COLUMN(Beräkningshjälp!AC$2)+1,FALSE),"")</f>
        <v/>
      </c>
      <c r="I436" s="116" t="str">
        <f>IF(D436&lt;&gt;"",VLOOKUP(ROW(E435),Beräkningshjälp!AC$2:AI$1082,COLUMN(Beräkningshjälp!AI$2)-COLUMN(Beräkningshjälp!AC$2)+1,FALSE),"")</f>
        <v/>
      </c>
    </row>
    <row r="437" spans="1:9" x14ac:dyDescent="0.25">
      <c r="A437" s="2" t="str">
        <f t="shared" si="12"/>
        <v/>
      </c>
      <c r="B437" s="136" t="str">
        <f>IF(D437&lt;&gt;"",'DATA TILL SLU'!$J$3,"")</f>
        <v/>
      </c>
      <c r="C437" s="146" t="str">
        <f>IF(D437&lt;&gt;"",'DATA TILL SLU'!$K$3,"")</f>
        <v/>
      </c>
      <c r="D437" s="2" t="str">
        <f>IF('DATA TILL SLU'!$D$7*1&lt;&gt;"",IF(COUNT(Beräkningshjälp!$AC$3:$AC$1082)&gt;=ROW(D436),'DATA TILL SLU'!$D$7*1,""),"")</f>
        <v/>
      </c>
      <c r="E437" s="136" t="str">
        <f>IF(D437&lt;&gt;"",VLOOKUP(ROW(E436),Beräkningshjälp!AC$2:AH$1082,COLUMN(Beräkningshjälp!AF$2)-COLUMN(Beräkningshjälp!AC$2)+1,FALSE),"")</f>
        <v/>
      </c>
      <c r="F437" s="352" t="str">
        <f t="shared" si="13"/>
        <v/>
      </c>
      <c r="G437" s="2" t="str">
        <f>IF(D437&lt;&gt;"",IF(VLOOKUP(VLOOKUP(E437,Beräkningshjälp!O$2:U$60,7,FALSE),Artuppgifter!$I$11:$P$22,8,FALSE)=TRUE,"Medelvikter!!","ALLA"),"")</f>
        <v/>
      </c>
      <c r="H437" s="2" t="str">
        <f>IF(D437&lt;&gt;"",VLOOKUP(ROW(H436),Beräkningshjälp!AC$2:AH$1082,COLUMN(Beräkningshjälp!AH$2)-COLUMN(Beräkningshjälp!AC$2)+1,FALSE),"")</f>
        <v/>
      </c>
      <c r="I437" s="116" t="str">
        <f>IF(D437&lt;&gt;"",VLOOKUP(ROW(E436),Beräkningshjälp!AC$2:AI$1082,COLUMN(Beräkningshjälp!AI$2)-COLUMN(Beräkningshjälp!AC$2)+1,FALSE),"")</f>
        <v/>
      </c>
    </row>
    <row r="438" spans="1:9" x14ac:dyDescent="0.25">
      <c r="A438" s="2" t="str">
        <f t="shared" si="12"/>
        <v/>
      </c>
      <c r="B438" s="136" t="str">
        <f>IF(D438&lt;&gt;"",'DATA TILL SLU'!$J$3,"")</f>
        <v/>
      </c>
      <c r="C438" s="146" t="str">
        <f>IF(D438&lt;&gt;"",'DATA TILL SLU'!$K$3,"")</f>
        <v/>
      </c>
      <c r="D438" s="2" t="str">
        <f>IF('DATA TILL SLU'!$D$7*1&lt;&gt;"",IF(COUNT(Beräkningshjälp!$AC$3:$AC$1082)&gt;=ROW(D437),'DATA TILL SLU'!$D$7*1,""),"")</f>
        <v/>
      </c>
      <c r="E438" s="136" t="str">
        <f>IF(D438&lt;&gt;"",VLOOKUP(ROW(E437),Beräkningshjälp!AC$2:AH$1082,COLUMN(Beräkningshjälp!AF$2)-COLUMN(Beräkningshjälp!AC$2)+1,FALSE),"")</f>
        <v/>
      </c>
      <c r="F438" s="352" t="str">
        <f t="shared" si="13"/>
        <v/>
      </c>
      <c r="G438" s="2" t="str">
        <f>IF(D438&lt;&gt;"",IF(VLOOKUP(VLOOKUP(E438,Beräkningshjälp!O$2:U$60,7,FALSE),Artuppgifter!$I$11:$P$22,8,FALSE)=TRUE,"Medelvikter!!","ALLA"),"")</f>
        <v/>
      </c>
      <c r="H438" s="2" t="str">
        <f>IF(D438&lt;&gt;"",VLOOKUP(ROW(H437),Beräkningshjälp!AC$2:AH$1082,COLUMN(Beräkningshjälp!AH$2)-COLUMN(Beräkningshjälp!AC$2)+1,FALSE),"")</f>
        <v/>
      </c>
      <c r="I438" s="116" t="str">
        <f>IF(D438&lt;&gt;"",VLOOKUP(ROW(E437),Beräkningshjälp!AC$2:AI$1082,COLUMN(Beräkningshjälp!AI$2)-COLUMN(Beräkningshjälp!AC$2)+1,FALSE),"")</f>
        <v/>
      </c>
    </row>
    <row r="439" spans="1:9" x14ac:dyDescent="0.25">
      <c r="A439" s="2" t="str">
        <f t="shared" si="12"/>
        <v/>
      </c>
      <c r="B439" s="136" t="str">
        <f>IF(D439&lt;&gt;"",'DATA TILL SLU'!$J$3,"")</f>
        <v/>
      </c>
      <c r="C439" s="146" t="str">
        <f>IF(D439&lt;&gt;"",'DATA TILL SLU'!$K$3,"")</f>
        <v/>
      </c>
      <c r="D439" s="2" t="str">
        <f>IF('DATA TILL SLU'!$D$7*1&lt;&gt;"",IF(COUNT(Beräkningshjälp!$AC$3:$AC$1082)&gt;=ROW(D438),'DATA TILL SLU'!$D$7*1,""),"")</f>
        <v/>
      </c>
      <c r="E439" s="136" t="str">
        <f>IF(D439&lt;&gt;"",VLOOKUP(ROW(E438),Beräkningshjälp!AC$2:AH$1082,COLUMN(Beräkningshjälp!AF$2)-COLUMN(Beräkningshjälp!AC$2)+1,FALSE),"")</f>
        <v/>
      </c>
      <c r="F439" s="352" t="str">
        <f t="shared" si="13"/>
        <v/>
      </c>
      <c r="G439" s="2" t="str">
        <f>IF(D439&lt;&gt;"",IF(VLOOKUP(VLOOKUP(E439,Beräkningshjälp!O$2:U$60,7,FALSE),Artuppgifter!$I$11:$P$22,8,FALSE)=TRUE,"Medelvikter!!","ALLA"),"")</f>
        <v/>
      </c>
      <c r="H439" s="2" t="str">
        <f>IF(D439&lt;&gt;"",VLOOKUP(ROW(H438),Beräkningshjälp!AC$2:AH$1082,COLUMN(Beräkningshjälp!AH$2)-COLUMN(Beräkningshjälp!AC$2)+1,FALSE),"")</f>
        <v/>
      </c>
      <c r="I439" s="116" t="str">
        <f>IF(D439&lt;&gt;"",VLOOKUP(ROW(E438),Beräkningshjälp!AC$2:AI$1082,COLUMN(Beräkningshjälp!AI$2)-COLUMN(Beräkningshjälp!AC$2)+1,FALSE),"")</f>
        <v/>
      </c>
    </row>
    <row r="440" spans="1:9" x14ac:dyDescent="0.25">
      <c r="A440" s="2" t="str">
        <f t="shared" si="12"/>
        <v/>
      </c>
      <c r="B440" s="136" t="str">
        <f>IF(D440&lt;&gt;"",'DATA TILL SLU'!$J$3,"")</f>
        <v/>
      </c>
      <c r="C440" s="146" t="str">
        <f>IF(D440&lt;&gt;"",'DATA TILL SLU'!$K$3,"")</f>
        <v/>
      </c>
      <c r="D440" s="2" t="str">
        <f>IF('DATA TILL SLU'!$D$7*1&lt;&gt;"",IF(COUNT(Beräkningshjälp!$AC$3:$AC$1082)&gt;=ROW(D439),'DATA TILL SLU'!$D$7*1,""),"")</f>
        <v/>
      </c>
      <c r="E440" s="136" t="str">
        <f>IF(D440&lt;&gt;"",VLOOKUP(ROW(E439),Beräkningshjälp!AC$2:AH$1082,COLUMN(Beräkningshjälp!AF$2)-COLUMN(Beräkningshjälp!AC$2)+1,FALSE),"")</f>
        <v/>
      </c>
      <c r="F440" s="352" t="str">
        <f t="shared" si="13"/>
        <v/>
      </c>
      <c r="G440" s="2" t="str">
        <f>IF(D440&lt;&gt;"",IF(VLOOKUP(VLOOKUP(E440,Beräkningshjälp!O$2:U$60,7,FALSE),Artuppgifter!$I$11:$P$22,8,FALSE)=TRUE,"Medelvikter!!","ALLA"),"")</f>
        <v/>
      </c>
      <c r="H440" s="2" t="str">
        <f>IF(D440&lt;&gt;"",VLOOKUP(ROW(H439),Beräkningshjälp!AC$2:AH$1082,COLUMN(Beräkningshjälp!AH$2)-COLUMN(Beräkningshjälp!AC$2)+1,FALSE),"")</f>
        <v/>
      </c>
      <c r="I440" s="116" t="str">
        <f>IF(D440&lt;&gt;"",VLOOKUP(ROW(E439),Beräkningshjälp!AC$2:AI$1082,COLUMN(Beräkningshjälp!AI$2)-COLUMN(Beräkningshjälp!AC$2)+1,FALSE),"")</f>
        <v/>
      </c>
    </row>
    <row r="441" spans="1:9" x14ac:dyDescent="0.25">
      <c r="A441" s="2" t="str">
        <f t="shared" si="12"/>
        <v/>
      </c>
      <c r="B441" s="136" t="str">
        <f>IF(D441&lt;&gt;"",'DATA TILL SLU'!$J$3,"")</f>
        <v/>
      </c>
      <c r="C441" s="146" t="str">
        <f>IF(D441&lt;&gt;"",'DATA TILL SLU'!$K$3,"")</f>
        <v/>
      </c>
      <c r="D441" s="2" t="str">
        <f>IF('DATA TILL SLU'!$D$7*1&lt;&gt;"",IF(COUNT(Beräkningshjälp!$AC$3:$AC$1082)&gt;=ROW(D440),'DATA TILL SLU'!$D$7*1,""),"")</f>
        <v/>
      </c>
      <c r="E441" s="136" t="str">
        <f>IF(D441&lt;&gt;"",VLOOKUP(ROW(E440),Beräkningshjälp!AC$2:AH$1082,COLUMN(Beräkningshjälp!AF$2)-COLUMN(Beräkningshjälp!AC$2)+1,FALSE),"")</f>
        <v/>
      </c>
      <c r="F441" s="352" t="str">
        <f t="shared" si="13"/>
        <v/>
      </c>
      <c r="G441" s="2" t="str">
        <f>IF(D441&lt;&gt;"",IF(VLOOKUP(VLOOKUP(E441,Beräkningshjälp!O$2:U$60,7,FALSE),Artuppgifter!$I$11:$P$22,8,FALSE)=TRUE,"Medelvikter!!","ALLA"),"")</f>
        <v/>
      </c>
      <c r="H441" s="2" t="str">
        <f>IF(D441&lt;&gt;"",VLOOKUP(ROW(H440),Beräkningshjälp!AC$2:AH$1082,COLUMN(Beräkningshjälp!AH$2)-COLUMN(Beräkningshjälp!AC$2)+1,FALSE),"")</f>
        <v/>
      </c>
      <c r="I441" s="116" t="str">
        <f>IF(D441&lt;&gt;"",VLOOKUP(ROW(E440),Beräkningshjälp!AC$2:AI$1082,COLUMN(Beräkningshjälp!AI$2)-COLUMN(Beräkningshjälp!AC$2)+1,FALSE),"")</f>
        <v/>
      </c>
    </row>
    <row r="442" spans="1:9" x14ac:dyDescent="0.25">
      <c r="A442" s="2" t="str">
        <f t="shared" si="12"/>
        <v/>
      </c>
      <c r="B442" s="136" t="str">
        <f>IF(D442&lt;&gt;"",'DATA TILL SLU'!$J$3,"")</f>
        <v/>
      </c>
      <c r="C442" s="146" t="str">
        <f>IF(D442&lt;&gt;"",'DATA TILL SLU'!$K$3,"")</f>
        <v/>
      </c>
      <c r="D442" s="2" t="str">
        <f>IF('DATA TILL SLU'!$D$7*1&lt;&gt;"",IF(COUNT(Beräkningshjälp!$AC$3:$AC$1082)&gt;=ROW(D441),'DATA TILL SLU'!$D$7*1,""),"")</f>
        <v/>
      </c>
      <c r="E442" s="136" t="str">
        <f>IF(D442&lt;&gt;"",VLOOKUP(ROW(E441),Beräkningshjälp!AC$2:AH$1082,COLUMN(Beräkningshjälp!AF$2)-COLUMN(Beräkningshjälp!AC$2)+1,FALSE),"")</f>
        <v/>
      </c>
      <c r="F442" s="352" t="str">
        <f t="shared" si="13"/>
        <v/>
      </c>
      <c r="G442" s="2" t="str">
        <f>IF(D442&lt;&gt;"",IF(VLOOKUP(VLOOKUP(E442,Beräkningshjälp!O$2:U$60,7,FALSE),Artuppgifter!$I$11:$P$22,8,FALSE)=TRUE,"Medelvikter!!","ALLA"),"")</f>
        <v/>
      </c>
      <c r="H442" s="2" t="str">
        <f>IF(D442&lt;&gt;"",VLOOKUP(ROW(H441),Beräkningshjälp!AC$2:AH$1082,COLUMN(Beräkningshjälp!AH$2)-COLUMN(Beräkningshjälp!AC$2)+1,FALSE),"")</f>
        <v/>
      </c>
      <c r="I442" s="116" t="str">
        <f>IF(D442&lt;&gt;"",VLOOKUP(ROW(E441),Beräkningshjälp!AC$2:AI$1082,COLUMN(Beräkningshjälp!AI$2)-COLUMN(Beräkningshjälp!AC$2)+1,FALSE),"")</f>
        <v/>
      </c>
    </row>
    <row r="443" spans="1:9" x14ac:dyDescent="0.25">
      <c r="A443" s="2" t="str">
        <f t="shared" si="12"/>
        <v/>
      </c>
      <c r="B443" s="136" t="str">
        <f>IF(D443&lt;&gt;"",'DATA TILL SLU'!$J$3,"")</f>
        <v/>
      </c>
      <c r="C443" s="146" t="str">
        <f>IF(D443&lt;&gt;"",'DATA TILL SLU'!$K$3,"")</f>
        <v/>
      </c>
      <c r="D443" s="2" t="str">
        <f>IF('DATA TILL SLU'!$D$7*1&lt;&gt;"",IF(COUNT(Beräkningshjälp!$AC$3:$AC$1082)&gt;=ROW(D442),'DATA TILL SLU'!$D$7*1,""),"")</f>
        <v/>
      </c>
      <c r="E443" s="136" t="str">
        <f>IF(D443&lt;&gt;"",VLOOKUP(ROW(E442),Beräkningshjälp!AC$2:AH$1082,COLUMN(Beräkningshjälp!AF$2)-COLUMN(Beräkningshjälp!AC$2)+1,FALSE),"")</f>
        <v/>
      </c>
      <c r="F443" s="352" t="str">
        <f t="shared" si="13"/>
        <v/>
      </c>
      <c r="G443" s="2" t="str">
        <f>IF(D443&lt;&gt;"",IF(VLOOKUP(VLOOKUP(E443,Beräkningshjälp!O$2:U$60,7,FALSE),Artuppgifter!$I$11:$P$22,8,FALSE)=TRUE,"Medelvikter!!","ALLA"),"")</f>
        <v/>
      </c>
      <c r="H443" s="2" t="str">
        <f>IF(D443&lt;&gt;"",VLOOKUP(ROW(H442),Beräkningshjälp!AC$2:AH$1082,COLUMN(Beräkningshjälp!AH$2)-COLUMN(Beräkningshjälp!AC$2)+1,FALSE),"")</f>
        <v/>
      </c>
      <c r="I443" s="116" t="str">
        <f>IF(D443&lt;&gt;"",VLOOKUP(ROW(E442),Beräkningshjälp!AC$2:AI$1082,COLUMN(Beräkningshjälp!AI$2)-COLUMN(Beräkningshjälp!AC$2)+1,FALSE),"")</f>
        <v/>
      </c>
    </row>
    <row r="444" spans="1:9" x14ac:dyDescent="0.25">
      <c r="A444" s="2" t="str">
        <f t="shared" si="12"/>
        <v/>
      </c>
      <c r="B444" s="136" t="str">
        <f>IF(D444&lt;&gt;"",'DATA TILL SLU'!$J$3,"")</f>
        <v/>
      </c>
      <c r="C444" s="146" t="str">
        <f>IF(D444&lt;&gt;"",'DATA TILL SLU'!$K$3,"")</f>
        <v/>
      </c>
      <c r="D444" s="2" t="str">
        <f>IF('DATA TILL SLU'!$D$7*1&lt;&gt;"",IF(COUNT(Beräkningshjälp!$AC$3:$AC$1082)&gt;=ROW(D443),'DATA TILL SLU'!$D$7*1,""),"")</f>
        <v/>
      </c>
      <c r="E444" s="136" t="str">
        <f>IF(D444&lt;&gt;"",VLOOKUP(ROW(E443),Beräkningshjälp!AC$2:AH$1082,COLUMN(Beräkningshjälp!AF$2)-COLUMN(Beräkningshjälp!AC$2)+1,FALSE),"")</f>
        <v/>
      </c>
      <c r="F444" s="352" t="str">
        <f t="shared" si="13"/>
        <v/>
      </c>
      <c r="G444" s="2" t="str">
        <f>IF(D444&lt;&gt;"",IF(VLOOKUP(VLOOKUP(E444,Beräkningshjälp!O$2:U$60,7,FALSE),Artuppgifter!$I$11:$P$22,8,FALSE)=TRUE,"Medelvikter!!","ALLA"),"")</f>
        <v/>
      </c>
      <c r="H444" s="2" t="str">
        <f>IF(D444&lt;&gt;"",VLOOKUP(ROW(H443),Beräkningshjälp!AC$2:AH$1082,COLUMN(Beräkningshjälp!AH$2)-COLUMN(Beräkningshjälp!AC$2)+1,FALSE),"")</f>
        <v/>
      </c>
      <c r="I444" s="116" t="str">
        <f>IF(D444&lt;&gt;"",VLOOKUP(ROW(E443),Beräkningshjälp!AC$2:AI$1082,COLUMN(Beräkningshjälp!AI$2)-COLUMN(Beräkningshjälp!AC$2)+1,FALSE),"")</f>
        <v/>
      </c>
    </row>
    <row r="445" spans="1:9" x14ac:dyDescent="0.25">
      <c r="A445" s="2" t="str">
        <f t="shared" si="12"/>
        <v/>
      </c>
      <c r="B445" s="136" t="str">
        <f>IF(D445&lt;&gt;"",'DATA TILL SLU'!$J$3,"")</f>
        <v/>
      </c>
      <c r="C445" s="146" t="str">
        <f>IF(D445&lt;&gt;"",'DATA TILL SLU'!$K$3,"")</f>
        <v/>
      </c>
      <c r="D445" s="2" t="str">
        <f>IF('DATA TILL SLU'!$D$7*1&lt;&gt;"",IF(COUNT(Beräkningshjälp!$AC$3:$AC$1082)&gt;=ROW(D444),'DATA TILL SLU'!$D$7*1,""),"")</f>
        <v/>
      </c>
      <c r="E445" s="136" t="str">
        <f>IF(D445&lt;&gt;"",VLOOKUP(ROW(E444),Beräkningshjälp!AC$2:AH$1082,COLUMN(Beräkningshjälp!AF$2)-COLUMN(Beräkningshjälp!AC$2)+1,FALSE),"")</f>
        <v/>
      </c>
      <c r="F445" s="352" t="str">
        <f t="shared" si="13"/>
        <v/>
      </c>
      <c r="G445" s="2" t="str">
        <f>IF(D445&lt;&gt;"",IF(VLOOKUP(VLOOKUP(E445,Beräkningshjälp!O$2:U$60,7,FALSE),Artuppgifter!$I$11:$P$22,8,FALSE)=TRUE,"Medelvikter!!","ALLA"),"")</f>
        <v/>
      </c>
      <c r="H445" s="2" t="str">
        <f>IF(D445&lt;&gt;"",VLOOKUP(ROW(H444),Beräkningshjälp!AC$2:AH$1082,COLUMN(Beräkningshjälp!AH$2)-COLUMN(Beräkningshjälp!AC$2)+1,FALSE),"")</f>
        <v/>
      </c>
      <c r="I445" s="116" t="str">
        <f>IF(D445&lt;&gt;"",VLOOKUP(ROW(E444),Beräkningshjälp!AC$2:AI$1082,COLUMN(Beräkningshjälp!AI$2)-COLUMN(Beräkningshjälp!AC$2)+1,FALSE),"")</f>
        <v/>
      </c>
    </row>
    <row r="446" spans="1:9" x14ac:dyDescent="0.25">
      <c r="A446" s="2" t="str">
        <f t="shared" si="12"/>
        <v/>
      </c>
      <c r="B446" s="136" t="str">
        <f>IF(D446&lt;&gt;"",'DATA TILL SLU'!$J$3,"")</f>
        <v/>
      </c>
      <c r="C446" s="146" t="str">
        <f>IF(D446&lt;&gt;"",'DATA TILL SLU'!$K$3,"")</f>
        <v/>
      </c>
      <c r="D446" s="2" t="str">
        <f>IF('DATA TILL SLU'!$D$7*1&lt;&gt;"",IF(COUNT(Beräkningshjälp!$AC$3:$AC$1082)&gt;=ROW(D445),'DATA TILL SLU'!$D$7*1,""),"")</f>
        <v/>
      </c>
      <c r="E446" s="136" t="str">
        <f>IF(D446&lt;&gt;"",VLOOKUP(ROW(E445),Beräkningshjälp!AC$2:AH$1082,COLUMN(Beräkningshjälp!AF$2)-COLUMN(Beräkningshjälp!AC$2)+1,FALSE),"")</f>
        <v/>
      </c>
      <c r="F446" s="352" t="str">
        <f t="shared" si="13"/>
        <v/>
      </c>
      <c r="G446" s="2" t="str">
        <f>IF(D446&lt;&gt;"",IF(VLOOKUP(VLOOKUP(E446,Beräkningshjälp!O$2:U$60,7,FALSE),Artuppgifter!$I$11:$P$22,8,FALSE)=TRUE,"Medelvikter!!","ALLA"),"")</f>
        <v/>
      </c>
      <c r="H446" s="2" t="str">
        <f>IF(D446&lt;&gt;"",VLOOKUP(ROW(H445),Beräkningshjälp!AC$2:AH$1082,COLUMN(Beräkningshjälp!AH$2)-COLUMN(Beräkningshjälp!AC$2)+1,FALSE),"")</f>
        <v/>
      </c>
      <c r="I446" s="116" t="str">
        <f>IF(D446&lt;&gt;"",VLOOKUP(ROW(E445),Beräkningshjälp!AC$2:AI$1082,COLUMN(Beräkningshjälp!AI$2)-COLUMN(Beräkningshjälp!AC$2)+1,FALSE),"")</f>
        <v/>
      </c>
    </row>
    <row r="447" spans="1:9" x14ac:dyDescent="0.25">
      <c r="A447" s="2" t="str">
        <f t="shared" si="12"/>
        <v/>
      </c>
      <c r="B447" s="136" t="str">
        <f>IF(D447&lt;&gt;"",'DATA TILL SLU'!$J$3,"")</f>
        <v/>
      </c>
      <c r="C447" s="146" t="str">
        <f>IF(D447&lt;&gt;"",'DATA TILL SLU'!$K$3,"")</f>
        <v/>
      </c>
      <c r="D447" s="2" t="str">
        <f>IF('DATA TILL SLU'!$D$7*1&lt;&gt;"",IF(COUNT(Beräkningshjälp!$AC$3:$AC$1082)&gt;=ROW(D446),'DATA TILL SLU'!$D$7*1,""),"")</f>
        <v/>
      </c>
      <c r="E447" s="136" t="str">
        <f>IF(D447&lt;&gt;"",VLOOKUP(ROW(E446),Beräkningshjälp!AC$2:AH$1082,COLUMN(Beräkningshjälp!AF$2)-COLUMN(Beräkningshjälp!AC$2)+1,FALSE),"")</f>
        <v/>
      </c>
      <c r="F447" s="352" t="str">
        <f t="shared" si="13"/>
        <v/>
      </c>
      <c r="G447" s="2" t="str">
        <f>IF(D447&lt;&gt;"",IF(VLOOKUP(VLOOKUP(E447,Beräkningshjälp!O$2:U$60,7,FALSE),Artuppgifter!$I$11:$P$22,8,FALSE)=TRUE,"Medelvikter!!","ALLA"),"")</f>
        <v/>
      </c>
      <c r="H447" s="2" t="str">
        <f>IF(D447&lt;&gt;"",VLOOKUP(ROW(H446),Beräkningshjälp!AC$2:AH$1082,COLUMN(Beräkningshjälp!AH$2)-COLUMN(Beräkningshjälp!AC$2)+1,FALSE),"")</f>
        <v/>
      </c>
      <c r="I447" s="116" t="str">
        <f>IF(D447&lt;&gt;"",VLOOKUP(ROW(E446),Beräkningshjälp!AC$2:AI$1082,COLUMN(Beräkningshjälp!AI$2)-COLUMN(Beräkningshjälp!AC$2)+1,FALSE),"")</f>
        <v/>
      </c>
    </row>
    <row r="448" spans="1:9" x14ac:dyDescent="0.25">
      <c r="A448" s="2" t="str">
        <f t="shared" si="12"/>
        <v/>
      </c>
      <c r="B448" s="136" t="str">
        <f>IF(D448&lt;&gt;"",'DATA TILL SLU'!$J$3,"")</f>
        <v/>
      </c>
      <c r="C448" s="146" t="str">
        <f>IF(D448&lt;&gt;"",'DATA TILL SLU'!$K$3,"")</f>
        <v/>
      </c>
      <c r="D448" s="2" t="str">
        <f>IF('DATA TILL SLU'!$D$7*1&lt;&gt;"",IF(COUNT(Beräkningshjälp!$AC$3:$AC$1082)&gt;=ROW(D447),'DATA TILL SLU'!$D$7*1,""),"")</f>
        <v/>
      </c>
      <c r="E448" s="136" t="str">
        <f>IF(D448&lt;&gt;"",VLOOKUP(ROW(E447),Beräkningshjälp!AC$2:AH$1082,COLUMN(Beräkningshjälp!AF$2)-COLUMN(Beräkningshjälp!AC$2)+1,FALSE),"")</f>
        <v/>
      </c>
      <c r="F448" s="352" t="str">
        <f t="shared" si="13"/>
        <v/>
      </c>
      <c r="G448" s="2" t="str">
        <f>IF(D448&lt;&gt;"",IF(VLOOKUP(VLOOKUP(E448,Beräkningshjälp!O$2:U$60,7,FALSE),Artuppgifter!$I$11:$P$22,8,FALSE)=TRUE,"Medelvikter!!","ALLA"),"")</f>
        <v/>
      </c>
      <c r="H448" s="2" t="str">
        <f>IF(D448&lt;&gt;"",VLOOKUP(ROW(H447),Beräkningshjälp!AC$2:AH$1082,COLUMN(Beräkningshjälp!AH$2)-COLUMN(Beräkningshjälp!AC$2)+1,FALSE),"")</f>
        <v/>
      </c>
      <c r="I448" s="116" t="str">
        <f>IF(D448&lt;&gt;"",VLOOKUP(ROW(E447),Beräkningshjälp!AC$2:AI$1082,COLUMN(Beräkningshjälp!AI$2)-COLUMN(Beräkningshjälp!AC$2)+1,FALSE),"")</f>
        <v/>
      </c>
    </row>
    <row r="449" spans="1:9" x14ac:dyDescent="0.25">
      <c r="A449" s="2" t="str">
        <f t="shared" si="12"/>
        <v/>
      </c>
      <c r="B449" s="136" t="str">
        <f>IF(D449&lt;&gt;"",'DATA TILL SLU'!$J$3,"")</f>
        <v/>
      </c>
      <c r="C449" s="146" t="str">
        <f>IF(D449&lt;&gt;"",'DATA TILL SLU'!$K$3,"")</f>
        <v/>
      </c>
      <c r="D449" s="2" t="str">
        <f>IF('DATA TILL SLU'!$D$7*1&lt;&gt;"",IF(COUNT(Beräkningshjälp!$AC$3:$AC$1082)&gt;=ROW(D448),'DATA TILL SLU'!$D$7*1,""),"")</f>
        <v/>
      </c>
      <c r="E449" s="136" t="str">
        <f>IF(D449&lt;&gt;"",VLOOKUP(ROW(E448),Beräkningshjälp!AC$2:AH$1082,COLUMN(Beräkningshjälp!AF$2)-COLUMN(Beräkningshjälp!AC$2)+1,FALSE),"")</f>
        <v/>
      </c>
      <c r="F449" s="352" t="str">
        <f t="shared" si="13"/>
        <v/>
      </c>
      <c r="G449" s="2" t="str">
        <f>IF(D449&lt;&gt;"",IF(VLOOKUP(VLOOKUP(E449,Beräkningshjälp!O$2:U$60,7,FALSE),Artuppgifter!$I$11:$P$22,8,FALSE)=TRUE,"Medelvikter!!","ALLA"),"")</f>
        <v/>
      </c>
      <c r="H449" s="2" t="str">
        <f>IF(D449&lt;&gt;"",VLOOKUP(ROW(H448),Beräkningshjälp!AC$2:AH$1082,COLUMN(Beräkningshjälp!AH$2)-COLUMN(Beräkningshjälp!AC$2)+1,FALSE),"")</f>
        <v/>
      </c>
      <c r="I449" s="116" t="str">
        <f>IF(D449&lt;&gt;"",VLOOKUP(ROW(E448),Beräkningshjälp!AC$2:AI$1082,COLUMN(Beräkningshjälp!AI$2)-COLUMN(Beräkningshjälp!AC$2)+1,FALSE),"")</f>
        <v/>
      </c>
    </row>
    <row r="450" spans="1:9" x14ac:dyDescent="0.25">
      <c r="A450" s="2" t="str">
        <f t="shared" si="12"/>
        <v/>
      </c>
      <c r="B450" s="136" t="str">
        <f>IF(D450&lt;&gt;"",'DATA TILL SLU'!$J$3,"")</f>
        <v/>
      </c>
      <c r="C450" s="146" t="str">
        <f>IF(D450&lt;&gt;"",'DATA TILL SLU'!$K$3,"")</f>
        <v/>
      </c>
      <c r="D450" s="2" t="str">
        <f>IF('DATA TILL SLU'!$D$7*1&lt;&gt;"",IF(COUNT(Beräkningshjälp!$AC$3:$AC$1082)&gt;=ROW(D449),'DATA TILL SLU'!$D$7*1,""),"")</f>
        <v/>
      </c>
      <c r="E450" s="136" t="str">
        <f>IF(D450&lt;&gt;"",VLOOKUP(ROW(E449),Beräkningshjälp!AC$2:AH$1082,COLUMN(Beräkningshjälp!AF$2)-COLUMN(Beräkningshjälp!AC$2)+1,FALSE),"")</f>
        <v/>
      </c>
      <c r="F450" s="352" t="str">
        <f t="shared" si="13"/>
        <v/>
      </c>
      <c r="G450" s="2" t="str">
        <f>IF(D450&lt;&gt;"",IF(VLOOKUP(VLOOKUP(E450,Beräkningshjälp!O$2:U$60,7,FALSE),Artuppgifter!$I$11:$P$22,8,FALSE)=TRUE,"Medelvikter!!","ALLA"),"")</f>
        <v/>
      </c>
      <c r="H450" s="2" t="str">
        <f>IF(D450&lt;&gt;"",VLOOKUP(ROW(H449),Beräkningshjälp!AC$2:AH$1082,COLUMN(Beräkningshjälp!AH$2)-COLUMN(Beräkningshjälp!AC$2)+1,FALSE),"")</f>
        <v/>
      </c>
      <c r="I450" s="116" t="str">
        <f>IF(D450&lt;&gt;"",VLOOKUP(ROW(E449),Beräkningshjälp!AC$2:AI$1082,COLUMN(Beräkningshjälp!AI$2)-COLUMN(Beräkningshjälp!AC$2)+1,FALSE),"")</f>
        <v/>
      </c>
    </row>
    <row r="451" spans="1:9" x14ac:dyDescent="0.25">
      <c r="A451" s="2" t="str">
        <f t="shared" ref="A451:A514" si="14">IF(D451&lt;&gt;"","LANGDVIKTER","")</f>
        <v/>
      </c>
      <c r="B451" s="136" t="str">
        <f>IF(D451&lt;&gt;"",'DATA TILL SLU'!$J$3,"")</f>
        <v/>
      </c>
      <c r="C451" s="146" t="str">
        <f>IF(D451&lt;&gt;"",'DATA TILL SLU'!$K$3,"")</f>
        <v/>
      </c>
      <c r="D451" s="2" t="str">
        <f>IF('DATA TILL SLU'!$D$7*1&lt;&gt;"",IF(COUNT(Beräkningshjälp!$AC$3:$AC$1082)&gt;=ROW(D450),'DATA TILL SLU'!$D$7*1,""),"")</f>
        <v/>
      </c>
      <c r="E451" s="136" t="str">
        <f>IF(D451&lt;&gt;"",VLOOKUP(ROW(E450),Beräkningshjälp!AC$2:AH$1082,COLUMN(Beräkningshjälp!AF$2)-COLUMN(Beräkningshjälp!AC$2)+1,FALSE),"")</f>
        <v/>
      </c>
      <c r="F451" s="352" t="str">
        <f t="shared" ref="F451:F514" si="15">IF(D451&lt;&gt;"","IND","")</f>
        <v/>
      </c>
      <c r="G451" s="2" t="str">
        <f>IF(D451&lt;&gt;"",IF(VLOOKUP(VLOOKUP(E451,Beräkningshjälp!O$2:U$60,7,FALSE),Artuppgifter!$I$11:$P$22,8,FALSE)=TRUE,"Medelvikter!!","ALLA"),"")</f>
        <v/>
      </c>
      <c r="H451" s="2" t="str">
        <f>IF(D451&lt;&gt;"",VLOOKUP(ROW(H450),Beräkningshjälp!AC$2:AH$1082,COLUMN(Beräkningshjälp!AH$2)-COLUMN(Beräkningshjälp!AC$2)+1,FALSE),"")</f>
        <v/>
      </c>
      <c r="I451" s="116" t="str">
        <f>IF(D451&lt;&gt;"",VLOOKUP(ROW(E450),Beräkningshjälp!AC$2:AI$1082,COLUMN(Beräkningshjälp!AI$2)-COLUMN(Beräkningshjälp!AC$2)+1,FALSE),"")</f>
        <v/>
      </c>
    </row>
    <row r="452" spans="1:9" x14ac:dyDescent="0.25">
      <c r="A452" s="2" t="str">
        <f t="shared" si="14"/>
        <v/>
      </c>
      <c r="B452" s="136" t="str">
        <f>IF(D452&lt;&gt;"",'DATA TILL SLU'!$J$3,"")</f>
        <v/>
      </c>
      <c r="C452" s="146" t="str">
        <f>IF(D452&lt;&gt;"",'DATA TILL SLU'!$K$3,"")</f>
        <v/>
      </c>
      <c r="D452" s="2" t="str">
        <f>IF('DATA TILL SLU'!$D$7*1&lt;&gt;"",IF(COUNT(Beräkningshjälp!$AC$3:$AC$1082)&gt;=ROW(D451),'DATA TILL SLU'!$D$7*1,""),"")</f>
        <v/>
      </c>
      <c r="E452" s="136" t="str">
        <f>IF(D452&lt;&gt;"",VLOOKUP(ROW(E451),Beräkningshjälp!AC$2:AH$1082,COLUMN(Beräkningshjälp!AF$2)-COLUMN(Beräkningshjälp!AC$2)+1,FALSE),"")</f>
        <v/>
      </c>
      <c r="F452" s="352" t="str">
        <f t="shared" si="15"/>
        <v/>
      </c>
      <c r="G452" s="2" t="str">
        <f>IF(D452&lt;&gt;"",IF(VLOOKUP(VLOOKUP(E452,Beräkningshjälp!O$2:U$60,7,FALSE),Artuppgifter!$I$11:$P$22,8,FALSE)=TRUE,"Medelvikter!!","ALLA"),"")</f>
        <v/>
      </c>
      <c r="H452" s="2" t="str">
        <f>IF(D452&lt;&gt;"",VLOOKUP(ROW(H451),Beräkningshjälp!AC$2:AH$1082,COLUMN(Beräkningshjälp!AH$2)-COLUMN(Beräkningshjälp!AC$2)+1,FALSE),"")</f>
        <v/>
      </c>
      <c r="I452" s="116" t="str">
        <f>IF(D452&lt;&gt;"",VLOOKUP(ROW(E451),Beräkningshjälp!AC$2:AI$1082,COLUMN(Beräkningshjälp!AI$2)-COLUMN(Beräkningshjälp!AC$2)+1,FALSE),"")</f>
        <v/>
      </c>
    </row>
    <row r="453" spans="1:9" x14ac:dyDescent="0.25">
      <c r="A453" s="2" t="str">
        <f t="shared" si="14"/>
        <v/>
      </c>
      <c r="B453" s="136" t="str">
        <f>IF(D453&lt;&gt;"",'DATA TILL SLU'!$J$3,"")</f>
        <v/>
      </c>
      <c r="C453" s="146" t="str">
        <f>IF(D453&lt;&gt;"",'DATA TILL SLU'!$K$3,"")</f>
        <v/>
      </c>
      <c r="D453" s="2" t="str">
        <f>IF('DATA TILL SLU'!$D$7*1&lt;&gt;"",IF(COUNT(Beräkningshjälp!$AC$3:$AC$1082)&gt;=ROW(D452),'DATA TILL SLU'!$D$7*1,""),"")</f>
        <v/>
      </c>
      <c r="E453" s="136" t="str">
        <f>IF(D453&lt;&gt;"",VLOOKUP(ROW(E452),Beräkningshjälp!AC$2:AH$1082,COLUMN(Beräkningshjälp!AF$2)-COLUMN(Beräkningshjälp!AC$2)+1,FALSE),"")</f>
        <v/>
      </c>
      <c r="F453" s="352" t="str">
        <f t="shared" si="15"/>
        <v/>
      </c>
      <c r="G453" s="2" t="str">
        <f>IF(D453&lt;&gt;"",IF(VLOOKUP(VLOOKUP(E453,Beräkningshjälp!O$2:U$60,7,FALSE),Artuppgifter!$I$11:$P$22,8,FALSE)=TRUE,"Medelvikter!!","ALLA"),"")</f>
        <v/>
      </c>
      <c r="H453" s="2" t="str">
        <f>IF(D453&lt;&gt;"",VLOOKUP(ROW(H452),Beräkningshjälp!AC$2:AH$1082,COLUMN(Beräkningshjälp!AH$2)-COLUMN(Beräkningshjälp!AC$2)+1,FALSE),"")</f>
        <v/>
      </c>
      <c r="I453" s="116" t="str">
        <f>IF(D453&lt;&gt;"",VLOOKUP(ROW(E452),Beräkningshjälp!AC$2:AI$1082,COLUMN(Beräkningshjälp!AI$2)-COLUMN(Beräkningshjälp!AC$2)+1,FALSE),"")</f>
        <v/>
      </c>
    </row>
    <row r="454" spans="1:9" x14ac:dyDescent="0.25">
      <c r="A454" s="2" t="str">
        <f t="shared" si="14"/>
        <v/>
      </c>
      <c r="B454" s="136" t="str">
        <f>IF(D454&lt;&gt;"",'DATA TILL SLU'!$J$3,"")</f>
        <v/>
      </c>
      <c r="C454" s="146" t="str">
        <f>IF(D454&lt;&gt;"",'DATA TILL SLU'!$K$3,"")</f>
        <v/>
      </c>
      <c r="D454" s="2" t="str">
        <f>IF('DATA TILL SLU'!$D$7*1&lt;&gt;"",IF(COUNT(Beräkningshjälp!$AC$3:$AC$1082)&gt;=ROW(D453),'DATA TILL SLU'!$D$7*1,""),"")</f>
        <v/>
      </c>
      <c r="E454" s="136" t="str">
        <f>IF(D454&lt;&gt;"",VLOOKUP(ROW(E453),Beräkningshjälp!AC$2:AH$1082,COLUMN(Beräkningshjälp!AF$2)-COLUMN(Beräkningshjälp!AC$2)+1,FALSE),"")</f>
        <v/>
      </c>
      <c r="F454" s="352" t="str">
        <f t="shared" si="15"/>
        <v/>
      </c>
      <c r="G454" s="2" t="str">
        <f>IF(D454&lt;&gt;"",IF(VLOOKUP(VLOOKUP(E454,Beräkningshjälp!O$2:U$60,7,FALSE),Artuppgifter!$I$11:$P$22,8,FALSE)=TRUE,"Medelvikter!!","ALLA"),"")</f>
        <v/>
      </c>
      <c r="H454" s="2" t="str">
        <f>IF(D454&lt;&gt;"",VLOOKUP(ROW(H453),Beräkningshjälp!AC$2:AH$1082,COLUMN(Beräkningshjälp!AH$2)-COLUMN(Beräkningshjälp!AC$2)+1,FALSE),"")</f>
        <v/>
      </c>
      <c r="I454" s="116" t="str">
        <f>IF(D454&lt;&gt;"",VLOOKUP(ROW(E453),Beräkningshjälp!AC$2:AI$1082,COLUMN(Beräkningshjälp!AI$2)-COLUMN(Beräkningshjälp!AC$2)+1,FALSE),"")</f>
        <v/>
      </c>
    </row>
    <row r="455" spans="1:9" x14ac:dyDescent="0.25">
      <c r="A455" s="2" t="str">
        <f t="shared" si="14"/>
        <v/>
      </c>
      <c r="B455" s="136" t="str">
        <f>IF(D455&lt;&gt;"",'DATA TILL SLU'!$J$3,"")</f>
        <v/>
      </c>
      <c r="C455" s="146" t="str">
        <f>IF(D455&lt;&gt;"",'DATA TILL SLU'!$K$3,"")</f>
        <v/>
      </c>
      <c r="D455" s="2" t="str">
        <f>IF('DATA TILL SLU'!$D$7*1&lt;&gt;"",IF(COUNT(Beräkningshjälp!$AC$3:$AC$1082)&gt;=ROW(D454),'DATA TILL SLU'!$D$7*1,""),"")</f>
        <v/>
      </c>
      <c r="E455" s="136" t="str">
        <f>IF(D455&lt;&gt;"",VLOOKUP(ROW(E454),Beräkningshjälp!AC$2:AH$1082,COLUMN(Beräkningshjälp!AF$2)-COLUMN(Beräkningshjälp!AC$2)+1,FALSE),"")</f>
        <v/>
      </c>
      <c r="F455" s="352" t="str">
        <f t="shared" si="15"/>
        <v/>
      </c>
      <c r="G455" s="2" t="str">
        <f>IF(D455&lt;&gt;"",IF(VLOOKUP(VLOOKUP(E455,Beräkningshjälp!O$2:U$60,7,FALSE),Artuppgifter!$I$11:$P$22,8,FALSE)=TRUE,"Medelvikter!!","ALLA"),"")</f>
        <v/>
      </c>
      <c r="H455" s="2" t="str">
        <f>IF(D455&lt;&gt;"",VLOOKUP(ROW(H454),Beräkningshjälp!AC$2:AH$1082,COLUMN(Beräkningshjälp!AH$2)-COLUMN(Beräkningshjälp!AC$2)+1,FALSE),"")</f>
        <v/>
      </c>
      <c r="I455" s="116" t="str">
        <f>IF(D455&lt;&gt;"",VLOOKUP(ROW(E454),Beräkningshjälp!AC$2:AI$1082,COLUMN(Beräkningshjälp!AI$2)-COLUMN(Beräkningshjälp!AC$2)+1,FALSE),"")</f>
        <v/>
      </c>
    </row>
    <row r="456" spans="1:9" x14ac:dyDescent="0.25">
      <c r="A456" s="2" t="str">
        <f t="shared" si="14"/>
        <v/>
      </c>
      <c r="B456" s="136" t="str">
        <f>IF(D456&lt;&gt;"",'DATA TILL SLU'!$J$3,"")</f>
        <v/>
      </c>
      <c r="C456" s="146" t="str">
        <f>IF(D456&lt;&gt;"",'DATA TILL SLU'!$K$3,"")</f>
        <v/>
      </c>
      <c r="D456" s="2" t="str">
        <f>IF('DATA TILL SLU'!$D$7*1&lt;&gt;"",IF(COUNT(Beräkningshjälp!$AC$3:$AC$1082)&gt;=ROW(D455),'DATA TILL SLU'!$D$7*1,""),"")</f>
        <v/>
      </c>
      <c r="E456" s="136" t="str">
        <f>IF(D456&lt;&gt;"",VLOOKUP(ROW(E455),Beräkningshjälp!AC$2:AH$1082,COLUMN(Beräkningshjälp!AF$2)-COLUMN(Beräkningshjälp!AC$2)+1,FALSE),"")</f>
        <v/>
      </c>
      <c r="F456" s="352" t="str">
        <f t="shared" si="15"/>
        <v/>
      </c>
      <c r="G456" s="2" t="str">
        <f>IF(D456&lt;&gt;"",IF(VLOOKUP(VLOOKUP(E456,Beräkningshjälp!O$2:U$60,7,FALSE),Artuppgifter!$I$11:$P$22,8,FALSE)=TRUE,"Medelvikter!!","ALLA"),"")</f>
        <v/>
      </c>
      <c r="H456" s="2" t="str">
        <f>IF(D456&lt;&gt;"",VLOOKUP(ROW(H455),Beräkningshjälp!AC$2:AH$1082,COLUMN(Beräkningshjälp!AH$2)-COLUMN(Beräkningshjälp!AC$2)+1,FALSE),"")</f>
        <v/>
      </c>
      <c r="I456" s="116" t="str">
        <f>IF(D456&lt;&gt;"",VLOOKUP(ROW(E455),Beräkningshjälp!AC$2:AI$1082,COLUMN(Beräkningshjälp!AI$2)-COLUMN(Beräkningshjälp!AC$2)+1,FALSE),"")</f>
        <v/>
      </c>
    </row>
    <row r="457" spans="1:9" x14ac:dyDescent="0.25">
      <c r="A457" s="2" t="str">
        <f t="shared" si="14"/>
        <v/>
      </c>
      <c r="B457" s="136" t="str">
        <f>IF(D457&lt;&gt;"",'DATA TILL SLU'!$J$3,"")</f>
        <v/>
      </c>
      <c r="C457" s="146" t="str">
        <f>IF(D457&lt;&gt;"",'DATA TILL SLU'!$K$3,"")</f>
        <v/>
      </c>
      <c r="D457" s="2" t="str">
        <f>IF('DATA TILL SLU'!$D$7*1&lt;&gt;"",IF(COUNT(Beräkningshjälp!$AC$3:$AC$1082)&gt;=ROW(D456),'DATA TILL SLU'!$D$7*1,""),"")</f>
        <v/>
      </c>
      <c r="E457" s="136" t="str">
        <f>IF(D457&lt;&gt;"",VLOOKUP(ROW(E456),Beräkningshjälp!AC$2:AH$1082,COLUMN(Beräkningshjälp!AF$2)-COLUMN(Beräkningshjälp!AC$2)+1,FALSE),"")</f>
        <v/>
      </c>
      <c r="F457" s="352" t="str">
        <f t="shared" si="15"/>
        <v/>
      </c>
      <c r="G457" s="2" t="str">
        <f>IF(D457&lt;&gt;"",IF(VLOOKUP(VLOOKUP(E457,Beräkningshjälp!O$2:U$60,7,FALSE),Artuppgifter!$I$11:$P$22,8,FALSE)=TRUE,"Medelvikter!!","ALLA"),"")</f>
        <v/>
      </c>
      <c r="H457" s="2" t="str">
        <f>IF(D457&lt;&gt;"",VLOOKUP(ROW(H456),Beräkningshjälp!AC$2:AH$1082,COLUMN(Beräkningshjälp!AH$2)-COLUMN(Beräkningshjälp!AC$2)+1,FALSE),"")</f>
        <v/>
      </c>
      <c r="I457" s="116" t="str">
        <f>IF(D457&lt;&gt;"",VLOOKUP(ROW(E456),Beräkningshjälp!AC$2:AI$1082,COLUMN(Beräkningshjälp!AI$2)-COLUMN(Beräkningshjälp!AC$2)+1,FALSE),"")</f>
        <v/>
      </c>
    </row>
    <row r="458" spans="1:9" x14ac:dyDescent="0.25">
      <c r="A458" s="2" t="str">
        <f t="shared" si="14"/>
        <v/>
      </c>
      <c r="B458" s="136" t="str">
        <f>IF(D458&lt;&gt;"",'DATA TILL SLU'!$J$3,"")</f>
        <v/>
      </c>
      <c r="C458" s="146" t="str">
        <f>IF(D458&lt;&gt;"",'DATA TILL SLU'!$K$3,"")</f>
        <v/>
      </c>
      <c r="D458" s="2" t="str">
        <f>IF('DATA TILL SLU'!$D$7*1&lt;&gt;"",IF(COUNT(Beräkningshjälp!$AC$3:$AC$1082)&gt;=ROW(D457),'DATA TILL SLU'!$D$7*1,""),"")</f>
        <v/>
      </c>
      <c r="E458" s="136" t="str">
        <f>IF(D458&lt;&gt;"",VLOOKUP(ROW(E457),Beräkningshjälp!AC$2:AH$1082,COLUMN(Beräkningshjälp!AF$2)-COLUMN(Beräkningshjälp!AC$2)+1,FALSE),"")</f>
        <v/>
      </c>
      <c r="F458" s="352" t="str">
        <f t="shared" si="15"/>
        <v/>
      </c>
      <c r="G458" s="2" t="str">
        <f>IF(D458&lt;&gt;"",IF(VLOOKUP(VLOOKUP(E458,Beräkningshjälp!O$2:U$60,7,FALSE),Artuppgifter!$I$11:$P$22,8,FALSE)=TRUE,"Medelvikter!!","ALLA"),"")</f>
        <v/>
      </c>
      <c r="H458" s="2" t="str">
        <f>IF(D458&lt;&gt;"",VLOOKUP(ROW(H457),Beräkningshjälp!AC$2:AH$1082,COLUMN(Beräkningshjälp!AH$2)-COLUMN(Beräkningshjälp!AC$2)+1,FALSE),"")</f>
        <v/>
      </c>
      <c r="I458" s="116" t="str">
        <f>IF(D458&lt;&gt;"",VLOOKUP(ROW(E457),Beräkningshjälp!AC$2:AI$1082,COLUMN(Beräkningshjälp!AI$2)-COLUMN(Beräkningshjälp!AC$2)+1,FALSE),"")</f>
        <v/>
      </c>
    </row>
    <row r="459" spans="1:9" x14ac:dyDescent="0.25">
      <c r="A459" s="2" t="str">
        <f t="shared" si="14"/>
        <v/>
      </c>
      <c r="B459" s="136" t="str">
        <f>IF(D459&lt;&gt;"",'DATA TILL SLU'!$J$3,"")</f>
        <v/>
      </c>
      <c r="C459" s="146" t="str">
        <f>IF(D459&lt;&gt;"",'DATA TILL SLU'!$K$3,"")</f>
        <v/>
      </c>
      <c r="D459" s="2" t="str">
        <f>IF('DATA TILL SLU'!$D$7*1&lt;&gt;"",IF(COUNT(Beräkningshjälp!$AC$3:$AC$1082)&gt;=ROW(D458),'DATA TILL SLU'!$D$7*1,""),"")</f>
        <v/>
      </c>
      <c r="E459" s="136" t="str">
        <f>IF(D459&lt;&gt;"",VLOOKUP(ROW(E458),Beräkningshjälp!AC$2:AH$1082,COLUMN(Beräkningshjälp!AF$2)-COLUMN(Beräkningshjälp!AC$2)+1,FALSE),"")</f>
        <v/>
      </c>
      <c r="F459" s="352" t="str">
        <f t="shared" si="15"/>
        <v/>
      </c>
      <c r="G459" s="2" t="str">
        <f>IF(D459&lt;&gt;"",IF(VLOOKUP(VLOOKUP(E459,Beräkningshjälp!O$2:U$60,7,FALSE),Artuppgifter!$I$11:$P$22,8,FALSE)=TRUE,"Medelvikter!!","ALLA"),"")</f>
        <v/>
      </c>
      <c r="H459" s="2" t="str">
        <f>IF(D459&lt;&gt;"",VLOOKUP(ROW(H458),Beräkningshjälp!AC$2:AH$1082,COLUMN(Beräkningshjälp!AH$2)-COLUMN(Beräkningshjälp!AC$2)+1,FALSE),"")</f>
        <v/>
      </c>
      <c r="I459" s="116" t="str">
        <f>IF(D459&lt;&gt;"",VLOOKUP(ROW(E458),Beräkningshjälp!AC$2:AI$1082,COLUMN(Beräkningshjälp!AI$2)-COLUMN(Beräkningshjälp!AC$2)+1,FALSE),"")</f>
        <v/>
      </c>
    </row>
    <row r="460" spans="1:9" x14ac:dyDescent="0.25">
      <c r="A460" s="2" t="str">
        <f t="shared" si="14"/>
        <v/>
      </c>
      <c r="B460" s="136" t="str">
        <f>IF(D460&lt;&gt;"",'DATA TILL SLU'!$J$3,"")</f>
        <v/>
      </c>
      <c r="C460" s="146" t="str">
        <f>IF(D460&lt;&gt;"",'DATA TILL SLU'!$K$3,"")</f>
        <v/>
      </c>
      <c r="D460" s="2" t="str">
        <f>IF('DATA TILL SLU'!$D$7*1&lt;&gt;"",IF(COUNT(Beräkningshjälp!$AC$3:$AC$1082)&gt;=ROW(D459),'DATA TILL SLU'!$D$7*1,""),"")</f>
        <v/>
      </c>
      <c r="E460" s="136" t="str">
        <f>IF(D460&lt;&gt;"",VLOOKUP(ROW(E459),Beräkningshjälp!AC$2:AH$1082,COLUMN(Beräkningshjälp!AF$2)-COLUMN(Beräkningshjälp!AC$2)+1,FALSE),"")</f>
        <v/>
      </c>
      <c r="F460" s="352" t="str">
        <f t="shared" si="15"/>
        <v/>
      </c>
      <c r="G460" s="2" t="str">
        <f>IF(D460&lt;&gt;"",IF(VLOOKUP(VLOOKUP(E460,Beräkningshjälp!O$2:U$60,7,FALSE),Artuppgifter!$I$11:$P$22,8,FALSE)=TRUE,"Medelvikter!!","ALLA"),"")</f>
        <v/>
      </c>
      <c r="H460" s="2" t="str">
        <f>IF(D460&lt;&gt;"",VLOOKUP(ROW(H459),Beräkningshjälp!AC$2:AH$1082,COLUMN(Beräkningshjälp!AH$2)-COLUMN(Beräkningshjälp!AC$2)+1,FALSE),"")</f>
        <v/>
      </c>
      <c r="I460" s="116" t="str">
        <f>IF(D460&lt;&gt;"",VLOOKUP(ROW(E459),Beräkningshjälp!AC$2:AI$1082,COLUMN(Beräkningshjälp!AI$2)-COLUMN(Beräkningshjälp!AC$2)+1,FALSE),"")</f>
        <v/>
      </c>
    </row>
    <row r="461" spans="1:9" x14ac:dyDescent="0.25">
      <c r="A461" s="2" t="str">
        <f t="shared" si="14"/>
        <v/>
      </c>
      <c r="B461" s="136" t="str">
        <f>IF(D461&lt;&gt;"",'DATA TILL SLU'!$J$3,"")</f>
        <v/>
      </c>
      <c r="C461" s="146" t="str">
        <f>IF(D461&lt;&gt;"",'DATA TILL SLU'!$K$3,"")</f>
        <v/>
      </c>
      <c r="D461" s="2" t="str">
        <f>IF('DATA TILL SLU'!$D$7*1&lt;&gt;"",IF(COUNT(Beräkningshjälp!$AC$3:$AC$1082)&gt;=ROW(D460),'DATA TILL SLU'!$D$7*1,""),"")</f>
        <v/>
      </c>
      <c r="E461" s="136" t="str">
        <f>IF(D461&lt;&gt;"",VLOOKUP(ROW(E460),Beräkningshjälp!AC$2:AH$1082,COLUMN(Beräkningshjälp!AF$2)-COLUMN(Beräkningshjälp!AC$2)+1,FALSE),"")</f>
        <v/>
      </c>
      <c r="F461" s="352" t="str">
        <f t="shared" si="15"/>
        <v/>
      </c>
      <c r="G461" s="2" t="str">
        <f>IF(D461&lt;&gt;"",IF(VLOOKUP(VLOOKUP(E461,Beräkningshjälp!O$2:U$60,7,FALSE),Artuppgifter!$I$11:$P$22,8,FALSE)=TRUE,"Medelvikter!!","ALLA"),"")</f>
        <v/>
      </c>
      <c r="H461" s="2" t="str">
        <f>IF(D461&lt;&gt;"",VLOOKUP(ROW(H460),Beräkningshjälp!AC$2:AH$1082,COLUMN(Beräkningshjälp!AH$2)-COLUMN(Beräkningshjälp!AC$2)+1,FALSE),"")</f>
        <v/>
      </c>
      <c r="I461" s="116" t="str">
        <f>IF(D461&lt;&gt;"",VLOOKUP(ROW(E460),Beräkningshjälp!AC$2:AI$1082,COLUMN(Beräkningshjälp!AI$2)-COLUMN(Beräkningshjälp!AC$2)+1,FALSE),"")</f>
        <v/>
      </c>
    </row>
    <row r="462" spans="1:9" x14ac:dyDescent="0.25">
      <c r="A462" s="2" t="str">
        <f t="shared" si="14"/>
        <v/>
      </c>
      <c r="B462" s="136" t="str">
        <f>IF(D462&lt;&gt;"",'DATA TILL SLU'!$J$3,"")</f>
        <v/>
      </c>
      <c r="C462" s="146" t="str">
        <f>IF(D462&lt;&gt;"",'DATA TILL SLU'!$K$3,"")</f>
        <v/>
      </c>
      <c r="D462" s="2" t="str">
        <f>IF('DATA TILL SLU'!$D$7*1&lt;&gt;"",IF(COUNT(Beräkningshjälp!$AC$3:$AC$1082)&gt;=ROW(D461),'DATA TILL SLU'!$D$7*1,""),"")</f>
        <v/>
      </c>
      <c r="E462" s="136" t="str">
        <f>IF(D462&lt;&gt;"",VLOOKUP(ROW(E461),Beräkningshjälp!AC$2:AH$1082,COLUMN(Beräkningshjälp!AF$2)-COLUMN(Beräkningshjälp!AC$2)+1,FALSE),"")</f>
        <v/>
      </c>
      <c r="F462" s="352" t="str">
        <f t="shared" si="15"/>
        <v/>
      </c>
      <c r="G462" s="2" t="str">
        <f>IF(D462&lt;&gt;"",IF(VLOOKUP(VLOOKUP(E462,Beräkningshjälp!O$2:U$60,7,FALSE),Artuppgifter!$I$11:$P$22,8,FALSE)=TRUE,"Medelvikter!!","ALLA"),"")</f>
        <v/>
      </c>
      <c r="H462" s="2" t="str">
        <f>IF(D462&lt;&gt;"",VLOOKUP(ROW(H461),Beräkningshjälp!AC$2:AH$1082,COLUMN(Beräkningshjälp!AH$2)-COLUMN(Beräkningshjälp!AC$2)+1,FALSE),"")</f>
        <v/>
      </c>
      <c r="I462" s="116" t="str">
        <f>IF(D462&lt;&gt;"",VLOOKUP(ROW(E461),Beräkningshjälp!AC$2:AI$1082,COLUMN(Beräkningshjälp!AI$2)-COLUMN(Beräkningshjälp!AC$2)+1,FALSE),"")</f>
        <v/>
      </c>
    </row>
    <row r="463" spans="1:9" x14ac:dyDescent="0.25">
      <c r="A463" s="2" t="str">
        <f t="shared" si="14"/>
        <v/>
      </c>
      <c r="B463" s="136" t="str">
        <f>IF(D463&lt;&gt;"",'DATA TILL SLU'!$J$3,"")</f>
        <v/>
      </c>
      <c r="C463" s="146" t="str">
        <f>IF(D463&lt;&gt;"",'DATA TILL SLU'!$K$3,"")</f>
        <v/>
      </c>
      <c r="D463" s="2" t="str">
        <f>IF('DATA TILL SLU'!$D$7*1&lt;&gt;"",IF(COUNT(Beräkningshjälp!$AC$3:$AC$1082)&gt;=ROW(D462),'DATA TILL SLU'!$D$7*1,""),"")</f>
        <v/>
      </c>
      <c r="E463" s="136" t="str">
        <f>IF(D463&lt;&gt;"",VLOOKUP(ROW(E462),Beräkningshjälp!AC$2:AH$1082,COLUMN(Beräkningshjälp!AF$2)-COLUMN(Beräkningshjälp!AC$2)+1,FALSE),"")</f>
        <v/>
      </c>
      <c r="F463" s="352" t="str">
        <f t="shared" si="15"/>
        <v/>
      </c>
      <c r="G463" s="2" t="str">
        <f>IF(D463&lt;&gt;"",IF(VLOOKUP(VLOOKUP(E463,Beräkningshjälp!O$2:U$60,7,FALSE),Artuppgifter!$I$11:$P$22,8,FALSE)=TRUE,"Medelvikter!!","ALLA"),"")</f>
        <v/>
      </c>
      <c r="H463" s="2" t="str">
        <f>IF(D463&lt;&gt;"",VLOOKUP(ROW(H462),Beräkningshjälp!AC$2:AH$1082,COLUMN(Beräkningshjälp!AH$2)-COLUMN(Beräkningshjälp!AC$2)+1,FALSE),"")</f>
        <v/>
      </c>
      <c r="I463" s="116" t="str">
        <f>IF(D463&lt;&gt;"",VLOOKUP(ROW(E462),Beräkningshjälp!AC$2:AI$1082,COLUMN(Beräkningshjälp!AI$2)-COLUMN(Beräkningshjälp!AC$2)+1,FALSE),"")</f>
        <v/>
      </c>
    </row>
    <row r="464" spans="1:9" x14ac:dyDescent="0.25">
      <c r="A464" s="2" t="str">
        <f t="shared" si="14"/>
        <v/>
      </c>
      <c r="B464" s="136" t="str">
        <f>IF(D464&lt;&gt;"",'DATA TILL SLU'!$J$3,"")</f>
        <v/>
      </c>
      <c r="C464" s="146" t="str">
        <f>IF(D464&lt;&gt;"",'DATA TILL SLU'!$K$3,"")</f>
        <v/>
      </c>
      <c r="D464" s="2" t="str">
        <f>IF('DATA TILL SLU'!$D$7*1&lt;&gt;"",IF(COUNT(Beräkningshjälp!$AC$3:$AC$1082)&gt;=ROW(D463),'DATA TILL SLU'!$D$7*1,""),"")</f>
        <v/>
      </c>
      <c r="E464" s="136" t="str">
        <f>IF(D464&lt;&gt;"",VLOOKUP(ROW(E463),Beräkningshjälp!AC$2:AH$1082,COLUMN(Beräkningshjälp!AF$2)-COLUMN(Beräkningshjälp!AC$2)+1,FALSE),"")</f>
        <v/>
      </c>
      <c r="F464" s="352" t="str">
        <f t="shared" si="15"/>
        <v/>
      </c>
      <c r="G464" s="2" t="str">
        <f>IF(D464&lt;&gt;"",IF(VLOOKUP(VLOOKUP(E464,Beräkningshjälp!O$2:U$60,7,FALSE),Artuppgifter!$I$11:$P$22,8,FALSE)=TRUE,"Medelvikter!!","ALLA"),"")</f>
        <v/>
      </c>
      <c r="H464" s="2" t="str">
        <f>IF(D464&lt;&gt;"",VLOOKUP(ROW(H463),Beräkningshjälp!AC$2:AH$1082,COLUMN(Beräkningshjälp!AH$2)-COLUMN(Beräkningshjälp!AC$2)+1,FALSE),"")</f>
        <v/>
      </c>
      <c r="I464" s="116" t="str">
        <f>IF(D464&lt;&gt;"",VLOOKUP(ROW(E463),Beräkningshjälp!AC$2:AI$1082,COLUMN(Beräkningshjälp!AI$2)-COLUMN(Beräkningshjälp!AC$2)+1,FALSE),"")</f>
        <v/>
      </c>
    </row>
    <row r="465" spans="1:9" x14ac:dyDescent="0.25">
      <c r="A465" s="2" t="str">
        <f t="shared" si="14"/>
        <v/>
      </c>
      <c r="B465" s="136" t="str">
        <f>IF(D465&lt;&gt;"",'DATA TILL SLU'!$J$3,"")</f>
        <v/>
      </c>
      <c r="C465" s="146" t="str">
        <f>IF(D465&lt;&gt;"",'DATA TILL SLU'!$K$3,"")</f>
        <v/>
      </c>
      <c r="D465" s="2" t="str">
        <f>IF('DATA TILL SLU'!$D$7*1&lt;&gt;"",IF(COUNT(Beräkningshjälp!$AC$3:$AC$1082)&gt;=ROW(D464),'DATA TILL SLU'!$D$7*1,""),"")</f>
        <v/>
      </c>
      <c r="E465" s="136" t="str">
        <f>IF(D465&lt;&gt;"",VLOOKUP(ROW(E464),Beräkningshjälp!AC$2:AH$1082,COLUMN(Beräkningshjälp!AF$2)-COLUMN(Beräkningshjälp!AC$2)+1,FALSE),"")</f>
        <v/>
      </c>
      <c r="F465" s="352" t="str">
        <f t="shared" si="15"/>
        <v/>
      </c>
      <c r="G465" s="2" t="str">
        <f>IF(D465&lt;&gt;"",IF(VLOOKUP(VLOOKUP(E465,Beräkningshjälp!O$2:U$60,7,FALSE),Artuppgifter!$I$11:$P$22,8,FALSE)=TRUE,"Medelvikter!!","ALLA"),"")</f>
        <v/>
      </c>
      <c r="H465" s="2" t="str">
        <f>IF(D465&lt;&gt;"",VLOOKUP(ROW(H464),Beräkningshjälp!AC$2:AH$1082,COLUMN(Beräkningshjälp!AH$2)-COLUMN(Beräkningshjälp!AC$2)+1,FALSE),"")</f>
        <v/>
      </c>
      <c r="I465" s="116" t="str">
        <f>IF(D465&lt;&gt;"",VLOOKUP(ROW(E464),Beräkningshjälp!AC$2:AI$1082,COLUMN(Beräkningshjälp!AI$2)-COLUMN(Beräkningshjälp!AC$2)+1,FALSE),"")</f>
        <v/>
      </c>
    </row>
    <row r="466" spans="1:9" x14ac:dyDescent="0.25">
      <c r="A466" s="2" t="str">
        <f t="shared" si="14"/>
        <v/>
      </c>
      <c r="B466" s="136" t="str">
        <f>IF(D466&lt;&gt;"",'DATA TILL SLU'!$J$3,"")</f>
        <v/>
      </c>
      <c r="C466" s="146" t="str">
        <f>IF(D466&lt;&gt;"",'DATA TILL SLU'!$K$3,"")</f>
        <v/>
      </c>
      <c r="D466" s="2" t="str">
        <f>IF('DATA TILL SLU'!$D$7*1&lt;&gt;"",IF(COUNT(Beräkningshjälp!$AC$3:$AC$1082)&gt;=ROW(D465),'DATA TILL SLU'!$D$7*1,""),"")</f>
        <v/>
      </c>
      <c r="E466" s="136" t="str">
        <f>IF(D466&lt;&gt;"",VLOOKUP(ROW(E465),Beräkningshjälp!AC$2:AH$1082,COLUMN(Beräkningshjälp!AF$2)-COLUMN(Beräkningshjälp!AC$2)+1,FALSE),"")</f>
        <v/>
      </c>
      <c r="F466" s="352" t="str">
        <f t="shared" si="15"/>
        <v/>
      </c>
      <c r="G466" s="2" t="str">
        <f>IF(D466&lt;&gt;"",IF(VLOOKUP(VLOOKUP(E466,Beräkningshjälp!O$2:U$60,7,FALSE),Artuppgifter!$I$11:$P$22,8,FALSE)=TRUE,"Medelvikter!!","ALLA"),"")</f>
        <v/>
      </c>
      <c r="H466" s="2" t="str">
        <f>IF(D466&lt;&gt;"",VLOOKUP(ROW(H465),Beräkningshjälp!AC$2:AH$1082,COLUMN(Beräkningshjälp!AH$2)-COLUMN(Beräkningshjälp!AC$2)+1,FALSE),"")</f>
        <v/>
      </c>
      <c r="I466" s="116" t="str">
        <f>IF(D466&lt;&gt;"",VLOOKUP(ROW(E465),Beräkningshjälp!AC$2:AI$1082,COLUMN(Beräkningshjälp!AI$2)-COLUMN(Beräkningshjälp!AC$2)+1,FALSE),"")</f>
        <v/>
      </c>
    </row>
    <row r="467" spans="1:9" x14ac:dyDescent="0.25">
      <c r="A467" s="2" t="str">
        <f t="shared" si="14"/>
        <v/>
      </c>
      <c r="B467" s="136" t="str">
        <f>IF(D467&lt;&gt;"",'DATA TILL SLU'!$J$3,"")</f>
        <v/>
      </c>
      <c r="C467" s="146" t="str">
        <f>IF(D467&lt;&gt;"",'DATA TILL SLU'!$K$3,"")</f>
        <v/>
      </c>
      <c r="D467" s="2" t="str">
        <f>IF('DATA TILL SLU'!$D$7*1&lt;&gt;"",IF(COUNT(Beräkningshjälp!$AC$3:$AC$1082)&gt;=ROW(D466),'DATA TILL SLU'!$D$7*1,""),"")</f>
        <v/>
      </c>
      <c r="E467" s="136" t="str">
        <f>IF(D467&lt;&gt;"",VLOOKUP(ROW(E466),Beräkningshjälp!AC$2:AH$1082,COLUMN(Beräkningshjälp!AF$2)-COLUMN(Beräkningshjälp!AC$2)+1,FALSE),"")</f>
        <v/>
      </c>
      <c r="F467" s="352" t="str">
        <f t="shared" si="15"/>
        <v/>
      </c>
      <c r="G467" s="2" t="str">
        <f>IF(D467&lt;&gt;"",IF(VLOOKUP(VLOOKUP(E467,Beräkningshjälp!O$2:U$60,7,FALSE),Artuppgifter!$I$11:$P$22,8,FALSE)=TRUE,"Medelvikter!!","ALLA"),"")</f>
        <v/>
      </c>
      <c r="H467" s="2" t="str">
        <f>IF(D467&lt;&gt;"",VLOOKUP(ROW(H466),Beräkningshjälp!AC$2:AH$1082,COLUMN(Beräkningshjälp!AH$2)-COLUMN(Beräkningshjälp!AC$2)+1,FALSE),"")</f>
        <v/>
      </c>
      <c r="I467" s="116" t="str">
        <f>IF(D467&lt;&gt;"",VLOOKUP(ROW(E466),Beräkningshjälp!AC$2:AI$1082,COLUMN(Beräkningshjälp!AI$2)-COLUMN(Beräkningshjälp!AC$2)+1,FALSE),"")</f>
        <v/>
      </c>
    </row>
    <row r="468" spans="1:9" x14ac:dyDescent="0.25">
      <c r="A468" s="2" t="str">
        <f t="shared" si="14"/>
        <v/>
      </c>
      <c r="B468" s="136" t="str">
        <f>IF(D468&lt;&gt;"",'DATA TILL SLU'!$J$3,"")</f>
        <v/>
      </c>
      <c r="C468" s="146" t="str">
        <f>IF(D468&lt;&gt;"",'DATA TILL SLU'!$K$3,"")</f>
        <v/>
      </c>
      <c r="D468" s="2" t="str">
        <f>IF('DATA TILL SLU'!$D$7*1&lt;&gt;"",IF(COUNT(Beräkningshjälp!$AC$3:$AC$1082)&gt;=ROW(D467),'DATA TILL SLU'!$D$7*1,""),"")</f>
        <v/>
      </c>
      <c r="E468" s="136" t="str">
        <f>IF(D468&lt;&gt;"",VLOOKUP(ROW(E467),Beräkningshjälp!AC$2:AH$1082,COLUMN(Beräkningshjälp!AF$2)-COLUMN(Beräkningshjälp!AC$2)+1,FALSE),"")</f>
        <v/>
      </c>
      <c r="F468" s="352" t="str">
        <f t="shared" si="15"/>
        <v/>
      </c>
      <c r="G468" s="2" t="str">
        <f>IF(D468&lt;&gt;"",IF(VLOOKUP(VLOOKUP(E468,Beräkningshjälp!O$2:U$60,7,FALSE),Artuppgifter!$I$11:$P$22,8,FALSE)=TRUE,"Medelvikter!!","ALLA"),"")</f>
        <v/>
      </c>
      <c r="H468" s="2" t="str">
        <f>IF(D468&lt;&gt;"",VLOOKUP(ROW(H467),Beräkningshjälp!AC$2:AH$1082,COLUMN(Beräkningshjälp!AH$2)-COLUMN(Beräkningshjälp!AC$2)+1,FALSE),"")</f>
        <v/>
      </c>
      <c r="I468" s="116" t="str">
        <f>IF(D468&lt;&gt;"",VLOOKUP(ROW(E467),Beräkningshjälp!AC$2:AI$1082,COLUMN(Beräkningshjälp!AI$2)-COLUMN(Beräkningshjälp!AC$2)+1,FALSE),"")</f>
        <v/>
      </c>
    </row>
    <row r="469" spans="1:9" x14ac:dyDescent="0.25">
      <c r="A469" s="2" t="str">
        <f t="shared" si="14"/>
        <v/>
      </c>
      <c r="B469" s="136" t="str">
        <f>IF(D469&lt;&gt;"",'DATA TILL SLU'!$J$3,"")</f>
        <v/>
      </c>
      <c r="C469" s="146" t="str">
        <f>IF(D469&lt;&gt;"",'DATA TILL SLU'!$K$3,"")</f>
        <v/>
      </c>
      <c r="D469" s="2" t="str">
        <f>IF('DATA TILL SLU'!$D$7*1&lt;&gt;"",IF(COUNT(Beräkningshjälp!$AC$3:$AC$1082)&gt;=ROW(D468),'DATA TILL SLU'!$D$7*1,""),"")</f>
        <v/>
      </c>
      <c r="E469" s="136" t="str">
        <f>IF(D469&lt;&gt;"",VLOOKUP(ROW(E468),Beräkningshjälp!AC$2:AH$1082,COLUMN(Beräkningshjälp!AF$2)-COLUMN(Beräkningshjälp!AC$2)+1,FALSE),"")</f>
        <v/>
      </c>
      <c r="F469" s="352" t="str">
        <f t="shared" si="15"/>
        <v/>
      </c>
      <c r="G469" s="2" t="str">
        <f>IF(D469&lt;&gt;"",IF(VLOOKUP(VLOOKUP(E469,Beräkningshjälp!O$2:U$60,7,FALSE),Artuppgifter!$I$11:$P$22,8,FALSE)=TRUE,"Medelvikter!!","ALLA"),"")</f>
        <v/>
      </c>
      <c r="H469" s="2" t="str">
        <f>IF(D469&lt;&gt;"",VLOOKUP(ROW(H468),Beräkningshjälp!AC$2:AH$1082,COLUMN(Beräkningshjälp!AH$2)-COLUMN(Beräkningshjälp!AC$2)+1,FALSE),"")</f>
        <v/>
      </c>
      <c r="I469" s="116" t="str">
        <f>IF(D469&lt;&gt;"",VLOOKUP(ROW(E468),Beräkningshjälp!AC$2:AI$1082,COLUMN(Beräkningshjälp!AI$2)-COLUMN(Beräkningshjälp!AC$2)+1,FALSE),"")</f>
        <v/>
      </c>
    </row>
    <row r="470" spans="1:9" x14ac:dyDescent="0.25">
      <c r="A470" s="2" t="str">
        <f t="shared" si="14"/>
        <v/>
      </c>
      <c r="B470" s="136" t="str">
        <f>IF(D470&lt;&gt;"",'DATA TILL SLU'!$J$3,"")</f>
        <v/>
      </c>
      <c r="C470" s="146" t="str">
        <f>IF(D470&lt;&gt;"",'DATA TILL SLU'!$K$3,"")</f>
        <v/>
      </c>
      <c r="D470" s="2" t="str">
        <f>IF('DATA TILL SLU'!$D$7*1&lt;&gt;"",IF(COUNT(Beräkningshjälp!$AC$3:$AC$1082)&gt;=ROW(D469),'DATA TILL SLU'!$D$7*1,""),"")</f>
        <v/>
      </c>
      <c r="E470" s="136" t="str">
        <f>IF(D470&lt;&gt;"",VLOOKUP(ROW(E469),Beräkningshjälp!AC$2:AH$1082,COLUMN(Beräkningshjälp!AF$2)-COLUMN(Beräkningshjälp!AC$2)+1,FALSE),"")</f>
        <v/>
      </c>
      <c r="F470" s="352" t="str">
        <f t="shared" si="15"/>
        <v/>
      </c>
      <c r="G470" s="2" t="str">
        <f>IF(D470&lt;&gt;"",IF(VLOOKUP(VLOOKUP(E470,Beräkningshjälp!O$2:U$60,7,FALSE),Artuppgifter!$I$11:$P$22,8,FALSE)=TRUE,"Medelvikter!!","ALLA"),"")</f>
        <v/>
      </c>
      <c r="H470" s="2" t="str">
        <f>IF(D470&lt;&gt;"",VLOOKUP(ROW(H469),Beräkningshjälp!AC$2:AH$1082,COLUMN(Beräkningshjälp!AH$2)-COLUMN(Beräkningshjälp!AC$2)+1,FALSE),"")</f>
        <v/>
      </c>
      <c r="I470" s="116" t="str">
        <f>IF(D470&lt;&gt;"",VLOOKUP(ROW(E469),Beräkningshjälp!AC$2:AI$1082,COLUMN(Beräkningshjälp!AI$2)-COLUMN(Beräkningshjälp!AC$2)+1,FALSE),"")</f>
        <v/>
      </c>
    </row>
    <row r="471" spans="1:9" x14ac:dyDescent="0.25">
      <c r="A471" s="2" t="str">
        <f t="shared" si="14"/>
        <v/>
      </c>
      <c r="B471" s="136" t="str">
        <f>IF(D471&lt;&gt;"",'DATA TILL SLU'!$J$3,"")</f>
        <v/>
      </c>
      <c r="C471" s="146" t="str">
        <f>IF(D471&lt;&gt;"",'DATA TILL SLU'!$K$3,"")</f>
        <v/>
      </c>
      <c r="D471" s="2" t="str">
        <f>IF('DATA TILL SLU'!$D$7*1&lt;&gt;"",IF(COUNT(Beräkningshjälp!$AC$3:$AC$1082)&gt;=ROW(D470),'DATA TILL SLU'!$D$7*1,""),"")</f>
        <v/>
      </c>
      <c r="E471" s="136" t="str">
        <f>IF(D471&lt;&gt;"",VLOOKUP(ROW(E470),Beräkningshjälp!AC$2:AH$1082,COLUMN(Beräkningshjälp!AF$2)-COLUMN(Beräkningshjälp!AC$2)+1,FALSE),"")</f>
        <v/>
      </c>
      <c r="F471" s="352" t="str">
        <f t="shared" si="15"/>
        <v/>
      </c>
      <c r="G471" s="2" t="str">
        <f>IF(D471&lt;&gt;"",IF(VLOOKUP(VLOOKUP(E471,Beräkningshjälp!O$2:U$60,7,FALSE),Artuppgifter!$I$11:$P$22,8,FALSE)=TRUE,"Medelvikter!!","ALLA"),"")</f>
        <v/>
      </c>
      <c r="H471" s="2" t="str">
        <f>IF(D471&lt;&gt;"",VLOOKUP(ROW(H470),Beräkningshjälp!AC$2:AH$1082,COLUMN(Beräkningshjälp!AH$2)-COLUMN(Beräkningshjälp!AC$2)+1,FALSE),"")</f>
        <v/>
      </c>
      <c r="I471" s="116" t="str">
        <f>IF(D471&lt;&gt;"",VLOOKUP(ROW(E470),Beräkningshjälp!AC$2:AI$1082,COLUMN(Beräkningshjälp!AI$2)-COLUMN(Beräkningshjälp!AC$2)+1,FALSE),"")</f>
        <v/>
      </c>
    </row>
    <row r="472" spans="1:9" x14ac:dyDescent="0.25">
      <c r="A472" s="2" t="str">
        <f t="shared" si="14"/>
        <v/>
      </c>
      <c r="B472" s="136" t="str">
        <f>IF(D472&lt;&gt;"",'DATA TILL SLU'!$J$3,"")</f>
        <v/>
      </c>
      <c r="C472" s="146" t="str">
        <f>IF(D472&lt;&gt;"",'DATA TILL SLU'!$K$3,"")</f>
        <v/>
      </c>
      <c r="D472" s="2" t="str">
        <f>IF('DATA TILL SLU'!$D$7*1&lt;&gt;"",IF(COUNT(Beräkningshjälp!$AC$3:$AC$1082)&gt;=ROW(D471),'DATA TILL SLU'!$D$7*1,""),"")</f>
        <v/>
      </c>
      <c r="E472" s="136" t="str">
        <f>IF(D472&lt;&gt;"",VLOOKUP(ROW(E471),Beräkningshjälp!AC$2:AH$1082,COLUMN(Beräkningshjälp!AF$2)-COLUMN(Beräkningshjälp!AC$2)+1,FALSE),"")</f>
        <v/>
      </c>
      <c r="F472" s="352" t="str">
        <f t="shared" si="15"/>
        <v/>
      </c>
      <c r="G472" s="2" t="str">
        <f>IF(D472&lt;&gt;"",IF(VLOOKUP(VLOOKUP(E472,Beräkningshjälp!O$2:U$60,7,FALSE),Artuppgifter!$I$11:$P$22,8,FALSE)=TRUE,"Medelvikter!!","ALLA"),"")</f>
        <v/>
      </c>
      <c r="H472" s="2" t="str">
        <f>IF(D472&lt;&gt;"",VLOOKUP(ROW(H471),Beräkningshjälp!AC$2:AH$1082,COLUMN(Beräkningshjälp!AH$2)-COLUMN(Beräkningshjälp!AC$2)+1,FALSE),"")</f>
        <v/>
      </c>
      <c r="I472" s="116" t="str">
        <f>IF(D472&lt;&gt;"",VLOOKUP(ROW(E471),Beräkningshjälp!AC$2:AI$1082,COLUMN(Beräkningshjälp!AI$2)-COLUMN(Beräkningshjälp!AC$2)+1,FALSE),"")</f>
        <v/>
      </c>
    </row>
    <row r="473" spans="1:9" x14ac:dyDescent="0.25">
      <c r="A473" s="2" t="str">
        <f t="shared" si="14"/>
        <v/>
      </c>
      <c r="B473" s="136" t="str">
        <f>IF(D473&lt;&gt;"",'DATA TILL SLU'!$J$3,"")</f>
        <v/>
      </c>
      <c r="C473" s="146" t="str">
        <f>IF(D473&lt;&gt;"",'DATA TILL SLU'!$K$3,"")</f>
        <v/>
      </c>
      <c r="D473" s="2" t="str">
        <f>IF('DATA TILL SLU'!$D$7*1&lt;&gt;"",IF(COUNT(Beräkningshjälp!$AC$3:$AC$1082)&gt;=ROW(D472),'DATA TILL SLU'!$D$7*1,""),"")</f>
        <v/>
      </c>
      <c r="E473" s="136" t="str">
        <f>IF(D473&lt;&gt;"",VLOOKUP(ROW(E472),Beräkningshjälp!AC$2:AH$1082,COLUMN(Beräkningshjälp!AF$2)-COLUMN(Beräkningshjälp!AC$2)+1,FALSE),"")</f>
        <v/>
      </c>
      <c r="F473" s="352" t="str">
        <f t="shared" si="15"/>
        <v/>
      </c>
      <c r="G473" s="2" t="str">
        <f>IF(D473&lt;&gt;"",IF(VLOOKUP(VLOOKUP(E473,Beräkningshjälp!O$2:U$60,7,FALSE),Artuppgifter!$I$11:$P$22,8,FALSE)=TRUE,"Medelvikter!!","ALLA"),"")</f>
        <v/>
      </c>
      <c r="H473" s="2" t="str">
        <f>IF(D473&lt;&gt;"",VLOOKUP(ROW(H472),Beräkningshjälp!AC$2:AH$1082,COLUMN(Beräkningshjälp!AH$2)-COLUMN(Beräkningshjälp!AC$2)+1,FALSE),"")</f>
        <v/>
      </c>
      <c r="I473" s="116" t="str">
        <f>IF(D473&lt;&gt;"",VLOOKUP(ROW(E472),Beräkningshjälp!AC$2:AI$1082,COLUMN(Beräkningshjälp!AI$2)-COLUMN(Beräkningshjälp!AC$2)+1,FALSE),"")</f>
        <v/>
      </c>
    </row>
    <row r="474" spans="1:9" x14ac:dyDescent="0.25">
      <c r="A474" s="2" t="str">
        <f t="shared" si="14"/>
        <v/>
      </c>
      <c r="B474" s="136" t="str">
        <f>IF(D474&lt;&gt;"",'DATA TILL SLU'!$J$3,"")</f>
        <v/>
      </c>
      <c r="C474" s="146" t="str">
        <f>IF(D474&lt;&gt;"",'DATA TILL SLU'!$K$3,"")</f>
        <v/>
      </c>
      <c r="D474" s="2" t="str">
        <f>IF('DATA TILL SLU'!$D$7*1&lt;&gt;"",IF(COUNT(Beräkningshjälp!$AC$3:$AC$1082)&gt;=ROW(D473),'DATA TILL SLU'!$D$7*1,""),"")</f>
        <v/>
      </c>
      <c r="E474" s="136" t="str">
        <f>IF(D474&lt;&gt;"",VLOOKUP(ROW(E473),Beräkningshjälp!AC$2:AH$1082,COLUMN(Beräkningshjälp!AF$2)-COLUMN(Beräkningshjälp!AC$2)+1,FALSE),"")</f>
        <v/>
      </c>
      <c r="F474" s="352" t="str">
        <f t="shared" si="15"/>
        <v/>
      </c>
      <c r="G474" s="2" t="str">
        <f>IF(D474&lt;&gt;"",IF(VLOOKUP(VLOOKUP(E474,Beräkningshjälp!O$2:U$60,7,FALSE),Artuppgifter!$I$11:$P$22,8,FALSE)=TRUE,"Medelvikter!!","ALLA"),"")</f>
        <v/>
      </c>
      <c r="H474" s="2" t="str">
        <f>IF(D474&lt;&gt;"",VLOOKUP(ROW(H473),Beräkningshjälp!AC$2:AH$1082,COLUMN(Beräkningshjälp!AH$2)-COLUMN(Beräkningshjälp!AC$2)+1,FALSE),"")</f>
        <v/>
      </c>
      <c r="I474" s="116" t="str">
        <f>IF(D474&lt;&gt;"",VLOOKUP(ROW(E473),Beräkningshjälp!AC$2:AI$1082,COLUMN(Beräkningshjälp!AI$2)-COLUMN(Beräkningshjälp!AC$2)+1,FALSE),"")</f>
        <v/>
      </c>
    </row>
    <row r="475" spans="1:9" x14ac:dyDescent="0.25">
      <c r="A475" s="2" t="str">
        <f t="shared" si="14"/>
        <v/>
      </c>
      <c r="B475" s="136" t="str">
        <f>IF(D475&lt;&gt;"",'DATA TILL SLU'!$J$3,"")</f>
        <v/>
      </c>
      <c r="C475" s="146" t="str">
        <f>IF(D475&lt;&gt;"",'DATA TILL SLU'!$K$3,"")</f>
        <v/>
      </c>
      <c r="D475" s="2" t="str">
        <f>IF('DATA TILL SLU'!$D$7*1&lt;&gt;"",IF(COUNT(Beräkningshjälp!$AC$3:$AC$1082)&gt;=ROW(D474),'DATA TILL SLU'!$D$7*1,""),"")</f>
        <v/>
      </c>
      <c r="E475" s="136" t="str">
        <f>IF(D475&lt;&gt;"",VLOOKUP(ROW(E474),Beräkningshjälp!AC$2:AH$1082,COLUMN(Beräkningshjälp!AF$2)-COLUMN(Beräkningshjälp!AC$2)+1,FALSE),"")</f>
        <v/>
      </c>
      <c r="F475" s="352" t="str">
        <f t="shared" si="15"/>
        <v/>
      </c>
      <c r="G475" s="2" t="str">
        <f>IF(D475&lt;&gt;"",IF(VLOOKUP(VLOOKUP(E475,Beräkningshjälp!O$2:U$60,7,FALSE),Artuppgifter!$I$11:$P$22,8,FALSE)=TRUE,"Medelvikter!!","ALLA"),"")</f>
        <v/>
      </c>
      <c r="H475" s="2" t="str">
        <f>IF(D475&lt;&gt;"",VLOOKUP(ROW(H474),Beräkningshjälp!AC$2:AH$1082,COLUMN(Beräkningshjälp!AH$2)-COLUMN(Beräkningshjälp!AC$2)+1,FALSE),"")</f>
        <v/>
      </c>
      <c r="I475" s="116" t="str">
        <f>IF(D475&lt;&gt;"",VLOOKUP(ROW(E474),Beräkningshjälp!AC$2:AI$1082,COLUMN(Beräkningshjälp!AI$2)-COLUMN(Beräkningshjälp!AC$2)+1,FALSE),"")</f>
        <v/>
      </c>
    </row>
    <row r="476" spans="1:9" x14ac:dyDescent="0.25">
      <c r="A476" s="2" t="str">
        <f t="shared" si="14"/>
        <v/>
      </c>
      <c r="B476" s="136" t="str">
        <f>IF(D476&lt;&gt;"",'DATA TILL SLU'!$J$3,"")</f>
        <v/>
      </c>
      <c r="C476" s="146" t="str">
        <f>IF(D476&lt;&gt;"",'DATA TILL SLU'!$K$3,"")</f>
        <v/>
      </c>
      <c r="D476" s="2" t="str">
        <f>IF('DATA TILL SLU'!$D$7*1&lt;&gt;"",IF(COUNT(Beräkningshjälp!$AC$3:$AC$1082)&gt;=ROW(D475),'DATA TILL SLU'!$D$7*1,""),"")</f>
        <v/>
      </c>
      <c r="E476" s="136" t="str">
        <f>IF(D476&lt;&gt;"",VLOOKUP(ROW(E475),Beräkningshjälp!AC$2:AH$1082,COLUMN(Beräkningshjälp!AF$2)-COLUMN(Beräkningshjälp!AC$2)+1,FALSE),"")</f>
        <v/>
      </c>
      <c r="F476" s="352" t="str">
        <f t="shared" si="15"/>
        <v/>
      </c>
      <c r="G476" s="2" t="str">
        <f>IF(D476&lt;&gt;"",IF(VLOOKUP(VLOOKUP(E476,Beräkningshjälp!O$2:U$60,7,FALSE),Artuppgifter!$I$11:$P$22,8,FALSE)=TRUE,"Medelvikter!!","ALLA"),"")</f>
        <v/>
      </c>
      <c r="H476" s="2" t="str">
        <f>IF(D476&lt;&gt;"",VLOOKUP(ROW(H475),Beräkningshjälp!AC$2:AH$1082,COLUMN(Beräkningshjälp!AH$2)-COLUMN(Beräkningshjälp!AC$2)+1,FALSE),"")</f>
        <v/>
      </c>
      <c r="I476" s="116" t="str">
        <f>IF(D476&lt;&gt;"",VLOOKUP(ROW(E475),Beräkningshjälp!AC$2:AI$1082,COLUMN(Beräkningshjälp!AI$2)-COLUMN(Beräkningshjälp!AC$2)+1,FALSE),"")</f>
        <v/>
      </c>
    </row>
    <row r="477" spans="1:9" x14ac:dyDescent="0.25">
      <c r="A477" s="2" t="str">
        <f t="shared" si="14"/>
        <v/>
      </c>
      <c r="B477" s="136" t="str">
        <f>IF(D477&lt;&gt;"",'DATA TILL SLU'!$J$3,"")</f>
        <v/>
      </c>
      <c r="C477" s="146" t="str">
        <f>IF(D477&lt;&gt;"",'DATA TILL SLU'!$K$3,"")</f>
        <v/>
      </c>
      <c r="D477" s="2" t="str">
        <f>IF('DATA TILL SLU'!$D$7*1&lt;&gt;"",IF(COUNT(Beräkningshjälp!$AC$3:$AC$1082)&gt;=ROW(D476),'DATA TILL SLU'!$D$7*1,""),"")</f>
        <v/>
      </c>
      <c r="E477" s="136" t="str">
        <f>IF(D477&lt;&gt;"",VLOOKUP(ROW(E476),Beräkningshjälp!AC$2:AH$1082,COLUMN(Beräkningshjälp!AF$2)-COLUMN(Beräkningshjälp!AC$2)+1,FALSE),"")</f>
        <v/>
      </c>
      <c r="F477" s="352" t="str">
        <f t="shared" si="15"/>
        <v/>
      </c>
      <c r="G477" s="2" t="str">
        <f>IF(D477&lt;&gt;"",IF(VLOOKUP(VLOOKUP(E477,Beräkningshjälp!O$2:U$60,7,FALSE),Artuppgifter!$I$11:$P$22,8,FALSE)=TRUE,"Medelvikter!!","ALLA"),"")</f>
        <v/>
      </c>
      <c r="H477" s="2" t="str">
        <f>IF(D477&lt;&gt;"",VLOOKUP(ROW(H476),Beräkningshjälp!AC$2:AH$1082,COLUMN(Beräkningshjälp!AH$2)-COLUMN(Beräkningshjälp!AC$2)+1,FALSE),"")</f>
        <v/>
      </c>
      <c r="I477" s="116" t="str">
        <f>IF(D477&lt;&gt;"",VLOOKUP(ROW(E476),Beräkningshjälp!AC$2:AI$1082,COLUMN(Beräkningshjälp!AI$2)-COLUMN(Beräkningshjälp!AC$2)+1,FALSE),"")</f>
        <v/>
      </c>
    </row>
    <row r="478" spans="1:9" x14ac:dyDescent="0.25">
      <c r="A478" s="2" t="str">
        <f t="shared" si="14"/>
        <v/>
      </c>
      <c r="B478" s="136" t="str">
        <f>IF(D478&lt;&gt;"",'DATA TILL SLU'!$J$3,"")</f>
        <v/>
      </c>
      <c r="C478" s="146" t="str">
        <f>IF(D478&lt;&gt;"",'DATA TILL SLU'!$K$3,"")</f>
        <v/>
      </c>
      <c r="D478" s="2" t="str">
        <f>IF('DATA TILL SLU'!$D$7*1&lt;&gt;"",IF(COUNT(Beräkningshjälp!$AC$3:$AC$1082)&gt;=ROW(D477),'DATA TILL SLU'!$D$7*1,""),"")</f>
        <v/>
      </c>
      <c r="E478" s="136" t="str">
        <f>IF(D478&lt;&gt;"",VLOOKUP(ROW(E477),Beräkningshjälp!AC$2:AH$1082,COLUMN(Beräkningshjälp!AF$2)-COLUMN(Beräkningshjälp!AC$2)+1,FALSE),"")</f>
        <v/>
      </c>
      <c r="F478" s="352" t="str">
        <f t="shared" si="15"/>
        <v/>
      </c>
      <c r="G478" s="2" t="str">
        <f>IF(D478&lt;&gt;"",IF(VLOOKUP(VLOOKUP(E478,Beräkningshjälp!O$2:U$60,7,FALSE),Artuppgifter!$I$11:$P$22,8,FALSE)=TRUE,"Medelvikter!!","ALLA"),"")</f>
        <v/>
      </c>
      <c r="H478" s="2" t="str">
        <f>IF(D478&lt;&gt;"",VLOOKUP(ROW(H477),Beräkningshjälp!AC$2:AH$1082,COLUMN(Beräkningshjälp!AH$2)-COLUMN(Beräkningshjälp!AC$2)+1,FALSE),"")</f>
        <v/>
      </c>
      <c r="I478" s="116" t="str">
        <f>IF(D478&lt;&gt;"",VLOOKUP(ROW(E477),Beräkningshjälp!AC$2:AI$1082,COLUMN(Beräkningshjälp!AI$2)-COLUMN(Beräkningshjälp!AC$2)+1,FALSE),"")</f>
        <v/>
      </c>
    </row>
    <row r="479" spans="1:9" x14ac:dyDescent="0.25">
      <c r="A479" s="2" t="str">
        <f t="shared" si="14"/>
        <v/>
      </c>
      <c r="B479" s="136" t="str">
        <f>IF(D479&lt;&gt;"",'DATA TILL SLU'!$J$3,"")</f>
        <v/>
      </c>
      <c r="C479" s="146" t="str">
        <f>IF(D479&lt;&gt;"",'DATA TILL SLU'!$K$3,"")</f>
        <v/>
      </c>
      <c r="D479" s="2" t="str">
        <f>IF('DATA TILL SLU'!$D$7*1&lt;&gt;"",IF(COUNT(Beräkningshjälp!$AC$3:$AC$1082)&gt;=ROW(D478),'DATA TILL SLU'!$D$7*1,""),"")</f>
        <v/>
      </c>
      <c r="E479" s="136" t="str">
        <f>IF(D479&lt;&gt;"",VLOOKUP(ROW(E478),Beräkningshjälp!AC$2:AH$1082,COLUMN(Beräkningshjälp!AF$2)-COLUMN(Beräkningshjälp!AC$2)+1,FALSE),"")</f>
        <v/>
      </c>
      <c r="F479" s="352" t="str">
        <f t="shared" si="15"/>
        <v/>
      </c>
      <c r="G479" s="2" t="str">
        <f>IF(D479&lt;&gt;"",IF(VLOOKUP(VLOOKUP(E479,Beräkningshjälp!O$2:U$60,7,FALSE),Artuppgifter!$I$11:$P$22,8,FALSE)=TRUE,"Medelvikter!!","ALLA"),"")</f>
        <v/>
      </c>
      <c r="H479" s="2" t="str">
        <f>IF(D479&lt;&gt;"",VLOOKUP(ROW(H478),Beräkningshjälp!AC$2:AH$1082,COLUMN(Beräkningshjälp!AH$2)-COLUMN(Beräkningshjälp!AC$2)+1,FALSE),"")</f>
        <v/>
      </c>
      <c r="I479" s="116" t="str">
        <f>IF(D479&lt;&gt;"",VLOOKUP(ROW(E478),Beräkningshjälp!AC$2:AI$1082,COLUMN(Beräkningshjälp!AI$2)-COLUMN(Beräkningshjälp!AC$2)+1,FALSE),"")</f>
        <v/>
      </c>
    </row>
    <row r="480" spans="1:9" x14ac:dyDescent="0.25">
      <c r="A480" s="2" t="str">
        <f t="shared" si="14"/>
        <v/>
      </c>
      <c r="B480" s="136" t="str">
        <f>IF(D480&lt;&gt;"",'DATA TILL SLU'!$J$3,"")</f>
        <v/>
      </c>
      <c r="C480" s="146" t="str">
        <f>IF(D480&lt;&gt;"",'DATA TILL SLU'!$K$3,"")</f>
        <v/>
      </c>
      <c r="D480" s="2" t="str">
        <f>IF('DATA TILL SLU'!$D$7*1&lt;&gt;"",IF(COUNT(Beräkningshjälp!$AC$3:$AC$1082)&gt;=ROW(D479),'DATA TILL SLU'!$D$7*1,""),"")</f>
        <v/>
      </c>
      <c r="E480" s="136" t="str">
        <f>IF(D480&lt;&gt;"",VLOOKUP(ROW(E479),Beräkningshjälp!AC$2:AH$1082,COLUMN(Beräkningshjälp!AF$2)-COLUMN(Beräkningshjälp!AC$2)+1,FALSE),"")</f>
        <v/>
      </c>
      <c r="F480" s="352" t="str">
        <f t="shared" si="15"/>
        <v/>
      </c>
      <c r="G480" s="2" t="str">
        <f>IF(D480&lt;&gt;"",IF(VLOOKUP(VLOOKUP(E480,Beräkningshjälp!O$2:U$60,7,FALSE),Artuppgifter!$I$11:$P$22,8,FALSE)=TRUE,"Medelvikter!!","ALLA"),"")</f>
        <v/>
      </c>
      <c r="H480" s="2" t="str">
        <f>IF(D480&lt;&gt;"",VLOOKUP(ROW(H479),Beräkningshjälp!AC$2:AH$1082,COLUMN(Beräkningshjälp!AH$2)-COLUMN(Beräkningshjälp!AC$2)+1,FALSE),"")</f>
        <v/>
      </c>
      <c r="I480" s="116" t="str">
        <f>IF(D480&lt;&gt;"",VLOOKUP(ROW(E479),Beräkningshjälp!AC$2:AI$1082,COLUMN(Beräkningshjälp!AI$2)-COLUMN(Beräkningshjälp!AC$2)+1,FALSE),"")</f>
        <v/>
      </c>
    </row>
    <row r="481" spans="1:9" x14ac:dyDescent="0.25">
      <c r="A481" s="2" t="str">
        <f t="shared" si="14"/>
        <v/>
      </c>
      <c r="B481" s="136" t="str">
        <f>IF(D481&lt;&gt;"",'DATA TILL SLU'!$J$3,"")</f>
        <v/>
      </c>
      <c r="C481" s="146" t="str">
        <f>IF(D481&lt;&gt;"",'DATA TILL SLU'!$K$3,"")</f>
        <v/>
      </c>
      <c r="D481" s="2" t="str">
        <f>IF('DATA TILL SLU'!$D$7*1&lt;&gt;"",IF(COUNT(Beräkningshjälp!$AC$3:$AC$1082)&gt;=ROW(D480),'DATA TILL SLU'!$D$7*1,""),"")</f>
        <v/>
      </c>
      <c r="E481" s="136" t="str">
        <f>IF(D481&lt;&gt;"",VLOOKUP(ROW(E480),Beräkningshjälp!AC$2:AH$1082,COLUMN(Beräkningshjälp!AF$2)-COLUMN(Beräkningshjälp!AC$2)+1,FALSE),"")</f>
        <v/>
      </c>
      <c r="F481" s="352" t="str">
        <f t="shared" si="15"/>
        <v/>
      </c>
      <c r="G481" s="2" t="str">
        <f>IF(D481&lt;&gt;"",IF(VLOOKUP(VLOOKUP(E481,Beräkningshjälp!O$2:U$60,7,FALSE),Artuppgifter!$I$11:$P$22,8,FALSE)=TRUE,"Medelvikter!!","ALLA"),"")</f>
        <v/>
      </c>
      <c r="H481" s="2" t="str">
        <f>IF(D481&lt;&gt;"",VLOOKUP(ROW(H480),Beräkningshjälp!AC$2:AH$1082,COLUMN(Beräkningshjälp!AH$2)-COLUMN(Beräkningshjälp!AC$2)+1,FALSE),"")</f>
        <v/>
      </c>
      <c r="I481" s="116" t="str">
        <f>IF(D481&lt;&gt;"",VLOOKUP(ROW(E480),Beräkningshjälp!AC$2:AI$1082,COLUMN(Beräkningshjälp!AI$2)-COLUMN(Beräkningshjälp!AC$2)+1,FALSE),"")</f>
        <v/>
      </c>
    </row>
    <row r="482" spans="1:9" x14ac:dyDescent="0.25">
      <c r="A482" s="2" t="str">
        <f t="shared" si="14"/>
        <v/>
      </c>
      <c r="B482" s="136" t="str">
        <f>IF(D482&lt;&gt;"",'DATA TILL SLU'!$J$3,"")</f>
        <v/>
      </c>
      <c r="C482" s="146" t="str">
        <f>IF(D482&lt;&gt;"",'DATA TILL SLU'!$K$3,"")</f>
        <v/>
      </c>
      <c r="D482" s="2" t="str">
        <f>IF('DATA TILL SLU'!$D$7*1&lt;&gt;"",IF(COUNT(Beräkningshjälp!$AC$3:$AC$1082)&gt;=ROW(D481),'DATA TILL SLU'!$D$7*1,""),"")</f>
        <v/>
      </c>
      <c r="E482" s="136" t="str">
        <f>IF(D482&lt;&gt;"",VLOOKUP(ROW(E481),Beräkningshjälp!AC$2:AH$1082,COLUMN(Beräkningshjälp!AF$2)-COLUMN(Beräkningshjälp!AC$2)+1,FALSE),"")</f>
        <v/>
      </c>
      <c r="F482" s="352" t="str">
        <f t="shared" si="15"/>
        <v/>
      </c>
      <c r="G482" s="2" t="str">
        <f>IF(D482&lt;&gt;"",IF(VLOOKUP(VLOOKUP(E482,Beräkningshjälp!O$2:U$60,7,FALSE),Artuppgifter!$I$11:$P$22,8,FALSE)=TRUE,"Medelvikter!!","ALLA"),"")</f>
        <v/>
      </c>
      <c r="H482" s="2" t="str">
        <f>IF(D482&lt;&gt;"",VLOOKUP(ROW(H481),Beräkningshjälp!AC$2:AH$1082,COLUMN(Beräkningshjälp!AH$2)-COLUMN(Beräkningshjälp!AC$2)+1,FALSE),"")</f>
        <v/>
      </c>
      <c r="I482" s="116" t="str">
        <f>IF(D482&lt;&gt;"",VLOOKUP(ROW(E481),Beräkningshjälp!AC$2:AI$1082,COLUMN(Beräkningshjälp!AI$2)-COLUMN(Beräkningshjälp!AC$2)+1,FALSE),"")</f>
        <v/>
      </c>
    </row>
    <row r="483" spans="1:9" x14ac:dyDescent="0.25">
      <c r="A483" s="2" t="str">
        <f t="shared" si="14"/>
        <v/>
      </c>
      <c r="B483" s="136" t="str">
        <f>IF(D483&lt;&gt;"",'DATA TILL SLU'!$J$3,"")</f>
        <v/>
      </c>
      <c r="C483" s="146" t="str">
        <f>IF(D483&lt;&gt;"",'DATA TILL SLU'!$K$3,"")</f>
        <v/>
      </c>
      <c r="D483" s="2" t="str">
        <f>IF('DATA TILL SLU'!$D$7*1&lt;&gt;"",IF(COUNT(Beräkningshjälp!$AC$3:$AC$1082)&gt;=ROW(D482),'DATA TILL SLU'!$D$7*1,""),"")</f>
        <v/>
      </c>
      <c r="E483" s="136" t="str">
        <f>IF(D483&lt;&gt;"",VLOOKUP(ROW(E482),Beräkningshjälp!AC$2:AH$1082,COLUMN(Beräkningshjälp!AF$2)-COLUMN(Beräkningshjälp!AC$2)+1,FALSE),"")</f>
        <v/>
      </c>
      <c r="F483" s="352" t="str">
        <f t="shared" si="15"/>
        <v/>
      </c>
      <c r="G483" s="2" t="str">
        <f>IF(D483&lt;&gt;"",IF(VLOOKUP(VLOOKUP(E483,Beräkningshjälp!O$2:U$60,7,FALSE),Artuppgifter!$I$11:$P$22,8,FALSE)=TRUE,"Medelvikter!!","ALLA"),"")</f>
        <v/>
      </c>
      <c r="H483" s="2" t="str">
        <f>IF(D483&lt;&gt;"",VLOOKUP(ROW(H482),Beräkningshjälp!AC$2:AH$1082,COLUMN(Beräkningshjälp!AH$2)-COLUMN(Beräkningshjälp!AC$2)+1,FALSE),"")</f>
        <v/>
      </c>
      <c r="I483" s="116" t="str">
        <f>IF(D483&lt;&gt;"",VLOOKUP(ROW(E482),Beräkningshjälp!AC$2:AI$1082,COLUMN(Beräkningshjälp!AI$2)-COLUMN(Beräkningshjälp!AC$2)+1,FALSE),"")</f>
        <v/>
      </c>
    </row>
    <row r="484" spans="1:9" x14ac:dyDescent="0.25">
      <c r="A484" s="2" t="str">
        <f t="shared" si="14"/>
        <v/>
      </c>
      <c r="B484" s="136" t="str">
        <f>IF(D484&lt;&gt;"",'DATA TILL SLU'!$J$3,"")</f>
        <v/>
      </c>
      <c r="C484" s="146" t="str">
        <f>IF(D484&lt;&gt;"",'DATA TILL SLU'!$K$3,"")</f>
        <v/>
      </c>
      <c r="D484" s="2" t="str">
        <f>IF('DATA TILL SLU'!$D$7*1&lt;&gt;"",IF(COUNT(Beräkningshjälp!$AC$3:$AC$1082)&gt;=ROW(D483),'DATA TILL SLU'!$D$7*1,""),"")</f>
        <v/>
      </c>
      <c r="E484" s="136" t="str">
        <f>IF(D484&lt;&gt;"",VLOOKUP(ROW(E483),Beräkningshjälp!AC$2:AH$1082,COLUMN(Beräkningshjälp!AF$2)-COLUMN(Beräkningshjälp!AC$2)+1,FALSE),"")</f>
        <v/>
      </c>
      <c r="F484" s="352" t="str">
        <f t="shared" si="15"/>
        <v/>
      </c>
      <c r="G484" s="2" t="str">
        <f>IF(D484&lt;&gt;"",IF(VLOOKUP(VLOOKUP(E484,Beräkningshjälp!O$2:U$60,7,FALSE),Artuppgifter!$I$11:$P$22,8,FALSE)=TRUE,"Medelvikter!!","ALLA"),"")</f>
        <v/>
      </c>
      <c r="H484" s="2" t="str">
        <f>IF(D484&lt;&gt;"",VLOOKUP(ROW(H483),Beräkningshjälp!AC$2:AH$1082,COLUMN(Beräkningshjälp!AH$2)-COLUMN(Beräkningshjälp!AC$2)+1,FALSE),"")</f>
        <v/>
      </c>
      <c r="I484" s="116" t="str">
        <f>IF(D484&lt;&gt;"",VLOOKUP(ROW(E483),Beräkningshjälp!AC$2:AI$1082,COLUMN(Beräkningshjälp!AI$2)-COLUMN(Beräkningshjälp!AC$2)+1,FALSE),"")</f>
        <v/>
      </c>
    </row>
    <row r="485" spans="1:9" x14ac:dyDescent="0.25">
      <c r="A485" s="2" t="str">
        <f t="shared" si="14"/>
        <v/>
      </c>
      <c r="B485" s="136" t="str">
        <f>IF(D485&lt;&gt;"",'DATA TILL SLU'!$J$3,"")</f>
        <v/>
      </c>
      <c r="C485" s="146" t="str">
        <f>IF(D485&lt;&gt;"",'DATA TILL SLU'!$K$3,"")</f>
        <v/>
      </c>
      <c r="D485" s="2" t="str">
        <f>IF('DATA TILL SLU'!$D$7*1&lt;&gt;"",IF(COUNT(Beräkningshjälp!$AC$3:$AC$1082)&gt;=ROW(D484),'DATA TILL SLU'!$D$7*1,""),"")</f>
        <v/>
      </c>
      <c r="E485" s="136" t="str">
        <f>IF(D485&lt;&gt;"",VLOOKUP(ROW(E484),Beräkningshjälp!AC$2:AH$1082,COLUMN(Beräkningshjälp!AF$2)-COLUMN(Beräkningshjälp!AC$2)+1,FALSE),"")</f>
        <v/>
      </c>
      <c r="F485" s="352" t="str">
        <f t="shared" si="15"/>
        <v/>
      </c>
      <c r="G485" s="2" t="str">
        <f>IF(D485&lt;&gt;"",IF(VLOOKUP(VLOOKUP(E485,Beräkningshjälp!O$2:U$60,7,FALSE),Artuppgifter!$I$11:$P$22,8,FALSE)=TRUE,"Medelvikter!!","ALLA"),"")</f>
        <v/>
      </c>
      <c r="H485" s="2" t="str">
        <f>IF(D485&lt;&gt;"",VLOOKUP(ROW(H484),Beräkningshjälp!AC$2:AH$1082,COLUMN(Beräkningshjälp!AH$2)-COLUMN(Beräkningshjälp!AC$2)+1,FALSE),"")</f>
        <v/>
      </c>
      <c r="I485" s="116" t="str">
        <f>IF(D485&lt;&gt;"",VLOOKUP(ROW(E484),Beräkningshjälp!AC$2:AI$1082,COLUMN(Beräkningshjälp!AI$2)-COLUMN(Beräkningshjälp!AC$2)+1,FALSE),"")</f>
        <v/>
      </c>
    </row>
    <row r="486" spans="1:9" x14ac:dyDescent="0.25">
      <c r="A486" s="2" t="str">
        <f t="shared" si="14"/>
        <v/>
      </c>
      <c r="B486" s="136" t="str">
        <f>IF(D486&lt;&gt;"",'DATA TILL SLU'!$J$3,"")</f>
        <v/>
      </c>
      <c r="C486" s="146" t="str">
        <f>IF(D486&lt;&gt;"",'DATA TILL SLU'!$K$3,"")</f>
        <v/>
      </c>
      <c r="D486" s="2" t="str">
        <f>IF('DATA TILL SLU'!$D$7*1&lt;&gt;"",IF(COUNT(Beräkningshjälp!$AC$3:$AC$1082)&gt;=ROW(D485),'DATA TILL SLU'!$D$7*1,""),"")</f>
        <v/>
      </c>
      <c r="E486" s="136" t="str">
        <f>IF(D486&lt;&gt;"",VLOOKUP(ROW(E485),Beräkningshjälp!AC$2:AH$1082,COLUMN(Beräkningshjälp!AF$2)-COLUMN(Beräkningshjälp!AC$2)+1,FALSE),"")</f>
        <v/>
      </c>
      <c r="F486" s="352" t="str">
        <f t="shared" si="15"/>
        <v/>
      </c>
      <c r="G486" s="2" t="str">
        <f>IF(D486&lt;&gt;"",IF(VLOOKUP(VLOOKUP(E486,Beräkningshjälp!O$2:U$60,7,FALSE),Artuppgifter!$I$11:$P$22,8,FALSE)=TRUE,"Medelvikter!!","ALLA"),"")</f>
        <v/>
      </c>
      <c r="H486" s="2" t="str">
        <f>IF(D486&lt;&gt;"",VLOOKUP(ROW(H485),Beräkningshjälp!AC$2:AH$1082,COLUMN(Beräkningshjälp!AH$2)-COLUMN(Beräkningshjälp!AC$2)+1,FALSE),"")</f>
        <v/>
      </c>
      <c r="I486" s="116" t="str">
        <f>IF(D486&lt;&gt;"",VLOOKUP(ROW(E485),Beräkningshjälp!AC$2:AI$1082,COLUMN(Beräkningshjälp!AI$2)-COLUMN(Beräkningshjälp!AC$2)+1,FALSE),"")</f>
        <v/>
      </c>
    </row>
    <row r="487" spans="1:9" x14ac:dyDescent="0.25">
      <c r="A487" s="2" t="str">
        <f t="shared" si="14"/>
        <v/>
      </c>
      <c r="B487" s="136" t="str">
        <f>IF(D487&lt;&gt;"",'DATA TILL SLU'!$J$3,"")</f>
        <v/>
      </c>
      <c r="C487" s="146" t="str">
        <f>IF(D487&lt;&gt;"",'DATA TILL SLU'!$K$3,"")</f>
        <v/>
      </c>
      <c r="D487" s="2" t="str">
        <f>IF('DATA TILL SLU'!$D$7*1&lt;&gt;"",IF(COUNT(Beräkningshjälp!$AC$3:$AC$1082)&gt;=ROW(D486),'DATA TILL SLU'!$D$7*1,""),"")</f>
        <v/>
      </c>
      <c r="E487" s="136" t="str">
        <f>IF(D487&lt;&gt;"",VLOOKUP(ROW(E486),Beräkningshjälp!AC$2:AH$1082,COLUMN(Beräkningshjälp!AF$2)-COLUMN(Beräkningshjälp!AC$2)+1,FALSE),"")</f>
        <v/>
      </c>
      <c r="F487" s="352" t="str">
        <f t="shared" si="15"/>
        <v/>
      </c>
      <c r="G487" s="2" t="str">
        <f>IF(D487&lt;&gt;"",IF(VLOOKUP(VLOOKUP(E487,Beräkningshjälp!O$2:U$60,7,FALSE),Artuppgifter!$I$11:$P$22,8,FALSE)=TRUE,"Medelvikter!!","ALLA"),"")</f>
        <v/>
      </c>
      <c r="H487" s="2" t="str">
        <f>IF(D487&lt;&gt;"",VLOOKUP(ROW(H486),Beräkningshjälp!AC$2:AH$1082,COLUMN(Beräkningshjälp!AH$2)-COLUMN(Beräkningshjälp!AC$2)+1,FALSE),"")</f>
        <v/>
      </c>
      <c r="I487" s="116" t="str">
        <f>IF(D487&lt;&gt;"",VLOOKUP(ROW(E486),Beräkningshjälp!AC$2:AI$1082,COLUMN(Beräkningshjälp!AI$2)-COLUMN(Beräkningshjälp!AC$2)+1,FALSE),"")</f>
        <v/>
      </c>
    </row>
    <row r="488" spans="1:9" x14ac:dyDescent="0.25">
      <c r="A488" s="2" t="str">
        <f t="shared" si="14"/>
        <v/>
      </c>
      <c r="B488" s="136" t="str">
        <f>IF(D488&lt;&gt;"",'DATA TILL SLU'!$J$3,"")</f>
        <v/>
      </c>
      <c r="C488" s="146" t="str">
        <f>IF(D488&lt;&gt;"",'DATA TILL SLU'!$K$3,"")</f>
        <v/>
      </c>
      <c r="D488" s="2" t="str">
        <f>IF('DATA TILL SLU'!$D$7*1&lt;&gt;"",IF(COUNT(Beräkningshjälp!$AC$3:$AC$1082)&gt;=ROW(D487),'DATA TILL SLU'!$D$7*1,""),"")</f>
        <v/>
      </c>
      <c r="E488" s="136" t="str">
        <f>IF(D488&lt;&gt;"",VLOOKUP(ROW(E487),Beräkningshjälp!AC$2:AH$1082,COLUMN(Beräkningshjälp!AF$2)-COLUMN(Beräkningshjälp!AC$2)+1,FALSE),"")</f>
        <v/>
      </c>
      <c r="F488" s="352" t="str">
        <f t="shared" si="15"/>
        <v/>
      </c>
      <c r="G488" s="2" t="str">
        <f>IF(D488&lt;&gt;"",IF(VLOOKUP(VLOOKUP(E488,Beräkningshjälp!O$2:U$60,7,FALSE),Artuppgifter!$I$11:$P$22,8,FALSE)=TRUE,"Medelvikter!!","ALLA"),"")</f>
        <v/>
      </c>
      <c r="H488" s="2" t="str">
        <f>IF(D488&lt;&gt;"",VLOOKUP(ROW(H487),Beräkningshjälp!AC$2:AH$1082,COLUMN(Beräkningshjälp!AH$2)-COLUMN(Beräkningshjälp!AC$2)+1,FALSE),"")</f>
        <v/>
      </c>
      <c r="I488" s="116" t="str">
        <f>IF(D488&lt;&gt;"",VLOOKUP(ROW(E487),Beräkningshjälp!AC$2:AI$1082,COLUMN(Beräkningshjälp!AI$2)-COLUMN(Beräkningshjälp!AC$2)+1,FALSE),"")</f>
        <v/>
      </c>
    </row>
    <row r="489" spans="1:9" x14ac:dyDescent="0.25">
      <c r="A489" s="2" t="str">
        <f t="shared" si="14"/>
        <v/>
      </c>
      <c r="B489" s="136" t="str">
        <f>IF(D489&lt;&gt;"",'DATA TILL SLU'!$J$3,"")</f>
        <v/>
      </c>
      <c r="C489" s="146" t="str">
        <f>IF(D489&lt;&gt;"",'DATA TILL SLU'!$K$3,"")</f>
        <v/>
      </c>
      <c r="D489" s="2" t="str">
        <f>IF('DATA TILL SLU'!$D$7*1&lt;&gt;"",IF(COUNT(Beräkningshjälp!$AC$3:$AC$1082)&gt;=ROW(D488),'DATA TILL SLU'!$D$7*1,""),"")</f>
        <v/>
      </c>
      <c r="E489" s="136" t="str">
        <f>IF(D489&lt;&gt;"",VLOOKUP(ROW(E488),Beräkningshjälp!AC$2:AH$1082,COLUMN(Beräkningshjälp!AF$2)-COLUMN(Beräkningshjälp!AC$2)+1,FALSE),"")</f>
        <v/>
      </c>
      <c r="F489" s="352" t="str">
        <f t="shared" si="15"/>
        <v/>
      </c>
      <c r="G489" s="2" t="str">
        <f>IF(D489&lt;&gt;"",IF(VLOOKUP(VLOOKUP(E489,Beräkningshjälp!O$2:U$60,7,FALSE),Artuppgifter!$I$11:$P$22,8,FALSE)=TRUE,"Medelvikter!!","ALLA"),"")</f>
        <v/>
      </c>
      <c r="H489" s="2" t="str">
        <f>IF(D489&lt;&gt;"",VLOOKUP(ROW(H488),Beräkningshjälp!AC$2:AH$1082,COLUMN(Beräkningshjälp!AH$2)-COLUMN(Beräkningshjälp!AC$2)+1,FALSE),"")</f>
        <v/>
      </c>
      <c r="I489" s="116" t="str">
        <f>IF(D489&lt;&gt;"",VLOOKUP(ROW(E488),Beräkningshjälp!AC$2:AI$1082,COLUMN(Beräkningshjälp!AI$2)-COLUMN(Beräkningshjälp!AC$2)+1,FALSE),"")</f>
        <v/>
      </c>
    </row>
    <row r="490" spans="1:9" x14ac:dyDescent="0.25">
      <c r="A490" s="2" t="str">
        <f t="shared" si="14"/>
        <v/>
      </c>
      <c r="B490" s="136" t="str">
        <f>IF(D490&lt;&gt;"",'DATA TILL SLU'!$J$3,"")</f>
        <v/>
      </c>
      <c r="C490" s="146" t="str">
        <f>IF(D490&lt;&gt;"",'DATA TILL SLU'!$K$3,"")</f>
        <v/>
      </c>
      <c r="D490" s="2" t="str">
        <f>IF('DATA TILL SLU'!$D$7*1&lt;&gt;"",IF(COUNT(Beräkningshjälp!$AC$3:$AC$1082)&gt;=ROW(D489),'DATA TILL SLU'!$D$7*1,""),"")</f>
        <v/>
      </c>
      <c r="E490" s="136" t="str">
        <f>IF(D490&lt;&gt;"",VLOOKUP(ROW(E489),Beräkningshjälp!AC$2:AH$1082,COLUMN(Beräkningshjälp!AF$2)-COLUMN(Beräkningshjälp!AC$2)+1,FALSE),"")</f>
        <v/>
      </c>
      <c r="F490" s="352" t="str">
        <f t="shared" si="15"/>
        <v/>
      </c>
      <c r="G490" s="2" t="str">
        <f>IF(D490&lt;&gt;"",IF(VLOOKUP(VLOOKUP(E490,Beräkningshjälp!O$2:U$60,7,FALSE),Artuppgifter!$I$11:$P$22,8,FALSE)=TRUE,"Medelvikter!!","ALLA"),"")</f>
        <v/>
      </c>
      <c r="H490" s="2" t="str">
        <f>IF(D490&lt;&gt;"",VLOOKUP(ROW(H489),Beräkningshjälp!AC$2:AH$1082,COLUMN(Beräkningshjälp!AH$2)-COLUMN(Beräkningshjälp!AC$2)+1,FALSE),"")</f>
        <v/>
      </c>
      <c r="I490" s="116" t="str">
        <f>IF(D490&lt;&gt;"",VLOOKUP(ROW(E489),Beräkningshjälp!AC$2:AI$1082,COLUMN(Beräkningshjälp!AI$2)-COLUMN(Beräkningshjälp!AC$2)+1,FALSE),"")</f>
        <v/>
      </c>
    </row>
    <row r="491" spans="1:9" x14ac:dyDescent="0.25">
      <c r="A491" s="2" t="str">
        <f t="shared" si="14"/>
        <v/>
      </c>
      <c r="B491" s="136" t="str">
        <f>IF(D491&lt;&gt;"",'DATA TILL SLU'!$J$3,"")</f>
        <v/>
      </c>
      <c r="C491" s="146" t="str">
        <f>IF(D491&lt;&gt;"",'DATA TILL SLU'!$K$3,"")</f>
        <v/>
      </c>
      <c r="D491" s="2" t="str">
        <f>IF('DATA TILL SLU'!$D$7*1&lt;&gt;"",IF(COUNT(Beräkningshjälp!$AC$3:$AC$1082)&gt;=ROW(D490),'DATA TILL SLU'!$D$7*1,""),"")</f>
        <v/>
      </c>
      <c r="E491" s="136" t="str">
        <f>IF(D491&lt;&gt;"",VLOOKUP(ROW(E490),Beräkningshjälp!AC$2:AH$1082,COLUMN(Beräkningshjälp!AF$2)-COLUMN(Beräkningshjälp!AC$2)+1,FALSE),"")</f>
        <v/>
      </c>
      <c r="F491" s="352" t="str">
        <f t="shared" si="15"/>
        <v/>
      </c>
      <c r="G491" s="2" t="str">
        <f>IF(D491&lt;&gt;"",IF(VLOOKUP(VLOOKUP(E491,Beräkningshjälp!O$2:U$60,7,FALSE),Artuppgifter!$I$11:$P$22,8,FALSE)=TRUE,"Medelvikter!!","ALLA"),"")</f>
        <v/>
      </c>
      <c r="H491" s="2" t="str">
        <f>IF(D491&lt;&gt;"",VLOOKUP(ROW(H490),Beräkningshjälp!AC$2:AH$1082,COLUMN(Beräkningshjälp!AH$2)-COLUMN(Beräkningshjälp!AC$2)+1,FALSE),"")</f>
        <v/>
      </c>
      <c r="I491" s="116" t="str">
        <f>IF(D491&lt;&gt;"",VLOOKUP(ROW(E490),Beräkningshjälp!AC$2:AI$1082,COLUMN(Beräkningshjälp!AI$2)-COLUMN(Beräkningshjälp!AC$2)+1,FALSE),"")</f>
        <v/>
      </c>
    </row>
    <row r="492" spans="1:9" x14ac:dyDescent="0.25">
      <c r="A492" s="2" t="str">
        <f t="shared" si="14"/>
        <v/>
      </c>
      <c r="B492" s="136" t="str">
        <f>IF(D492&lt;&gt;"",'DATA TILL SLU'!$J$3,"")</f>
        <v/>
      </c>
      <c r="C492" s="146" t="str">
        <f>IF(D492&lt;&gt;"",'DATA TILL SLU'!$K$3,"")</f>
        <v/>
      </c>
      <c r="D492" s="2" t="str">
        <f>IF('DATA TILL SLU'!$D$7*1&lt;&gt;"",IF(COUNT(Beräkningshjälp!$AC$3:$AC$1082)&gt;=ROW(D491),'DATA TILL SLU'!$D$7*1,""),"")</f>
        <v/>
      </c>
      <c r="E492" s="136" t="str">
        <f>IF(D492&lt;&gt;"",VLOOKUP(ROW(E491),Beräkningshjälp!AC$2:AH$1082,COLUMN(Beräkningshjälp!AF$2)-COLUMN(Beräkningshjälp!AC$2)+1,FALSE),"")</f>
        <v/>
      </c>
      <c r="F492" s="352" t="str">
        <f t="shared" si="15"/>
        <v/>
      </c>
      <c r="G492" s="2" t="str">
        <f>IF(D492&lt;&gt;"",IF(VLOOKUP(VLOOKUP(E492,Beräkningshjälp!O$2:U$60,7,FALSE),Artuppgifter!$I$11:$P$22,8,FALSE)=TRUE,"Medelvikter!!","ALLA"),"")</f>
        <v/>
      </c>
      <c r="H492" s="2" t="str">
        <f>IF(D492&lt;&gt;"",VLOOKUP(ROW(H491),Beräkningshjälp!AC$2:AH$1082,COLUMN(Beräkningshjälp!AH$2)-COLUMN(Beräkningshjälp!AC$2)+1,FALSE),"")</f>
        <v/>
      </c>
      <c r="I492" s="116" t="str">
        <f>IF(D492&lt;&gt;"",VLOOKUP(ROW(E491),Beräkningshjälp!AC$2:AI$1082,COLUMN(Beräkningshjälp!AI$2)-COLUMN(Beräkningshjälp!AC$2)+1,FALSE),"")</f>
        <v/>
      </c>
    </row>
    <row r="493" spans="1:9" x14ac:dyDescent="0.25">
      <c r="A493" s="2" t="str">
        <f t="shared" si="14"/>
        <v/>
      </c>
      <c r="B493" s="136" t="str">
        <f>IF(D493&lt;&gt;"",'DATA TILL SLU'!$J$3,"")</f>
        <v/>
      </c>
      <c r="C493" s="146" t="str">
        <f>IF(D493&lt;&gt;"",'DATA TILL SLU'!$K$3,"")</f>
        <v/>
      </c>
      <c r="D493" s="2" t="str">
        <f>IF('DATA TILL SLU'!$D$7*1&lt;&gt;"",IF(COUNT(Beräkningshjälp!$AC$3:$AC$1082)&gt;=ROW(D492),'DATA TILL SLU'!$D$7*1,""),"")</f>
        <v/>
      </c>
      <c r="E493" s="136" t="str">
        <f>IF(D493&lt;&gt;"",VLOOKUP(ROW(E492),Beräkningshjälp!AC$2:AH$1082,COLUMN(Beräkningshjälp!AF$2)-COLUMN(Beräkningshjälp!AC$2)+1,FALSE),"")</f>
        <v/>
      </c>
      <c r="F493" s="352" t="str">
        <f t="shared" si="15"/>
        <v/>
      </c>
      <c r="G493" s="2" t="str">
        <f>IF(D493&lt;&gt;"",IF(VLOOKUP(VLOOKUP(E493,Beräkningshjälp!O$2:U$60,7,FALSE),Artuppgifter!$I$11:$P$22,8,FALSE)=TRUE,"Medelvikter!!","ALLA"),"")</f>
        <v/>
      </c>
      <c r="H493" s="2" t="str">
        <f>IF(D493&lt;&gt;"",VLOOKUP(ROW(H492),Beräkningshjälp!AC$2:AH$1082,COLUMN(Beräkningshjälp!AH$2)-COLUMN(Beräkningshjälp!AC$2)+1,FALSE),"")</f>
        <v/>
      </c>
      <c r="I493" s="116" t="str">
        <f>IF(D493&lt;&gt;"",VLOOKUP(ROW(E492),Beräkningshjälp!AC$2:AI$1082,COLUMN(Beräkningshjälp!AI$2)-COLUMN(Beräkningshjälp!AC$2)+1,FALSE),"")</f>
        <v/>
      </c>
    </row>
    <row r="494" spans="1:9" x14ac:dyDescent="0.25">
      <c r="A494" s="2" t="str">
        <f t="shared" si="14"/>
        <v/>
      </c>
      <c r="B494" s="136" t="str">
        <f>IF(D494&lt;&gt;"",'DATA TILL SLU'!$J$3,"")</f>
        <v/>
      </c>
      <c r="C494" s="146" t="str">
        <f>IF(D494&lt;&gt;"",'DATA TILL SLU'!$K$3,"")</f>
        <v/>
      </c>
      <c r="D494" s="2" t="str">
        <f>IF('DATA TILL SLU'!$D$7*1&lt;&gt;"",IF(COUNT(Beräkningshjälp!$AC$3:$AC$1082)&gt;=ROW(D493),'DATA TILL SLU'!$D$7*1,""),"")</f>
        <v/>
      </c>
      <c r="E494" s="136" t="str">
        <f>IF(D494&lt;&gt;"",VLOOKUP(ROW(E493),Beräkningshjälp!AC$2:AH$1082,COLUMN(Beräkningshjälp!AF$2)-COLUMN(Beräkningshjälp!AC$2)+1,FALSE),"")</f>
        <v/>
      </c>
      <c r="F494" s="352" t="str">
        <f t="shared" si="15"/>
        <v/>
      </c>
      <c r="G494" s="2" t="str">
        <f>IF(D494&lt;&gt;"",IF(VLOOKUP(VLOOKUP(E494,Beräkningshjälp!O$2:U$60,7,FALSE),Artuppgifter!$I$11:$P$22,8,FALSE)=TRUE,"Medelvikter!!","ALLA"),"")</f>
        <v/>
      </c>
      <c r="H494" s="2" t="str">
        <f>IF(D494&lt;&gt;"",VLOOKUP(ROW(H493),Beräkningshjälp!AC$2:AH$1082,COLUMN(Beräkningshjälp!AH$2)-COLUMN(Beräkningshjälp!AC$2)+1,FALSE),"")</f>
        <v/>
      </c>
      <c r="I494" s="116" t="str">
        <f>IF(D494&lt;&gt;"",VLOOKUP(ROW(E493),Beräkningshjälp!AC$2:AI$1082,COLUMN(Beräkningshjälp!AI$2)-COLUMN(Beräkningshjälp!AC$2)+1,FALSE),"")</f>
        <v/>
      </c>
    </row>
    <row r="495" spans="1:9" x14ac:dyDescent="0.25">
      <c r="A495" s="2" t="str">
        <f t="shared" si="14"/>
        <v/>
      </c>
      <c r="B495" s="136" t="str">
        <f>IF(D495&lt;&gt;"",'DATA TILL SLU'!$J$3,"")</f>
        <v/>
      </c>
      <c r="C495" s="146" t="str">
        <f>IF(D495&lt;&gt;"",'DATA TILL SLU'!$K$3,"")</f>
        <v/>
      </c>
      <c r="D495" s="2" t="str">
        <f>IF('DATA TILL SLU'!$D$7*1&lt;&gt;"",IF(COUNT(Beräkningshjälp!$AC$3:$AC$1082)&gt;=ROW(D494),'DATA TILL SLU'!$D$7*1,""),"")</f>
        <v/>
      </c>
      <c r="E495" s="136" t="str">
        <f>IF(D495&lt;&gt;"",VLOOKUP(ROW(E494),Beräkningshjälp!AC$2:AH$1082,COLUMN(Beräkningshjälp!AF$2)-COLUMN(Beräkningshjälp!AC$2)+1,FALSE),"")</f>
        <v/>
      </c>
      <c r="F495" s="352" t="str">
        <f t="shared" si="15"/>
        <v/>
      </c>
      <c r="G495" s="2" t="str">
        <f>IF(D495&lt;&gt;"",IF(VLOOKUP(VLOOKUP(E495,Beräkningshjälp!O$2:U$60,7,FALSE),Artuppgifter!$I$11:$P$22,8,FALSE)=TRUE,"Medelvikter!!","ALLA"),"")</f>
        <v/>
      </c>
      <c r="H495" s="2" t="str">
        <f>IF(D495&lt;&gt;"",VLOOKUP(ROW(H494),Beräkningshjälp!AC$2:AH$1082,COLUMN(Beräkningshjälp!AH$2)-COLUMN(Beräkningshjälp!AC$2)+1,FALSE),"")</f>
        <v/>
      </c>
      <c r="I495" s="116" t="str">
        <f>IF(D495&lt;&gt;"",VLOOKUP(ROW(E494),Beräkningshjälp!AC$2:AI$1082,COLUMN(Beräkningshjälp!AI$2)-COLUMN(Beräkningshjälp!AC$2)+1,FALSE),"")</f>
        <v/>
      </c>
    </row>
    <row r="496" spans="1:9" x14ac:dyDescent="0.25">
      <c r="A496" s="2" t="str">
        <f t="shared" si="14"/>
        <v/>
      </c>
      <c r="B496" s="136" t="str">
        <f>IF(D496&lt;&gt;"",'DATA TILL SLU'!$J$3,"")</f>
        <v/>
      </c>
      <c r="C496" s="146" t="str">
        <f>IF(D496&lt;&gt;"",'DATA TILL SLU'!$K$3,"")</f>
        <v/>
      </c>
      <c r="D496" s="2" t="str">
        <f>IF('DATA TILL SLU'!$D$7*1&lt;&gt;"",IF(COUNT(Beräkningshjälp!$AC$3:$AC$1082)&gt;=ROW(D495),'DATA TILL SLU'!$D$7*1,""),"")</f>
        <v/>
      </c>
      <c r="E496" s="136" t="str">
        <f>IF(D496&lt;&gt;"",VLOOKUP(ROW(E495),Beräkningshjälp!AC$2:AH$1082,COLUMN(Beräkningshjälp!AF$2)-COLUMN(Beräkningshjälp!AC$2)+1,FALSE),"")</f>
        <v/>
      </c>
      <c r="F496" s="352" t="str">
        <f t="shared" si="15"/>
        <v/>
      </c>
      <c r="G496" s="2" t="str">
        <f>IF(D496&lt;&gt;"",IF(VLOOKUP(VLOOKUP(E496,Beräkningshjälp!O$2:U$60,7,FALSE),Artuppgifter!$I$11:$P$22,8,FALSE)=TRUE,"Medelvikter!!","ALLA"),"")</f>
        <v/>
      </c>
      <c r="H496" s="2" t="str">
        <f>IF(D496&lt;&gt;"",VLOOKUP(ROW(H495),Beräkningshjälp!AC$2:AH$1082,COLUMN(Beräkningshjälp!AH$2)-COLUMN(Beräkningshjälp!AC$2)+1,FALSE),"")</f>
        <v/>
      </c>
      <c r="I496" s="116" t="str">
        <f>IF(D496&lt;&gt;"",VLOOKUP(ROW(E495),Beräkningshjälp!AC$2:AI$1082,COLUMN(Beräkningshjälp!AI$2)-COLUMN(Beräkningshjälp!AC$2)+1,FALSE),"")</f>
        <v/>
      </c>
    </row>
    <row r="497" spans="1:9" x14ac:dyDescent="0.25">
      <c r="A497" s="2" t="str">
        <f t="shared" si="14"/>
        <v/>
      </c>
      <c r="B497" s="136" t="str">
        <f>IF(D497&lt;&gt;"",'DATA TILL SLU'!$J$3,"")</f>
        <v/>
      </c>
      <c r="C497" s="146" t="str">
        <f>IF(D497&lt;&gt;"",'DATA TILL SLU'!$K$3,"")</f>
        <v/>
      </c>
      <c r="D497" s="2" t="str">
        <f>IF('DATA TILL SLU'!$D$7*1&lt;&gt;"",IF(COUNT(Beräkningshjälp!$AC$3:$AC$1082)&gt;=ROW(D496),'DATA TILL SLU'!$D$7*1,""),"")</f>
        <v/>
      </c>
      <c r="E497" s="136" t="str">
        <f>IF(D497&lt;&gt;"",VLOOKUP(ROW(E496),Beräkningshjälp!AC$2:AH$1082,COLUMN(Beräkningshjälp!AF$2)-COLUMN(Beräkningshjälp!AC$2)+1,FALSE),"")</f>
        <v/>
      </c>
      <c r="F497" s="352" t="str">
        <f t="shared" si="15"/>
        <v/>
      </c>
      <c r="G497" s="2" t="str">
        <f>IF(D497&lt;&gt;"",IF(VLOOKUP(VLOOKUP(E497,Beräkningshjälp!O$2:U$60,7,FALSE),Artuppgifter!$I$11:$P$22,8,FALSE)=TRUE,"Medelvikter!!","ALLA"),"")</f>
        <v/>
      </c>
      <c r="H497" s="2" t="str">
        <f>IF(D497&lt;&gt;"",VLOOKUP(ROW(H496),Beräkningshjälp!AC$2:AH$1082,COLUMN(Beräkningshjälp!AH$2)-COLUMN(Beräkningshjälp!AC$2)+1,FALSE),"")</f>
        <v/>
      </c>
      <c r="I497" s="116" t="str">
        <f>IF(D497&lt;&gt;"",VLOOKUP(ROW(E496),Beräkningshjälp!AC$2:AI$1082,COLUMN(Beräkningshjälp!AI$2)-COLUMN(Beräkningshjälp!AC$2)+1,FALSE),"")</f>
        <v/>
      </c>
    </row>
    <row r="498" spans="1:9" x14ac:dyDescent="0.25">
      <c r="A498" s="2" t="str">
        <f t="shared" si="14"/>
        <v/>
      </c>
      <c r="B498" s="136" t="str">
        <f>IF(D498&lt;&gt;"",'DATA TILL SLU'!$J$3,"")</f>
        <v/>
      </c>
      <c r="C498" s="146" t="str">
        <f>IF(D498&lt;&gt;"",'DATA TILL SLU'!$K$3,"")</f>
        <v/>
      </c>
      <c r="D498" s="2" t="str">
        <f>IF('DATA TILL SLU'!$D$7*1&lt;&gt;"",IF(COUNT(Beräkningshjälp!$AC$3:$AC$1082)&gt;=ROW(D497),'DATA TILL SLU'!$D$7*1,""),"")</f>
        <v/>
      </c>
      <c r="E498" s="136" t="str">
        <f>IF(D498&lt;&gt;"",VLOOKUP(ROW(E497),Beräkningshjälp!AC$2:AH$1082,COLUMN(Beräkningshjälp!AF$2)-COLUMN(Beräkningshjälp!AC$2)+1,FALSE),"")</f>
        <v/>
      </c>
      <c r="F498" s="352" t="str">
        <f t="shared" si="15"/>
        <v/>
      </c>
      <c r="G498" s="2" t="str">
        <f>IF(D498&lt;&gt;"",IF(VLOOKUP(VLOOKUP(E498,Beräkningshjälp!O$2:U$60,7,FALSE),Artuppgifter!$I$11:$P$22,8,FALSE)=TRUE,"Medelvikter!!","ALLA"),"")</f>
        <v/>
      </c>
      <c r="H498" s="2" t="str">
        <f>IF(D498&lt;&gt;"",VLOOKUP(ROW(H497),Beräkningshjälp!AC$2:AH$1082,COLUMN(Beräkningshjälp!AH$2)-COLUMN(Beräkningshjälp!AC$2)+1,FALSE),"")</f>
        <v/>
      </c>
      <c r="I498" s="116" t="str">
        <f>IF(D498&lt;&gt;"",VLOOKUP(ROW(E497),Beräkningshjälp!AC$2:AI$1082,COLUMN(Beräkningshjälp!AI$2)-COLUMN(Beräkningshjälp!AC$2)+1,FALSE),"")</f>
        <v/>
      </c>
    </row>
    <row r="499" spans="1:9" x14ac:dyDescent="0.25">
      <c r="A499" s="2" t="str">
        <f t="shared" si="14"/>
        <v/>
      </c>
      <c r="B499" s="136" t="str">
        <f>IF(D499&lt;&gt;"",'DATA TILL SLU'!$J$3,"")</f>
        <v/>
      </c>
      <c r="C499" s="146" t="str">
        <f>IF(D499&lt;&gt;"",'DATA TILL SLU'!$K$3,"")</f>
        <v/>
      </c>
      <c r="D499" s="2" t="str">
        <f>IF('DATA TILL SLU'!$D$7*1&lt;&gt;"",IF(COUNT(Beräkningshjälp!$AC$3:$AC$1082)&gt;=ROW(D498),'DATA TILL SLU'!$D$7*1,""),"")</f>
        <v/>
      </c>
      <c r="E499" s="136" t="str">
        <f>IF(D499&lt;&gt;"",VLOOKUP(ROW(E498),Beräkningshjälp!AC$2:AH$1082,COLUMN(Beräkningshjälp!AF$2)-COLUMN(Beräkningshjälp!AC$2)+1,FALSE),"")</f>
        <v/>
      </c>
      <c r="F499" s="352" t="str">
        <f t="shared" si="15"/>
        <v/>
      </c>
      <c r="G499" s="2" t="str">
        <f>IF(D499&lt;&gt;"",IF(VLOOKUP(VLOOKUP(E499,Beräkningshjälp!O$2:U$60,7,FALSE),Artuppgifter!$I$11:$P$22,8,FALSE)=TRUE,"Medelvikter!!","ALLA"),"")</f>
        <v/>
      </c>
      <c r="H499" s="2" t="str">
        <f>IF(D499&lt;&gt;"",VLOOKUP(ROW(H498),Beräkningshjälp!AC$2:AH$1082,COLUMN(Beräkningshjälp!AH$2)-COLUMN(Beräkningshjälp!AC$2)+1,FALSE),"")</f>
        <v/>
      </c>
      <c r="I499" s="116" t="str">
        <f>IF(D499&lt;&gt;"",VLOOKUP(ROW(E498),Beräkningshjälp!AC$2:AI$1082,COLUMN(Beräkningshjälp!AI$2)-COLUMN(Beräkningshjälp!AC$2)+1,FALSE),"")</f>
        <v/>
      </c>
    </row>
    <row r="500" spans="1:9" x14ac:dyDescent="0.25">
      <c r="A500" s="2" t="str">
        <f t="shared" si="14"/>
        <v/>
      </c>
      <c r="B500" s="136" t="str">
        <f>IF(D500&lt;&gt;"",'DATA TILL SLU'!$J$3,"")</f>
        <v/>
      </c>
      <c r="C500" s="146" t="str">
        <f>IF(D500&lt;&gt;"",'DATA TILL SLU'!$K$3,"")</f>
        <v/>
      </c>
      <c r="D500" s="2" t="str">
        <f>IF('DATA TILL SLU'!$D$7*1&lt;&gt;"",IF(COUNT(Beräkningshjälp!$AC$3:$AC$1082)&gt;=ROW(D499),'DATA TILL SLU'!$D$7*1,""),"")</f>
        <v/>
      </c>
      <c r="E500" s="136" t="str">
        <f>IF(D500&lt;&gt;"",VLOOKUP(ROW(E499),Beräkningshjälp!AC$2:AH$1082,COLUMN(Beräkningshjälp!AF$2)-COLUMN(Beräkningshjälp!AC$2)+1,FALSE),"")</f>
        <v/>
      </c>
      <c r="F500" s="352" t="str">
        <f t="shared" si="15"/>
        <v/>
      </c>
      <c r="G500" s="2" t="str">
        <f>IF(D500&lt;&gt;"",IF(VLOOKUP(VLOOKUP(E500,Beräkningshjälp!O$2:U$60,7,FALSE),Artuppgifter!$I$11:$P$22,8,FALSE)=TRUE,"Medelvikter!!","ALLA"),"")</f>
        <v/>
      </c>
      <c r="H500" s="2" t="str">
        <f>IF(D500&lt;&gt;"",VLOOKUP(ROW(H499),Beräkningshjälp!AC$2:AH$1082,COLUMN(Beräkningshjälp!AH$2)-COLUMN(Beräkningshjälp!AC$2)+1,FALSE),"")</f>
        <v/>
      </c>
      <c r="I500" s="116" t="str">
        <f>IF(D500&lt;&gt;"",VLOOKUP(ROW(E499),Beräkningshjälp!AC$2:AI$1082,COLUMN(Beräkningshjälp!AI$2)-COLUMN(Beräkningshjälp!AC$2)+1,FALSE),"")</f>
        <v/>
      </c>
    </row>
    <row r="501" spans="1:9" x14ac:dyDescent="0.25">
      <c r="A501" s="2" t="str">
        <f t="shared" si="14"/>
        <v/>
      </c>
      <c r="B501" s="136" t="str">
        <f>IF(D501&lt;&gt;"",'DATA TILL SLU'!$J$3,"")</f>
        <v/>
      </c>
      <c r="C501" s="146" t="str">
        <f>IF(D501&lt;&gt;"",'DATA TILL SLU'!$K$3,"")</f>
        <v/>
      </c>
      <c r="D501" s="2" t="str">
        <f>IF('DATA TILL SLU'!$D$7*1&lt;&gt;"",IF(COUNT(Beräkningshjälp!$AC$3:$AC$1082)&gt;=ROW(D500),'DATA TILL SLU'!$D$7*1,""),"")</f>
        <v/>
      </c>
      <c r="E501" s="136" t="str">
        <f>IF(D501&lt;&gt;"",VLOOKUP(ROW(E500),Beräkningshjälp!AC$2:AH$1082,COLUMN(Beräkningshjälp!AF$2)-COLUMN(Beräkningshjälp!AC$2)+1,FALSE),"")</f>
        <v/>
      </c>
      <c r="F501" s="352" t="str">
        <f t="shared" si="15"/>
        <v/>
      </c>
      <c r="G501" s="2" t="str">
        <f>IF(D501&lt;&gt;"",IF(VLOOKUP(VLOOKUP(E501,Beräkningshjälp!O$2:U$60,7,FALSE),Artuppgifter!$I$11:$P$22,8,FALSE)=TRUE,"Medelvikter!!","ALLA"),"")</f>
        <v/>
      </c>
      <c r="H501" s="2" t="str">
        <f>IF(D501&lt;&gt;"",VLOOKUP(ROW(H500),Beräkningshjälp!AC$2:AH$1082,COLUMN(Beräkningshjälp!AH$2)-COLUMN(Beräkningshjälp!AC$2)+1,FALSE),"")</f>
        <v/>
      </c>
      <c r="I501" s="116" t="str">
        <f>IF(D501&lt;&gt;"",VLOOKUP(ROW(E500),Beräkningshjälp!AC$2:AI$1082,COLUMN(Beräkningshjälp!AI$2)-COLUMN(Beräkningshjälp!AC$2)+1,FALSE),"")</f>
        <v/>
      </c>
    </row>
    <row r="502" spans="1:9" x14ac:dyDescent="0.25">
      <c r="A502" s="2" t="str">
        <f t="shared" si="14"/>
        <v/>
      </c>
      <c r="B502" s="136" t="str">
        <f>IF(D502&lt;&gt;"",'DATA TILL SLU'!$J$3,"")</f>
        <v/>
      </c>
      <c r="C502" s="146" t="str">
        <f>IF(D502&lt;&gt;"",'DATA TILL SLU'!$K$3,"")</f>
        <v/>
      </c>
      <c r="D502" s="2" t="str">
        <f>IF('DATA TILL SLU'!$D$7*1&lt;&gt;"",IF(COUNT(Beräkningshjälp!$AC$3:$AC$1082)&gt;=ROW(D501),'DATA TILL SLU'!$D$7*1,""),"")</f>
        <v/>
      </c>
      <c r="E502" s="136" t="str">
        <f>IF(D502&lt;&gt;"",VLOOKUP(ROW(E501),Beräkningshjälp!AC$2:AH$1082,COLUMN(Beräkningshjälp!AF$2)-COLUMN(Beräkningshjälp!AC$2)+1,FALSE),"")</f>
        <v/>
      </c>
      <c r="F502" s="352" t="str">
        <f t="shared" si="15"/>
        <v/>
      </c>
      <c r="G502" s="2" t="str">
        <f>IF(D502&lt;&gt;"",IF(VLOOKUP(VLOOKUP(E502,Beräkningshjälp!O$2:U$60,7,FALSE),Artuppgifter!$I$11:$P$22,8,FALSE)=TRUE,"Medelvikter!!","ALLA"),"")</f>
        <v/>
      </c>
      <c r="H502" s="2" t="str">
        <f>IF(D502&lt;&gt;"",VLOOKUP(ROW(H501),Beräkningshjälp!AC$2:AH$1082,COLUMN(Beräkningshjälp!AH$2)-COLUMN(Beräkningshjälp!AC$2)+1,FALSE),"")</f>
        <v/>
      </c>
      <c r="I502" s="116" t="str">
        <f>IF(D502&lt;&gt;"",VLOOKUP(ROW(E501),Beräkningshjälp!AC$2:AI$1082,COLUMN(Beräkningshjälp!AI$2)-COLUMN(Beräkningshjälp!AC$2)+1,FALSE),"")</f>
        <v/>
      </c>
    </row>
    <row r="503" spans="1:9" x14ac:dyDescent="0.25">
      <c r="A503" s="2" t="str">
        <f t="shared" si="14"/>
        <v/>
      </c>
      <c r="B503" s="136" t="str">
        <f>IF(D503&lt;&gt;"",'DATA TILL SLU'!$J$3,"")</f>
        <v/>
      </c>
      <c r="C503" s="146" t="str">
        <f>IF(D503&lt;&gt;"",'DATA TILL SLU'!$K$3,"")</f>
        <v/>
      </c>
      <c r="D503" s="2" t="str">
        <f>IF('DATA TILL SLU'!$D$7*1&lt;&gt;"",IF(COUNT(Beräkningshjälp!$AC$3:$AC$1082)&gt;=ROW(D502),'DATA TILL SLU'!$D$7*1,""),"")</f>
        <v/>
      </c>
      <c r="E503" s="136" t="str">
        <f>IF(D503&lt;&gt;"",VLOOKUP(ROW(E502),Beräkningshjälp!AC$2:AH$1082,COLUMN(Beräkningshjälp!AF$2)-COLUMN(Beräkningshjälp!AC$2)+1,FALSE),"")</f>
        <v/>
      </c>
      <c r="F503" s="352" t="str">
        <f t="shared" si="15"/>
        <v/>
      </c>
      <c r="G503" s="2" t="str">
        <f>IF(D503&lt;&gt;"",IF(VLOOKUP(VLOOKUP(E503,Beräkningshjälp!O$2:U$60,7,FALSE),Artuppgifter!$I$11:$P$22,8,FALSE)=TRUE,"Medelvikter!!","ALLA"),"")</f>
        <v/>
      </c>
      <c r="H503" s="2" t="str">
        <f>IF(D503&lt;&gt;"",VLOOKUP(ROW(H502),Beräkningshjälp!AC$2:AH$1082,COLUMN(Beräkningshjälp!AH$2)-COLUMN(Beräkningshjälp!AC$2)+1,FALSE),"")</f>
        <v/>
      </c>
      <c r="I503" s="116" t="str">
        <f>IF(D503&lt;&gt;"",VLOOKUP(ROW(E502),Beräkningshjälp!AC$2:AI$1082,COLUMN(Beräkningshjälp!AI$2)-COLUMN(Beräkningshjälp!AC$2)+1,FALSE),"")</f>
        <v/>
      </c>
    </row>
    <row r="504" spans="1:9" x14ac:dyDescent="0.25">
      <c r="A504" s="2" t="str">
        <f t="shared" si="14"/>
        <v/>
      </c>
      <c r="B504" s="136" t="str">
        <f>IF(D504&lt;&gt;"",'DATA TILL SLU'!$J$3,"")</f>
        <v/>
      </c>
      <c r="C504" s="146" t="str">
        <f>IF(D504&lt;&gt;"",'DATA TILL SLU'!$K$3,"")</f>
        <v/>
      </c>
      <c r="D504" s="2" t="str">
        <f>IF('DATA TILL SLU'!$D$7*1&lt;&gt;"",IF(COUNT(Beräkningshjälp!$AC$3:$AC$1082)&gt;=ROW(D503),'DATA TILL SLU'!$D$7*1,""),"")</f>
        <v/>
      </c>
      <c r="E504" s="136" t="str">
        <f>IF(D504&lt;&gt;"",VLOOKUP(ROW(E503),Beräkningshjälp!AC$2:AH$1082,COLUMN(Beräkningshjälp!AF$2)-COLUMN(Beräkningshjälp!AC$2)+1,FALSE),"")</f>
        <v/>
      </c>
      <c r="F504" s="352" t="str">
        <f t="shared" si="15"/>
        <v/>
      </c>
      <c r="G504" s="2" t="str">
        <f>IF(D504&lt;&gt;"",IF(VLOOKUP(VLOOKUP(E504,Beräkningshjälp!O$2:U$60,7,FALSE),Artuppgifter!$I$11:$P$22,8,FALSE)=TRUE,"Medelvikter!!","ALLA"),"")</f>
        <v/>
      </c>
      <c r="H504" s="2" t="str">
        <f>IF(D504&lt;&gt;"",VLOOKUP(ROW(H503),Beräkningshjälp!AC$2:AH$1082,COLUMN(Beräkningshjälp!AH$2)-COLUMN(Beräkningshjälp!AC$2)+1,FALSE),"")</f>
        <v/>
      </c>
      <c r="I504" s="116" t="str">
        <f>IF(D504&lt;&gt;"",VLOOKUP(ROW(E503),Beräkningshjälp!AC$2:AI$1082,COLUMN(Beräkningshjälp!AI$2)-COLUMN(Beräkningshjälp!AC$2)+1,FALSE),"")</f>
        <v/>
      </c>
    </row>
    <row r="505" spans="1:9" x14ac:dyDescent="0.25">
      <c r="A505" s="2" t="str">
        <f t="shared" si="14"/>
        <v/>
      </c>
      <c r="B505" s="136" t="str">
        <f>IF(D505&lt;&gt;"",'DATA TILL SLU'!$J$3,"")</f>
        <v/>
      </c>
      <c r="C505" s="146" t="str">
        <f>IF(D505&lt;&gt;"",'DATA TILL SLU'!$K$3,"")</f>
        <v/>
      </c>
      <c r="D505" s="2" t="str">
        <f>IF('DATA TILL SLU'!$D$7*1&lt;&gt;"",IF(COUNT(Beräkningshjälp!$AC$3:$AC$1082)&gt;=ROW(D504),'DATA TILL SLU'!$D$7*1,""),"")</f>
        <v/>
      </c>
      <c r="E505" s="136" t="str">
        <f>IF(D505&lt;&gt;"",VLOOKUP(ROW(E504),Beräkningshjälp!AC$2:AH$1082,COLUMN(Beräkningshjälp!AF$2)-COLUMN(Beräkningshjälp!AC$2)+1,FALSE),"")</f>
        <v/>
      </c>
      <c r="F505" s="352" t="str">
        <f t="shared" si="15"/>
        <v/>
      </c>
      <c r="G505" s="2" t="str">
        <f>IF(D505&lt;&gt;"",IF(VLOOKUP(VLOOKUP(E505,Beräkningshjälp!O$2:U$60,7,FALSE),Artuppgifter!$I$11:$P$22,8,FALSE)=TRUE,"Medelvikter!!","ALLA"),"")</f>
        <v/>
      </c>
      <c r="H505" s="2" t="str">
        <f>IF(D505&lt;&gt;"",VLOOKUP(ROW(H504),Beräkningshjälp!AC$2:AH$1082,COLUMN(Beräkningshjälp!AH$2)-COLUMN(Beräkningshjälp!AC$2)+1,FALSE),"")</f>
        <v/>
      </c>
      <c r="I505" s="116" t="str">
        <f>IF(D505&lt;&gt;"",VLOOKUP(ROW(E504),Beräkningshjälp!AC$2:AI$1082,COLUMN(Beräkningshjälp!AI$2)-COLUMN(Beräkningshjälp!AC$2)+1,FALSE),"")</f>
        <v/>
      </c>
    </row>
    <row r="506" spans="1:9" x14ac:dyDescent="0.25">
      <c r="A506" s="2" t="str">
        <f t="shared" si="14"/>
        <v/>
      </c>
      <c r="B506" s="136" t="str">
        <f>IF(D506&lt;&gt;"",'DATA TILL SLU'!$J$3,"")</f>
        <v/>
      </c>
      <c r="C506" s="146" t="str">
        <f>IF(D506&lt;&gt;"",'DATA TILL SLU'!$K$3,"")</f>
        <v/>
      </c>
      <c r="D506" s="2" t="str">
        <f>IF('DATA TILL SLU'!$D$7*1&lt;&gt;"",IF(COUNT(Beräkningshjälp!$AC$3:$AC$1082)&gt;=ROW(D505),'DATA TILL SLU'!$D$7*1,""),"")</f>
        <v/>
      </c>
      <c r="E506" s="136" t="str">
        <f>IF(D506&lt;&gt;"",VLOOKUP(ROW(E505),Beräkningshjälp!AC$2:AH$1082,COLUMN(Beräkningshjälp!AF$2)-COLUMN(Beräkningshjälp!AC$2)+1,FALSE),"")</f>
        <v/>
      </c>
      <c r="F506" s="352" t="str">
        <f t="shared" si="15"/>
        <v/>
      </c>
      <c r="G506" s="2" t="str">
        <f>IF(D506&lt;&gt;"",IF(VLOOKUP(VLOOKUP(E506,Beräkningshjälp!O$2:U$60,7,FALSE),Artuppgifter!$I$11:$P$22,8,FALSE)=TRUE,"Medelvikter!!","ALLA"),"")</f>
        <v/>
      </c>
      <c r="H506" s="2" t="str">
        <f>IF(D506&lt;&gt;"",VLOOKUP(ROW(H505),Beräkningshjälp!AC$2:AH$1082,COLUMN(Beräkningshjälp!AH$2)-COLUMN(Beräkningshjälp!AC$2)+1,FALSE),"")</f>
        <v/>
      </c>
      <c r="I506" s="116" t="str">
        <f>IF(D506&lt;&gt;"",VLOOKUP(ROW(E505),Beräkningshjälp!AC$2:AI$1082,COLUMN(Beräkningshjälp!AI$2)-COLUMN(Beräkningshjälp!AC$2)+1,FALSE),"")</f>
        <v/>
      </c>
    </row>
    <row r="507" spans="1:9" x14ac:dyDescent="0.25">
      <c r="A507" s="2" t="str">
        <f t="shared" si="14"/>
        <v/>
      </c>
      <c r="B507" s="136" t="str">
        <f>IF(D507&lt;&gt;"",'DATA TILL SLU'!$J$3,"")</f>
        <v/>
      </c>
      <c r="C507" s="146" t="str">
        <f>IF(D507&lt;&gt;"",'DATA TILL SLU'!$K$3,"")</f>
        <v/>
      </c>
      <c r="D507" s="2" t="str">
        <f>IF('DATA TILL SLU'!$D$7*1&lt;&gt;"",IF(COUNT(Beräkningshjälp!$AC$3:$AC$1082)&gt;=ROW(D506),'DATA TILL SLU'!$D$7*1,""),"")</f>
        <v/>
      </c>
      <c r="E507" s="136" t="str">
        <f>IF(D507&lt;&gt;"",VLOOKUP(ROW(E506),Beräkningshjälp!AC$2:AH$1082,COLUMN(Beräkningshjälp!AF$2)-COLUMN(Beräkningshjälp!AC$2)+1,FALSE),"")</f>
        <v/>
      </c>
      <c r="F507" s="352" t="str">
        <f t="shared" si="15"/>
        <v/>
      </c>
      <c r="G507" s="2" t="str">
        <f>IF(D507&lt;&gt;"",IF(VLOOKUP(VLOOKUP(E507,Beräkningshjälp!O$2:U$60,7,FALSE),Artuppgifter!$I$11:$P$22,8,FALSE)=TRUE,"Medelvikter!!","ALLA"),"")</f>
        <v/>
      </c>
      <c r="H507" s="2" t="str">
        <f>IF(D507&lt;&gt;"",VLOOKUP(ROW(H506),Beräkningshjälp!AC$2:AH$1082,COLUMN(Beräkningshjälp!AH$2)-COLUMN(Beräkningshjälp!AC$2)+1,FALSE),"")</f>
        <v/>
      </c>
      <c r="I507" s="116" t="str">
        <f>IF(D507&lt;&gt;"",VLOOKUP(ROW(E506),Beräkningshjälp!AC$2:AI$1082,COLUMN(Beräkningshjälp!AI$2)-COLUMN(Beräkningshjälp!AC$2)+1,FALSE),"")</f>
        <v/>
      </c>
    </row>
    <row r="508" spans="1:9" x14ac:dyDescent="0.25">
      <c r="A508" s="2" t="str">
        <f t="shared" si="14"/>
        <v/>
      </c>
      <c r="B508" s="136" t="str">
        <f>IF(D508&lt;&gt;"",'DATA TILL SLU'!$J$3,"")</f>
        <v/>
      </c>
      <c r="C508" s="146" t="str">
        <f>IF(D508&lt;&gt;"",'DATA TILL SLU'!$K$3,"")</f>
        <v/>
      </c>
      <c r="D508" s="2" t="str">
        <f>IF('DATA TILL SLU'!$D$7*1&lt;&gt;"",IF(COUNT(Beräkningshjälp!$AC$3:$AC$1082)&gt;=ROW(D507),'DATA TILL SLU'!$D$7*1,""),"")</f>
        <v/>
      </c>
      <c r="E508" s="136" t="str">
        <f>IF(D508&lt;&gt;"",VLOOKUP(ROW(E507),Beräkningshjälp!AC$2:AH$1082,COLUMN(Beräkningshjälp!AF$2)-COLUMN(Beräkningshjälp!AC$2)+1,FALSE),"")</f>
        <v/>
      </c>
      <c r="F508" s="352" t="str">
        <f t="shared" si="15"/>
        <v/>
      </c>
      <c r="G508" s="2" t="str">
        <f>IF(D508&lt;&gt;"",IF(VLOOKUP(VLOOKUP(E508,Beräkningshjälp!O$2:U$60,7,FALSE),Artuppgifter!$I$11:$P$22,8,FALSE)=TRUE,"Medelvikter!!","ALLA"),"")</f>
        <v/>
      </c>
      <c r="H508" s="2" t="str">
        <f>IF(D508&lt;&gt;"",VLOOKUP(ROW(H507),Beräkningshjälp!AC$2:AH$1082,COLUMN(Beräkningshjälp!AH$2)-COLUMN(Beräkningshjälp!AC$2)+1,FALSE),"")</f>
        <v/>
      </c>
      <c r="I508" s="116" t="str">
        <f>IF(D508&lt;&gt;"",VLOOKUP(ROW(E507),Beräkningshjälp!AC$2:AI$1082,COLUMN(Beräkningshjälp!AI$2)-COLUMN(Beräkningshjälp!AC$2)+1,FALSE),"")</f>
        <v/>
      </c>
    </row>
    <row r="509" spans="1:9" x14ac:dyDescent="0.25">
      <c r="A509" s="2" t="str">
        <f t="shared" si="14"/>
        <v/>
      </c>
      <c r="B509" s="136" t="str">
        <f>IF(D509&lt;&gt;"",'DATA TILL SLU'!$J$3,"")</f>
        <v/>
      </c>
      <c r="C509" s="146" t="str">
        <f>IF(D509&lt;&gt;"",'DATA TILL SLU'!$K$3,"")</f>
        <v/>
      </c>
      <c r="D509" s="2" t="str">
        <f>IF('DATA TILL SLU'!$D$7*1&lt;&gt;"",IF(COUNT(Beräkningshjälp!$AC$3:$AC$1082)&gt;=ROW(D508),'DATA TILL SLU'!$D$7*1,""),"")</f>
        <v/>
      </c>
      <c r="E509" s="136" t="str">
        <f>IF(D509&lt;&gt;"",VLOOKUP(ROW(E508),Beräkningshjälp!AC$2:AH$1082,COLUMN(Beräkningshjälp!AF$2)-COLUMN(Beräkningshjälp!AC$2)+1,FALSE),"")</f>
        <v/>
      </c>
      <c r="F509" s="352" t="str">
        <f t="shared" si="15"/>
        <v/>
      </c>
      <c r="G509" s="2" t="str">
        <f>IF(D509&lt;&gt;"",IF(VLOOKUP(VLOOKUP(E509,Beräkningshjälp!O$2:U$60,7,FALSE),Artuppgifter!$I$11:$P$22,8,FALSE)=TRUE,"Medelvikter!!","ALLA"),"")</f>
        <v/>
      </c>
      <c r="H509" s="2" t="str">
        <f>IF(D509&lt;&gt;"",VLOOKUP(ROW(H508),Beräkningshjälp!AC$2:AH$1082,COLUMN(Beräkningshjälp!AH$2)-COLUMN(Beräkningshjälp!AC$2)+1,FALSE),"")</f>
        <v/>
      </c>
      <c r="I509" s="116" t="str">
        <f>IF(D509&lt;&gt;"",VLOOKUP(ROW(E508),Beräkningshjälp!AC$2:AI$1082,COLUMN(Beräkningshjälp!AI$2)-COLUMN(Beräkningshjälp!AC$2)+1,FALSE),"")</f>
        <v/>
      </c>
    </row>
    <row r="510" spans="1:9" x14ac:dyDescent="0.25">
      <c r="A510" s="2" t="str">
        <f t="shared" si="14"/>
        <v/>
      </c>
      <c r="B510" s="136" t="str">
        <f>IF(D510&lt;&gt;"",'DATA TILL SLU'!$J$3,"")</f>
        <v/>
      </c>
      <c r="C510" s="146" t="str">
        <f>IF(D510&lt;&gt;"",'DATA TILL SLU'!$K$3,"")</f>
        <v/>
      </c>
      <c r="D510" s="2" t="str">
        <f>IF('DATA TILL SLU'!$D$7*1&lt;&gt;"",IF(COUNT(Beräkningshjälp!$AC$3:$AC$1082)&gt;=ROW(D509),'DATA TILL SLU'!$D$7*1,""),"")</f>
        <v/>
      </c>
      <c r="E510" s="136" t="str">
        <f>IF(D510&lt;&gt;"",VLOOKUP(ROW(E509),Beräkningshjälp!AC$2:AH$1082,COLUMN(Beräkningshjälp!AF$2)-COLUMN(Beräkningshjälp!AC$2)+1,FALSE),"")</f>
        <v/>
      </c>
      <c r="F510" s="352" t="str">
        <f t="shared" si="15"/>
        <v/>
      </c>
      <c r="G510" s="2" t="str">
        <f>IF(D510&lt;&gt;"",IF(VLOOKUP(VLOOKUP(E510,Beräkningshjälp!O$2:U$60,7,FALSE),Artuppgifter!$I$11:$P$22,8,FALSE)=TRUE,"Medelvikter!!","ALLA"),"")</f>
        <v/>
      </c>
      <c r="H510" s="2" t="str">
        <f>IF(D510&lt;&gt;"",VLOOKUP(ROW(H509),Beräkningshjälp!AC$2:AH$1082,COLUMN(Beräkningshjälp!AH$2)-COLUMN(Beräkningshjälp!AC$2)+1,FALSE),"")</f>
        <v/>
      </c>
      <c r="I510" s="116" t="str">
        <f>IF(D510&lt;&gt;"",VLOOKUP(ROW(E509),Beräkningshjälp!AC$2:AI$1082,COLUMN(Beräkningshjälp!AI$2)-COLUMN(Beräkningshjälp!AC$2)+1,FALSE),"")</f>
        <v/>
      </c>
    </row>
    <row r="511" spans="1:9" x14ac:dyDescent="0.25">
      <c r="A511" s="2" t="str">
        <f t="shared" si="14"/>
        <v/>
      </c>
      <c r="B511" s="136" t="str">
        <f>IF(D511&lt;&gt;"",'DATA TILL SLU'!$J$3,"")</f>
        <v/>
      </c>
      <c r="C511" s="146" t="str">
        <f>IF(D511&lt;&gt;"",'DATA TILL SLU'!$K$3,"")</f>
        <v/>
      </c>
      <c r="D511" s="2" t="str">
        <f>IF('DATA TILL SLU'!$D$7*1&lt;&gt;"",IF(COUNT(Beräkningshjälp!$AC$3:$AC$1082)&gt;=ROW(D510),'DATA TILL SLU'!$D$7*1,""),"")</f>
        <v/>
      </c>
      <c r="E511" s="136" t="str">
        <f>IF(D511&lt;&gt;"",VLOOKUP(ROW(E510),Beräkningshjälp!AC$2:AH$1082,COLUMN(Beräkningshjälp!AF$2)-COLUMN(Beräkningshjälp!AC$2)+1,FALSE),"")</f>
        <v/>
      </c>
      <c r="F511" s="352" t="str">
        <f t="shared" si="15"/>
        <v/>
      </c>
      <c r="G511" s="2" t="str">
        <f>IF(D511&lt;&gt;"",IF(VLOOKUP(VLOOKUP(E511,Beräkningshjälp!O$2:U$60,7,FALSE),Artuppgifter!$I$11:$P$22,8,FALSE)=TRUE,"Medelvikter!!","ALLA"),"")</f>
        <v/>
      </c>
      <c r="H511" s="2" t="str">
        <f>IF(D511&lt;&gt;"",VLOOKUP(ROW(H510),Beräkningshjälp!AC$2:AH$1082,COLUMN(Beräkningshjälp!AH$2)-COLUMN(Beräkningshjälp!AC$2)+1,FALSE),"")</f>
        <v/>
      </c>
      <c r="I511" s="116" t="str">
        <f>IF(D511&lt;&gt;"",VLOOKUP(ROW(E510),Beräkningshjälp!AC$2:AI$1082,COLUMN(Beräkningshjälp!AI$2)-COLUMN(Beräkningshjälp!AC$2)+1,FALSE),"")</f>
        <v/>
      </c>
    </row>
    <row r="512" spans="1:9" x14ac:dyDescent="0.25">
      <c r="A512" s="2" t="str">
        <f t="shared" si="14"/>
        <v/>
      </c>
      <c r="B512" s="136" t="str">
        <f>IF(D512&lt;&gt;"",'DATA TILL SLU'!$J$3,"")</f>
        <v/>
      </c>
      <c r="C512" s="146" t="str">
        <f>IF(D512&lt;&gt;"",'DATA TILL SLU'!$K$3,"")</f>
        <v/>
      </c>
      <c r="D512" s="2" t="str">
        <f>IF('DATA TILL SLU'!$D$7*1&lt;&gt;"",IF(COUNT(Beräkningshjälp!$AC$3:$AC$1082)&gt;=ROW(D511),'DATA TILL SLU'!$D$7*1,""),"")</f>
        <v/>
      </c>
      <c r="E512" s="136" t="str">
        <f>IF(D512&lt;&gt;"",VLOOKUP(ROW(E511),Beräkningshjälp!AC$2:AH$1082,COLUMN(Beräkningshjälp!AF$2)-COLUMN(Beräkningshjälp!AC$2)+1,FALSE),"")</f>
        <v/>
      </c>
      <c r="F512" s="352" t="str">
        <f t="shared" si="15"/>
        <v/>
      </c>
      <c r="G512" s="2" t="str">
        <f>IF(D512&lt;&gt;"",IF(VLOOKUP(VLOOKUP(E512,Beräkningshjälp!O$2:U$60,7,FALSE),Artuppgifter!$I$11:$P$22,8,FALSE)=TRUE,"Medelvikter!!","ALLA"),"")</f>
        <v/>
      </c>
      <c r="H512" s="2" t="str">
        <f>IF(D512&lt;&gt;"",VLOOKUP(ROW(H511),Beräkningshjälp!AC$2:AH$1082,COLUMN(Beräkningshjälp!AH$2)-COLUMN(Beräkningshjälp!AC$2)+1,FALSE),"")</f>
        <v/>
      </c>
      <c r="I512" s="116" t="str">
        <f>IF(D512&lt;&gt;"",VLOOKUP(ROW(E511),Beräkningshjälp!AC$2:AI$1082,COLUMN(Beräkningshjälp!AI$2)-COLUMN(Beräkningshjälp!AC$2)+1,FALSE),"")</f>
        <v/>
      </c>
    </row>
    <row r="513" spans="1:9" x14ac:dyDescent="0.25">
      <c r="A513" s="2" t="str">
        <f t="shared" si="14"/>
        <v/>
      </c>
      <c r="B513" s="136" t="str">
        <f>IF(D513&lt;&gt;"",'DATA TILL SLU'!$J$3,"")</f>
        <v/>
      </c>
      <c r="C513" s="146" t="str">
        <f>IF(D513&lt;&gt;"",'DATA TILL SLU'!$K$3,"")</f>
        <v/>
      </c>
      <c r="D513" s="2" t="str">
        <f>IF('DATA TILL SLU'!$D$7*1&lt;&gt;"",IF(COUNT(Beräkningshjälp!$AC$3:$AC$1082)&gt;=ROW(D512),'DATA TILL SLU'!$D$7*1,""),"")</f>
        <v/>
      </c>
      <c r="E513" s="136" t="str">
        <f>IF(D513&lt;&gt;"",VLOOKUP(ROW(E512),Beräkningshjälp!AC$2:AH$1082,COLUMN(Beräkningshjälp!AF$2)-COLUMN(Beräkningshjälp!AC$2)+1,FALSE),"")</f>
        <v/>
      </c>
      <c r="F513" s="352" t="str">
        <f t="shared" si="15"/>
        <v/>
      </c>
      <c r="G513" s="2" t="str">
        <f>IF(D513&lt;&gt;"",IF(VLOOKUP(VLOOKUP(E513,Beräkningshjälp!O$2:U$60,7,FALSE),Artuppgifter!$I$11:$P$22,8,FALSE)=TRUE,"Medelvikter!!","ALLA"),"")</f>
        <v/>
      </c>
      <c r="H513" s="2" t="str">
        <f>IF(D513&lt;&gt;"",VLOOKUP(ROW(H512),Beräkningshjälp!AC$2:AH$1082,COLUMN(Beräkningshjälp!AH$2)-COLUMN(Beräkningshjälp!AC$2)+1,FALSE),"")</f>
        <v/>
      </c>
      <c r="I513" s="116" t="str">
        <f>IF(D513&lt;&gt;"",VLOOKUP(ROW(E512),Beräkningshjälp!AC$2:AI$1082,COLUMN(Beräkningshjälp!AI$2)-COLUMN(Beräkningshjälp!AC$2)+1,FALSE),"")</f>
        <v/>
      </c>
    </row>
    <row r="514" spans="1:9" x14ac:dyDescent="0.25">
      <c r="A514" s="2" t="str">
        <f t="shared" si="14"/>
        <v/>
      </c>
      <c r="B514" s="136" t="str">
        <f>IF(D514&lt;&gt;"",'DATA TILL SLU'!$J$3,"")</f>
        <v/>
      </c>
      <c r="C514" s="146" t="str">
        <f>IF(D514&lt;&gt;"",'DATA TILL SLU'!$K$3,"")</f>
        <v/>
      </c>
      <c r="D514" s="2" t="str">
        <f>IF('DATA TILL SLU'!$D$7*1&lt;&gt;"",IF(COUNT(Beräkningshjälp!$AC$3:$AC$1082)&gt;=ROW(D513),'DATA TILL SLU'!$D$7*1,""),"")</f>
        <v/>
      </c>
      <c r="E514" s="136" t="str">
        <f>IF(D514&lt;&gt;"",VLOOKUP(ROW(E513),Beräkningshjälp!AC$2:AH$1082,COLUMN(Beräkningshjälp!AF$2)-COLUMN(Beräkningshjälp!AC$2)+1,FALSE),"")</f>
        <v/>
      </c>
      <c r="F514" s="352" t="str">
        <f t="shared" si="15"/>
        <v/>
      </c>
      <c r="G514" s="2" t="str">
        <f>IF(D514&lt;&gt;"",IF(VLOOKUP(VLOOKUP(E514,Beräkningshjälp!O$2:U$60,7,FALSE),Artuppgifter!$I$11:$P$22,8,FALSE)=TRUE,"Medelvikter!!","ALLA"),"")</f>
        <v/>
      </c>
      <c r="H514" s="2" t="str">
        <f>IF(D514&lt;&gt;"",VLOOKUP(ROW(H513),Beräkningshjälp!AC$2:AH$1082,COLUMN(Beräkningshjälp!AH$2)-COLUMN(Beräkningshjälp!AC$2)+1,FALSE),"")</f>
        <v/>
      </c>
      <c r="I514" s="116" t="str">
        <f>IF(D514&lt;&gt;"",VLOOKUP(ROW(E513),Beräkningshjälp!AC$2:AI$1082,COLUMN(Beräkningshjälp!AI$2)-COLUMN(Beräkningshjälp!AC$2)+1,FALSE),"")</f>
        <v/>
      </c>
    </row>
    <row r="515" spans="1:9" x14ac:dyDescent="0.25">
      <c r="A515" s="2" t="str">
        <f t="shared" ref="A515:A578" si="16">IF(D515&lt;&gt;"","LANGDVIKTER","")</f>
        <v/>
      </c>
      <c r="B515" s="136" t="str">
        <f>IF(D515&lt;&gt;"",'DATA TILL SLU'!$J$3,"")</f>
        <v/>
      </c>
      <c r="C515" s="146" t="str">
        <f>IF(D515&lt;&gt;"",'DATA TILL SLU'!$K$3,"")</f>
        <v/>
      </c>
      <c r="D515" s="2" t="str">
        <f>IF('DATA TILL SLU'!$D$7*1&lt;&gt;"",IF(COUNT(Beräkningshjälp!$AC$3:$AC$1082)&gt;=ROW(D514),'DATA TILL SLU'!$D$7*1,""),"")</f>
        <v/>
      </c>
      <c r="E515" s="136" t="str">
        <f>IF(D515&lt;&gt;"",VLOOKUP(ROW(E514),Beräkningshjälp!AC$2:AH$1082,COLUMN(Beräkningshjälp!AF$2)-COLUMN(Beräkningshjälp!AC$2)+1,FALSE),"")</f>
        <v/>
      </c>
      <c r="F515" s="352" t="str">
        <f t="shared" ref="F515:F578" si="17">IF(D515&lt;&gt;"","IND","")</f>
        <v/>
      </c>
      <c r="G515" s="2" t="str">
        <f>IF(D515&lt;&gt;"",IF(VLOOKUP(VLOOKUP(E515,Beräkningshjälp!O$2:U$60,7,FALSE),Artuppgifter!$I$11:$P$22,8,FALSE)=TRUE,"Medelvikter!!","ALLA"),"")</f>
        <v/>
      </c>
      <c r="H515" s="2" t="str">
        <f>IF(D515&lt;&gt;"",VLOOKUP(ROW(H514),Beräkningshjälp!AC$2:AH$1082,COLUMN(Beräkningshjälp!AH$2)-COLUMN(Beräkningshjälp!AC$2)+1,FALSE),"")</f>
        <v/>
      </c>
      <c r="I515" s="116" t="str">
        <f>IF(D515&lt;&gt;"",VLOOKUP(ROW(E514),Beräkningshjälp!AC$2:AI$1082,COLUMN(Beräkningshjälp!AI$2)-COLUMN(Beräkningshjälp!AC$2)+1,FALSE),"")</f>
        <v/>
      </c>
    </row>
    <row r="516" spans="1:9" x14ac:dyDescent="0.25">
      <c r="A516" s="2" t="str">
        <f t="shared" si="16"/>
        <v/>
      </c>
      <c r="B516" s="136" t="str">
        <f>IF(D516&lt;&gt;"",'DATA TILL SLU'!$J$3,"")</f>
        <v/>
      </c>
      <c r="C516" s="146" t="str">
        <f>IF(D516&lt;&gt;"",'DATA TILL SLU'!$K$3,"")</f>
        <v/>
      </c>
      <c r="D516" s="2" t="str">
        <f>IF('DATA TILL SLU'!$D$7*1&lt;&gt;"",IF(COUNT(Beräkningshjälp!$AC$3:$AC$1082)&gt;=ROW(D515),'DATA TILL SLU'!$D$7*1,""),"")</f>
        <v/>
      </c>
      <c r="E516" s="136" t="str">
        <f>IF(D516&lt;&gt;"",VLOOKUP(ROW(E515),Beräkningshjälp!AC$2:AH$1082,COLUMN(Beräkningshjälp!AF$2)-COLUMN(Beräkningshjälp!AC$2)+1,FALSE),"")</f>
        <v/>
      </c>
      <c r="F516" s="352" t="str">
        <f t="shared" si="17"/>
        <v/>
      </c>
      <c r="G516" s="2" t="str">
        <f>IF(D516&lt;&gt;"",IF(VLOOKUP(VLOOKUP(E516,Beräkningshjälp!O$2:U$60,7,FALSE),Artuppgifter!$I$11:$P$22,8,FALSE)=TRUE,"Medelvikter!!","ALLA"),"")</f>
        <v/>
      </c>
      <c r="H516" s="2" t="str">
        <f>IF(D516&lt;&gt;"",VLOOKUP(ROW(H515),Beräkningshjälp!AC$2:AH$1082,COLUMN(Beräkningshjälp!AH$2)-COLUMN(Beräkningshjälp!AC$2)+1,FALSE),"")</f>
        <v/>
      </c>
      <c r="I516" s="116" t="str">
        <f>IF(D516&lt;&gt;"",VLOOKUP(ROW(E515),Beräkningshjälp!AC$2:AI$1082,COLUMN(Beräkningshjälp!AI$2)-COLUMN(Beräkningshjälp!AC$2)+1,FALSE),"")</f>
        <v/>
      </c>
    </row>
    <row r="517" spans="1:9" x14ac:dyDescent="0.25">
      <c r="A517" s="2" t="str">
        <f t="shared" si="16"/>
        <v/>
      </c>
      <c r="B517" s="136" t="str">
        <f>IF(D517&lt;&gt;"",'DATA TILL SLU'!$J$3,"")</f>
        <v/>
      </c>
      <c r="C517" s="146" t="str">
        <f>IF(D517&lt;&gt;"",'DATA TILL SLU'!$K$3,"")</f>
        <v/>
      </c>
      <c r="D517" s="2" t="str">
        <f>IF('DATA TILL SLU'!$D$7*1&lt;&gt;"",IF(COUNT(Beräkningshjälp!$AC$3:$AC$1082)&gt;=ROW(D516),'DATA TILL SLU'!$D$7*1,""),"")</f>
        <v/>
      </c>
      <c r="E517" s="136" t="str">
        <f>IF(D517&lt;&gt;"",VLOOKUP(ROW(E516),Beräkningshjälp!AC$2:AH$1082,COLUMN(Beräkningshjälp!AF$2)-COLUMN(Beräkningshjälp!AC$2)+1,FALSE),"")</f>
        <v/>
      </c>
      <c r="F517" s="352" t="str">
        <f t="shared" si="17"/>
        <v/>
      </c>
      <c r="G517" s="2" t="str">
        <f>IF(D517&lt;&gt;"",IF(VLOOKUP(VLOOKUP(E517,Beräkningshjälp!O$2:U$60,7,FALSE),Artuppgifter!$I$11:$P$22,8,FALSE)=TRUE,"Medelvikter!!","ALLA"),"")</f>
        <v/>
      </c>
      <c r="H517" s="2" t="str">
        <f>IF(D517&lt;&gt;"",VLOOKUP(ROW(H516),Beräkningshjälp!AC$2:AH$1082,COLUMN(Beräkningshjälp!AH$2)-COLUMN(Beräkningshjälp!AC$2)+1,FALSE),"")</f>
        <v/>
      </c>
      <c r="I517" s="116" t="str">
        <f>IF(D517&lt;&gt;"",VLOOKUP(ROW(E516),Beräkningshjälp!AC$2:AI$1082,COLUMN(Beräkningshjälp!AI$2)-COLUMN(Beräkningshjälp!AC$2)+1,FALSE),"")</f>
        <v/>
      </c>
    </row>
    <row r="518" spans="1:9" x14ac:dyDescent="0.25">
      <c r="A518" s="2" t="str">
        <f t="shared" si="16"/>
        <v/>
      </c>
      <c r="B518" s="136" t="str">
        <f>IF(D518&lt;&gt;"",'DATA TILL SLU'!$J$3,"")</f>
        <v/>
      </c>
      <c r="C518" s="146" t="str">
        <f>IF(D518&lt;&gt;"",'DATA TILL SLU'!$K$3,"")</f>
        <v/>
      </c>
      <c r="D518" s="2" t="str">
        <f>IF('DATA TILL SLU'!$D$7*1&lt;&gt;"",IF(COUNT(Beräkningshjälp!$AC$3:$AC$1082)&gt;=ROW(D517),'DATA TILL SLU'!$D$7*1,""),"")</f>
        <v/>
      </c>
      <c r="E518" s="136" t="str">
        <f>IF(D518&lt;&gt;"",VLOOKUP(ROW(E517),Beräkningshjälp!AC$2:AH$1082,COLUMN(Beräkningshjälp!AF$2)-COLUMN(Beräkningshjälp!AC$2)+1,FALSE),"")</f>
        <v/>
      </c>
      <c r="F518" s="352" t="str">
        <f t="shared" si="17"/>
        <v/>
      </c>
      <c r="G518" s="2" t="str">
        <f>IF(D518&lt;&gt;"",IF(VLOOKUP(VLOOKUP(E518,Beräkningshjälp!O$2:U$60,7,FALSE),Artuppgifter!$I$11:$P$22,8,FALSE)=TRUE,"Medelvikter!!","ALLA"),"")</f>
        <v/>
      </c>
      <c r="H518" s="2" t="str">
        <f>IF(D518&lt;&gt;"",VLOOKUP(ROW(H517),Beräkningshjälp!AC$2:AH$1082,COLUMN(Beräkningshjälp!AH$2)-COLUMN(Beräkningshjälp!AC$2)+1,FALSE),"")</f>
        <v/>
      </c>
      <c r="I518" s="116" t="str">
        <f>IF(D518&lt;&gt;"",VLOOKUP(ROW(E517),Beräkningshjälp!AC$2:AI$1082,COLUMN(Beräkningshjälp!AI$2)-COLUMN(Beräkningshjälp!AC$2)+1,FALSE),"")</f>
        <v/>
      </c>
    </row>
    <row r="519" spans="1:9" x14ac:dyDescent="0.25">
      <c r="A519" s="2" t="str">
        <f t="shared" si="16"/>
        <v/>
      </c>
      <c r="B519" s="136" t="str">
        <f>IF(D519&lt;&gt;"",'DATA TILL SLU'!$J$3,"")</f>
        <v/>
      </c>
      <c r="C519" s="146" t="str">
        <f>IF(D519&lt;&gt;"",'DATA TILL SLU'!$K$3,"")</f>
        <v/>
      </c>
      <c r="D519" s="2" t="str">
        <f>IF('DATA TILL SLU'!$D$7*1&lt;&gt;"",IF(COUNT(Beräkningshjälp!$AC$3:$AC$1082)&gt;=ROW(D518),'DATA TILL SLU'!$D$7*1,""),"")</f>
        <v/>
      </c>
      <c r="E519" s="136" t="str">
        <f>IF(D519&lt;&gt;"",VLOOKUP(ROW(E518),Beräkningshjälp!AC$2:AH$1082,COLUMN(Beräkningshjälp!AF$2)-COLUMN(Beräkningshjälp!AC$2)+1,FALSE),"")</f>
        <v/>
      </c>
      <c r="F519" s="352" t="str">
        <f t="shared" si="17"/>
        <v/>
      </c>
      <c r="G519" s="2" t="str">
        <f>IF(D519&lt;&gt;"",IF(VLOOKUP(VLOOKUP(E519,Beräkningshjälp!O$2:U$60,7,FALSE),Artuppgifter!$I$11:$P$22,8,FALSE)=TRUE,"Medelvikter!!","ALLA"),"")</f>
        <v/>
      </c>
      <c r="H519" s="2" t="str">
        <f>IF(D519&lt;&gt;"",VLOOKUP(ROW(H518),Beräkningshjälp!AC$2:AH$1082,COLUMN(Beräkningshjälp!AH$2)-COLUMN(Beräkningshjälp!AC$2)+1,FALSE),"")</f>
        <v/>
      </c>
      <c r="I519" s="116" t="str">
        <f>IF(D519&lt;&gt;"",VLOOKUP(ROW(E518),Beräkningshjälp!AC$2:AI$1082,COLUMN(Beräkningshjälp!AI$2)-COLUMN(Beräkningshjälp!AC$2)+1,FALSE),"")</f>
        <v/>
      </c>
    </row>
    <row r="520" spans="1:9" x14ac:dyDescent="0.25">
      <c r="A520" s="2" t="str">
        <f t="shared" si="16"/>
        <v/>
      </c>
      <c r="B520" s="136" t="str">
        <f>IF(D520&lt;&gt;"",'DATA TILL SLU'!$J$3,"")</f>
        <v/>
      </c>
      <c r="C520" s="146" t="str">
        <f>IF(D520&lt;&gt;"",'DATA TILL SLU'!$K$3,"")</f>
        <v/>
      </c>
      <c r="D520" s="2" t="str">
        <f>IF('DATA TILL SLU'!$D$7*1&lt;&gt;"",IF(COUNT(Beräkningshjälp!$AC$3:$AC$1082)&gt;=ROW(D519),'DATA TILL SLU'!$D$7*1,""),"")</f>
        <v/>
      </c>
      <c r="E520" s="136" t="str">
        <f>IF(D520&lt;&gt;"",VLOOKUP(ROW(E519),Beräkningshjälp!AC$2:AH$1082,COLUMN(Beräkningshjälp!AF$2)-COLUMN(Beräkningshjälp!AC$2)+1,FALSE),"")</f>
        <v/>
      </c>
      <c r="F520" s="352" t="str">
        <f t="shared" si="17"/>
        <v/>
      </c>
      <c r="G520" s="2" t="str">
        <f>IF(D520&lt;&gt;"",IF(VLOOKUP(VLOOKUP(E520,Beräkningshjälp!O$2:U$60,7,FALSE),Artuppgifter!$I$11:$P$22,8,FALSE)=TRUE,"Medelvikter!!","ALLA"),"")</f>
        <v/>
      </c>
      <c r="H520" s="2" t="str">
        <f>IF(D520&lt;&gt;"",VLOOKUP(ROW(H519),Beräkningshjälp!AC$2:AH$1082,COLUMN(Beräkningshjälp!AH$2)-COLUMN(Beräkningshjälp!AC$2)+1,FALSE),"")</f>
        <v/>
      </c>
      <c r="I520" s="116" t="str">
        <f>IF(D520&lt;&gt;"",VLOOKUP(ROW(E519),Beräkningshjälp!AC$2:AI$1082,COLUMN(Beräkningshjälp!AI$2)-COLUMN(Beräkningshjälp!AC$2)+1,FALSE),"")</f>
        <v/>
      </c>
    </row>
    <row r="521" spans="1:9" x14ac:dyDescent="0.25">
      <c r="A521" s="2" t="str">
        <f t="shared" si="16"/>
        <v/>
      </c>
      <c r="B521" s="136" t="str">
        <f>IF(D521&lt;&gt;"",'DATA TILL SLU'!$J$3,"")</f>
        <v/>
      </c>
      <c r="C521" s="146" t="str">
        <f>IF(D521&lt;&gt;"",'DATA TILL SLU'!$K$3,"")</f>
        <v/>
      </c>
      <c r="D521" s="2" t="str">
        <f>IF('DATA TILL SLU'!$D$7*1&lt;&gt;"",IF(COUNT(Beräkningshjälp!$AC$3:$AC$1082)&gt;=ROW(D520),'DATA TILL SLU'!$D$7*1,""),"")</f>
        <v/>
      </c>
      <c r="E521" s="136" t="str">
        <f>IF(D521&lt;&gt;"",VLOOKUP(ROW(E520),Beräkningshjälp!AC$2:AH$1082,COLUMN(Beräkningshjälp!AF$2)-COLUMN(Beräkningshjälp!AC$2)+1,FALSE),"")</f>
        <v/>
      </c>
      <c r="F521" s="352" t="str">
        <f t="shared" si="17"/>
        <v/>
      </c>
      <c r="G521" s="2" t="str">
        <f>IF(D521&lt;&gt;"",IF(VLOOKUP(VLOOKUP(E521,Beräkningshjälp!O$2:U$60,7,FALSE),Artuppgifter!$I$11:$P$22,8,FALSE)=TRUE,"Medelvikter!!","ALLA"),"")</f>
        <v/>
      </c>
      <c r="H521" s="2" t="str">
        <f>IF(D521&lt;&gt;"",VLOOKUP(ROW(H520),Beräkningshjälp!AC$2:AH$1082,COLUMN(Beräkningshjälp!AH$2)-COLUMN(Beräkningshjälp!AC$2)+1,FALSE),"")</f>
        <v/>
      </c>
      <c r="I521" s="116" t="str">
        <f>IF(D521&lt;&gt;"",VLOOKUP(ROW(E520),Beräkningshjälp!AC$2:AI$1082,COLUMN(Beräkningshjälp!AI$2)-COLUMN(Beräkningshjälp!AC$2)+1,FALSE),"")</f>
        <v/>
      </c>
    </row>
    <row r="522" spans="1:9" x14ac:dyDescent="0.25">
      <c r="A522" s="2" t="str">
        <f t="shared" si="16"/>
        <v/>
      </c>
      <c r="B522" s="136" t="str">
        <f>IF(D522&lt;&gt;"",'DATA TILL SLU'!$J$3,"")</f>
        <v/>
      </c>
      <c r="C522" s="146" t="str">
        <f>IF(D522&lt;&gt;"",'DATA TILL SLU'!$K$3,"")</f>
        <v/>
      </c>
      <c r="D522" s="2" t="str">
        <f>IF('DATA TILL SLU'!$D$7*1&lt;&gt;"",IF(COUNT(Beräkningshjälp!$AC$3:$AC$1082)&gt;=ROW(D521),'DATA TILL SLU'!$D$7*1,""),"")</f>
        <v/>
      </c>
      <c r="E522" s="136" t="str">
        <f>IF(D522&lt;&gt;"",VLOOKUP(ROW(E521),Beräkningshjälp!AC$2:AH$1082,COLUMN(Beräkningshjälp!AF$2)-COLUMN(Beräkningshjälp!AC$2)+1,FALSE),"")</f>
        <v/>
      </c>
      <c r="F522" s="352" t="str">
        <f t="shared" si="17"/>
        <v/>
      </c>
      <c r="G522" s="2" t="str">
        <f>IF(D522&lt;&gt;"",IF(VLOOKUP(VLOOKUP(E522,Beräkningshjälp!O$2:U$60,7,FALSE),Artuppgifter!$I$11:$P$22,8,FALSE)=TRUE,"Medelvikter!!","ALLA"),"")</f>
        <v/>
      </c>
      <c r="H522" s="2" t="str">
        <f>IF(D522&lt;&gt;"",VLOOKUP(ROW(H521),Beräkningshjälp!AC$2:AH$1082,COLUMN(Beräkningshjälp!AH$2)-COLUMN(Beräkningshjälp!AC$2)+1,FALSE),"")</f>
        <v/>
      </c>
      <c r="I522" s="116" t="str">
        <f>IF(D522&lt;&gt;"",VLOOKUP(ROW(E521),Beräkningshjälp!AC$2:AI$1082,COLUMN(Beräkningshjälp!AI$2)-COLUMN(Beräkningshjälp!AC$2)+1,FALSE),"")</f>
        <v/>
      </c>
    </row>
    <row r="523" spans="1:9" x14ac:dyDescent="0.25">
      <c r="A523" s="2" t="str">
        <f t="shared" si="16"/>
        <v/>
      </c>
      <c r="B523" s="136" t="str">
        <f>IF(D523&lt;&gt;"",'DATA TILL SLU'!$J$3,"")</f>
        <v/>
      </c>
      <c r="C523" s="146" t="str">
        <f>IF(D523&lt;&gt;"",'DATA TILL SLU'!$K$3,"")</f>
        <v/>
      </c>
      <c r="D523" s="2" t="str">
        <f>IF('DATA TILL SLU'!$D$7*1&lt;&gt;"",IF(COUNT(Beräkningshjälp!$AC$3:$AC$1082)&gt;=ROW(D522),'DATA TILL SLU'!$D$7*1,""),"")</f>
        <v/>
      </c>
      <c r="E523" s="136" t="str">
        <f>IF(D523&lt;&gt;"",VLOOKUP(ROW(E522),Beräkningshjälp!AC$2:AH$1082,COLUMN(Beräkningshjälp!AF$2)-COLUMN(Beräkningshjälp!AC$2)+1,FALSE),"")</f>
        <v/>
      </c>
      <c r="F523" s="352" t="str">
        <f t="shared" si="17"/>
        <v/>
      </c>
      <c r="G523" s="2" t="str">
        <f>IF(D523&lt;&gt;"",IF(VLOOKUP(VLOOKUP(E523,Beräkningshjälp!O$2:U$60,7,FALSE),Artuppgifter!$I$11:$P$22,8,FALSE)=TRUE,"Medelvikter!!","ALLA"),"")</f>
        <v/>
      </c>
      <c r="H523" s="2" t="str">
        <f>IF(D523&lt;&gt;"",VLOOKUP(ROW(H522),Beräkningshjälp!AC$2:AH$1082,COLUMN(Beräkningshjälp!AH$2)-COLUMN(Beräkningshjälp!AC$2)+1,FALSE),"")</f>
        <v/>
      </c>
      <c r="I523" s="116" t="str">
        <f>IF(D523&lt;&gt;"",VLOOKUP(ROW(E522),Beräkningshjälp!AC$2:AI$1082,COLUMN(Beräkningshjälp!AI$2)-COLUMN(Beräkningshjälp!AC$2)+1,FALSE),"")</f>
        <v/>
      </c>
    </row>
    <row r="524" spans="1:9" x14ac:dyDescent="0.25">
      <c r="A524" s="2" t="str">
        <f t="shared" si="16"/>
        <v/>
      </c>
      <c r="B524" s="136" t="str">
        <f>IF(D524&lt;&gt;"",'DATA TILL SLU'!$J$3,"")</f>
        <v/>
      </c>
      <c r="C524" s="146" t="str">
        <f>IF(D524&lt;&gt;"",'DATA TILL SLU'!$K$3,"")</f>
        <v/>
      </c>
      <c r="D524" s="2" t="str">
        <f>IF('DATA TILL SLU'!$D$7*1&lt;&gt;"",IF(COUNT(Beräkningshjälp!$AC$3:$AC$1082)&gt;=ROW(D523),'DATA TILL SLU'!$D$7*1,""),"")</f>
        <v/>
      </c>
      <c r="E524" s="136" t="str">
        <f>IF(D524&lt;&gt;"",VLOOKUP(ROW(E523),Beräkningshjälp!AC$2:AH$1082,COLUMN(Beräkningshjälp!AF$2)-COLUMN(Beräkningshjälp!AC$2)+1,FALSE),"")</f>
        <v/>
      </c>
      <c r="F524" s="352" t="str">
        <f t="shared" si="17"/>
        <v/>
      </c>
      <c r="G524" s="2" t="str">
        <f>IF(D524&lt;&gt;"",IF(VLOOKUP(VLOOKUP(E524,Beräkningshjälp!O$2:U$60,7,FALSE),Artuppgifter!$I$11:$P$22,8,FALSE)=TRUE,"Medelvikter!!","ALLA"),"")</f>
        <v/>
      </c>
      <c r="H524" s="2" t="str">
        <f>IF(D524&lt;&gt;"",VLOOKUP(ROW(H523),Beräkningshjälp!AC$2:AH$1082,COLUMN(Beräkningshjälp!AH$2)-COLUMN(Beräkningshjälp!AC$2)+1,FALSE),"")</f>
        <v/>
      </c>
      <c r="I524" s="116" t="str">
        <f>IF(D524&lt;&gt;"",VLOOKUP(ROW(E523),Beräkningshjälp!AC$2:AI$1082,COLUMN(Beräkningshjälp!AI$2)-COLUMN(Beräkningshjälp!AC$2)+1,FALSE),"")</f>
        <v/>
      </c>
    </row>
    <row r="525" spans="1:9" x14ac:dyDescent="0.25">
      <c r="A525" s="2" t="str">
        <f t="shared" si="16"/>
        <v/>
      </c>
      <c r="B525" s="136" t="str">
        <f>IF(D525&lt;&gt;"",'DATA TILL SLU'!$J$3,"")</f>
        <v/>
      </c>
      <c r="C525" s="146" t="str">
        <f>IF(D525&lt;&gt;"",'DATA TILL SLU'!$K$3,"")</f>
        <v/>
      </c>
      <c r="D525" s="2" t="str">
        <f>IF('DATA TILL SLU'!$D$7*1&lt;&gt;"",IF(COUNT(Beräkningshjälp!$AC$3:$AC$1082)&gt;=ROW(D524),'DATA TILL SLU'!$D$7*1,""),"")</f>
        <v/>
      </c>
      <c r="E525" s="136" t="str">
        <f>IF(D525&lt;&gt;"",VLOOKUP(ROW(E524),Beräkningshjälp!AC$2:AH$1082,COLUMN(Beräkningshjälp!AF$2)-COLUMN(Beräkningshjälp!AC$2)+1,FALSE),"")</f>
        <v/>
      </c>
      <c r="F525" s="352" t="str">
        <f t="shared" si="17"/>
        <v/>
      </c>
      <c r="G525" s="2" t="str">
        <f>IF(D525&lt;&gt;"",IF(VLOOKUP(VLOOKUP(E525,Beräkningshjälp!O$2:U$60,7,FALSE),Artuppgifter!$I$11:$P$22,8,FALSE)=TRUE,"Medelvikter!!","ALLA"),"")</f>
        <v/>
      </c>
      <c r="H525" s="2" t="str">
        <f>IF(D525&lt;&gt;"",VLOOKUP(ROW(H524),Beräkningshjälp!AC$2:AH$1082,COLUMN(Beräkningshjälp!AH$2)-COLUMN(Beräkningshjälp!AC$2)+1,FALSE),"")</f>
        <v/>
      </c>
      <c r="I525" s="116" t="str">
        <f>IF(D525&lt;&gt;"",VLOOKUP(ROW(E524),Beräkningshjälp!AC$2:AI$1082,COLUMN(Beräkningshjälp!AI$2)-COLUMN(Beräkningshjälp!AC$2)+1,FALSE),"")</f>
        <v/>
      </c>
    </row>
    <row r="526" spans="1:9" x14ac:dyDescent="0.25">
      <c r="A526" s="2" t="str">
        <f t="shared" si="16"/>
        <v/>
      </c>
      <c r="B526" s="136" t="str">
        <f>IF(D526&lt;&gt;"",'DATA TILL SLU'!$J$3,"")</f>
        <v/>
      </c>
      <c r="C526" s="146" t="str">
        <f>IF(D526&lt;&gt;"",'DATA TILL SLU'!$K$3,"")</f>
        <v/>
      </c>
      <c r="D526" s="2" t="str">
        <f>IF('DATA TILL SLU'!$D$7*1&lt;&gt;"",IF(COUNT(Beräkningshjälp!$AC$3:$AC$1082)&gt;=ROW(D525),'DATA TILL SLU'!$D$7*1,""),"")</f>
        <v/>
      </c>
      <c r="E526" s="136" t="str">
        <f>IF(D526&lt;&gt;"",VLOOKUP(ROW(E525),Beräkningshjälp!AC$2:AH$1082,COLUMN(Beräkningshjälp!AF$2)-COLUMN(Beräkningshjälp!AC$2)+1,FALSE),"")</f>
        <v/>
      </c>
      <c r="F526" s="352" t="str">
        <f t="shared" si="17"/>
        <v/>
      </c>
      <c r="G526" s="2" t="str">
        <f>IF(D526&lt;&gt;"",IF(VLOOKUP(VLOOKUP(E526,Beräkningshjälp!O$2:U$60,7,FALSE),Artuppgifter!$I$11:$P$22,8,FALSE)=TRUE,"Medelvikter!!","ALLA"),"")</f>
        <v/>
      </c>
      <c r="H526" s="2" t="str">
        <f>IF(D526&lt;&gt;"",VLOOKUP(ROW(H525),Beräkningshjälp!AC$2:AH$1082,COLUMN(Beräkningshjälp!AH$2)-COLUMN(Beräkningshjälp!AC$2)+1,FALSE),"")</f>
        <v/>
      </c>
      <c r="I526" s="116" t="str">
        <f>IF(D526&lt;&gt;"",VLOOKUP(ROW(E525),Beräkningshjälp!AC$2:AI$1082,COLUMN(Beräkningshjälp!AI$2)-COLUMN(Beräkningshjälp!AC$2)+1,FALSE),"")</f>
        <v/>
      </c>
    </row>
    <row r="527" spans="1:9" x14ac:dyDescent="0.25">
      <c r="A527" s="2" t="str">
        <f t="shared" si="16"/>
        <v/>
      </c>
      <c r="B527" s="136" t="str">
        <f>IF(D527&lt;&gt;"",'DATA TILL SLU'!$J$3,"")</f>
        <v/>
      </c>
      <c r="C527" s="146" t="str">
        <f>IF(D527&lt;&gt;"",'DATA TILL SLU'!$K$3,"")</f>
        <v/>
      </c>
      <c r="D527" s="2" t="str">
        <f>IF('DATA TILL SLU'!$D$7*1&lt;&gt;"",IF(COUNT(Beräkningshjälp!$AC$3:$AC$1082)&gt;=ROW(D526),'DATA TILL SLU'!$D$7*1,""),"")</f>
        <v/>
      </c>
      <c r="E527" s="136" t="str">
        <f>IF(D527&lt;&gt;"",VLOOKUP(ROW(E526),Beräkningshjälp!AC$2:AH$1082,COLUMN(Beräkningshjälp!AF$2)-COLUMN(Beräkningshjälp!AC$2)+1,FALSE),"")</f>
        <v/>
      </c>
      <c r="F527" s="352" t="str">
        <f t="shared" si="17"/>
        <v/>
      </c>
      <c r="G527" s="2" t="str">
        <f>IF(D527&lt;&gt;"",IF(VLOOKUP(VLOOKUP(E527,Beräkningshjälp!O$2:U$60,7,FALSE),Artuppgifter!$I$11:$P$22,8,FALSE)=TRUE,"Medelvikter!!","ALLA"),"")</f>
        <v/>
      </c>
      <c r="H527" s="2" t="str">
        <f>IF(D527&lt;&gt;"",VLOOKUP(ROW(H526),Beräkningshjälp!AC$2:AH$1082,COLUMN(Beräkningshjälp!AH$2)-COLUMN(Beräkningshjälp!AC$2)+1,FALSE),"")</f>
        <v/>
      </c>
      <c r="I527" s="116" t="str">
        <f>IF(D527&lt;&gt;"",VLOOKUP(ROW(E526),Beräkningshjälp!AC$2:AI$1082,COLUMN(Beräkningshjälp!AI$2)-COLUMN(Beräkningshjälp!AC$2)+1,FALSE),"")</f>
        <v/>
      </c>
    </row>
    <row r="528" spans="1:9" x14ac:dyDescent="0.25">
      <c r="A528" s="2" t="str">
        <f t="shared" si="16"/>
        <v/>
      </c>
      <c r="B528" s="136" t="str">
        <f>IF(D528&lt;&gt;"",'DATA TILL SLU'!$J$3,"")</f>
        <v/>
      </c>
      <c r="C528" s="146" t="str">
        <f>IF(D528&lt;&gt;"",'DATA TILL SLU'!$K$3,"")</f>
        <v/>
      </c>
      <c r="D528" s="2" t="str">
        <f>IF('DATA TILL SLU'!$D$7*1&lt;&gt;"",IF(COUNT(Beräkningshjälp!$AC$3:$AC$1082)&gt;=ROW(D527),'DATA TILL SLU'!$D$7*1,""),"")</f>
        <v/>
      </c>
      <c r="E528" s="136" t="str">
        <f>IF(D528&lt;&gt;"",VLOOKUP(ROW(E527),Beräkningshjälp!AC$2:AH$1082,COLUMN(Beräkningshjälp!AF$2)-COLUMN(Beräkningshjälp!AC$2)+1,FALSE),"")</f>
        <v/>
      </c>
      <c r="F528" s="352" t="str">
        <f t="shared" si="17"/>
        <v/>
      </c>
      <c r="G528" s="2" t="str">
        <f>IF(D528&lt;&gt;"",IF(VLOOKUP(VLOOKUP(E528,Beräkningshjälp!O$2:U$60,7,FALSE),Artuppgifter!$I$11:$P$22,8,FALSE)=TRUE,"Medelvikter!!","ALLA"),"")</f>
        <v/>
      </c>
      <c r="H528" s="2" t="str">
        <f>IF(D528&lt;&gt;"",VLOOKUP(ROW(H527),Beräkningshjälp!AC$2:AH$1082,COLUMN(Beräkningshjälp!AH$2)-COLUMN(Beräkningshjälp!AC$2)+1,FALSE),"")</f>
        <v/>
      </c>
      <c r="I528" s="116" t="str">
        <f>IF(D528&lt;&gt;"",VLOOKUP(ROW(E527),Beräkningshjälp!AC$2:AI$1082,COLUMN(Beräkningshjälp!AI$2)-COLUMN(Beräkningshjälp!AC$2)+1,FALSE),"")</f>
        <v/>
      </c>
    </row>
    <row r="529" spans="1:9" x14ac:dyDescent="0.25">
      <c r="A529" s="2" t="str">
        <f t="shared" si="16"/>
        <v/>
      </c>
      <c r="B529" s="136" t="str">
        <f>IF(D529&lt;&gt;"",'DATA TILL SLU'!$J$3,"")</f>
        <v/>
      </c>
      <c r="C529" s="146" t="str">
        <f>IF(D529&lt;&gt;"",'DATA TILL SLU'!$K$3,"")</f>
        <v/>
      </c>
      <c r="D529" s="2" t="str">
        <f>IF('DATA TILL SLU'!$D$7*1&lt;&gt;"",IF(COUNT(Beräkningshjälp!$AC$3:$AC$1082)&gt;=ROW(D528),'DATA TILL SLU'!$D$7*1,""),"")</f>
        <v/>
      </c>
      <c r="E529" s="136" t="str">
        <f>IF(D529&lt;&gt;"",VLOOKUP(ROW(E528),Beräkningshjälp!AC$2:AH$1082,COLUMN(Beräkningshjälp!AF$2)-COLUMN(Beräkningshjälp!AC$2)+1,FALSE),"")</f>
        <v/>
      </c>
      <c r="F529" s="352" t="str">
        <f t="shared" si="17"/>
        <v/>
      </c>
      <c r="G529" s="2" t="str">
        <f>IF(D529&lt;&gt;"",IF(VLOOKUP(VLOOKUP(E529,Beräkningshjälp!O$2:U$60,7,FALSE),Artuppgifter!$I$11:$P$22,8,FALSE)=TRUE,"Medelvikter!!","ALLA"),"")</f>
        <v/>
      </c>
      <c r="H529" s="2" t="str">
        <f>IF(D529&lt;&gt;"",VLOOKUP(ROW(H528),Beräkningshjälp!AC$2:AH$1082,COLUMN(Beräkningshjälp!AH$2)-COLUMN(Beräkningshjälp!AC$2)+1,FALSE),"")</f>
        <v/>
      </c>
      <c r="I529" s="116" t="str">
        <f>IF(D529&lt;&gt;"",VLOOKUP(ROW(E528),Beräkningshjälp!AC$2:AI$1082,COLUMN(Beräkningshjälp!AI$2)-COLUMN(Beräkningshjälp!AC$2)+1,FALSE),"")</f>
        <v/>
      </c>
    </row>
    <row r="530" spans="1:9" x14ac:dyDescent="0.25">
      <c r="A530" s="2" t="str">
        <f t="shared" si="16"/>
        <v/>
      </c>
      <c r="B530" s="136" t="str">
        <f>IF(D530&lt;&gt;"",'DATA TILL SLU'!$J$3,"")</f>
        <v/>
      </c>
      <c r="C530" s="146" t="str">
        <f>IF(D530&lt;&gt;"",'DATA TILL SLU'!$K$3,"")</f>
        <v/>
      </c>
      <c r="D530" s="2" t="str">
        <f>IF('DATA TILL SLU'!$D$7*1&lt;&gt;"",IF(COUNT(Beräkningshjälp!$AC$3:$AC$1082)&gt;=ROW(D529),'DATA TILL SLU'!$D$7*1,""),"")</f>
        <v/>
      </c>
      <c r="E530" s="136" t="str">
        <f>IF(D530&lt;&gt;"",VLOOKUP(ROW(E529),Beräkningshjälp!AC$2:AH$1082,COLUMN(Beräkningshjälp!AF$2)-COLUMN(Beräkningshjälp!AC$2)+1,FALSE),"")</f>
        <v/>
      </c>
      <c r="F530" s="352" t="str">
        <f t="shared" si="17"/>
        <v/>
      </c>
      <c r="G530" s="2" t="str">
        <f>IF(D530&lt;&gt;"",IF(VLOOKUP(VLOOKUP(E530,Beräkningshjälp!O$2:U$60,7,FALSE),Artuppgifter!$I$11:$P$22,8,FALSE)=TRUE,"Medelvikter!!","ALLA"),"")</f>
        <v/>
      </c>
      <c r="H530" s="2" t="str">
        <f>IF(D530&lt;&gt;"",VLOOKUP(ROW(H529),Beräkningshjälp!AC$2:AH$1082,COLUMN(Beräkningshjälp!AH$2)-COLUMN(Beräkningshjälp!AC$2)+1,FALSE),"")</f>
        <v/>
      </c>
      <c r="I530" s="116" t="str">
        <f>IF(D530&lt;&gt;"",VLOOKUP(ROW(E529),Beräkningshjälp!AC$2:AI$1082,COLUMN(Beräkningshjälp!AI$2)-COLUMN(Beräkningshjälp!AC$2)+1,FALSE),"")</f>
        <v/>
      </c>
    </row>
    <row r="531" spans="1:9" x14ac:dyDescent="0.25">
      <c r="A531" s="2" t="str">
        <f t="shared" si="16"/>
        <v/>
      </c>
      <c r="B531" s="136" t="str">
        <f>IF(D531&lt;&gt;"",'DATA TILL SLU'!$J$3,"")</f>
        <v/>
      </c>
      <c r="C531" s="146" t="str">
        <f>IF(D531&lt;&gt;"",'DATA TILL SLU'!$K$3,"")</f>
        <v/>
      </c>
      <c r="D531" s="2" t="str">
        <f>IF('DATA TILL SLU'!$D$7*1&lt;&gt;"",IF(COUNT(Beräkningshjälp!$AC$3:$AC$1082)&gt;=ROW(D530),'DATA TILL SLU'!$D$7*1,""),"")</f>
        <v/>
      </c>
      <c r="E531" s="136" t="str">
        <f>IF(D531&lt;&gt;"",VLOOKUP(ROW(E530),Beräkningshjälp!AC$2:AH$1082,COLUMN(Beräkningshjälp!AF$2)-COLUMN(Beräkningshjälp!AC$2)+1,FALSE),"")</f>
        <v/>
      </c>
      <c r="F531" s="352" t="str">
        <f t="shared" si="17"/>
        <v/>
      </c>
      <c r="G531" s="2" t="str">
        <f>IF(D531&lt;&gt;"",IF(VLOOKUP(VLOOKUP(E531,Beräkningshjälp!O$2:U$60,7,FALSE),Artuppgifter!$I$11:$P$22,8,FALSE)=TRUE,"Medelvikter!!","ALLA"),"")</f>
        <v/>
      </c>
      <c r="H531" s="2" t="str">
        <f>IF(D531&lt;&gt;"",VLOOKUP(ROW(H530),Beräkningshjälp!AC$2:AH$1082,COLUMN(Beräkningshjälp!AH$2)-COLUMN(Beräkningshjälp!AC$2)+1,FALSE),"")</f>
        <v/>
      </c>
      <c r="I531" s="116" t="str">
        <f>IF(D531&lt;&gt;"",VLOOKUP(ROW(E530),Beräkningshjälp!AC$2:AI$1082,COLUMN(Beräkningshjälp!AI$2)-COLUMN(Beräkningshjälp!AC$2)+1,FALSE),"")</f>
        <v/>
      </c>
    </row>
    <row r="532" spans="1:9" x14ac:dyDescent="0.25">
      <c r="A532" s="2" t="str">
        <f t="shared" si="16"/>
        <v/>
      </c>
      <c r="B532" s="136" t="str">
        <f>IF(D532&lt;&gt;"",'DATA TILL SLU'!$J$3,"")</f>
        <v/>
      </c>
      <c r="C532" s="146" t="str">
        <f>IF(D532&lt;&gt;"",'DATA TILL SLU'!$K$3,"")</f>
        <v/>
      </c>
      <c r="D532" s="2" t="str">
        <f>IF('DATA TILL SLU'!$D$7*1&lt;&gt;"",IF(COUNT(Beräkningshjälp!$AC$3:$AC$1082)&gt;=ROW(D531),'DATA TILL SLU'!$D$7*1,""),"")</f>
        <v/>
      </c>
      <c r="E532" s="136" t="str">
        <f>IF(D532&lt;&gt;"",VLOOKUP(ROW(E531),Beräkningshjälp!AC$2:AH$1082,COLUMN(Beräkningshjälp!AF$2)-COLUMN(Beräkningshjälp!AC$2)+1,FALSE),"")</f>
        <v/>
      </c>
      <c r="F532" s="352" t="str">
        <f t="shared" si="17"/>
        <v/>
      </c>
      <c r="G532" s="2" t="str">
        <f>IF(D532&lt;&gt;"",IF(VLOOKUP(VLOOKUP(E532,Beräkningshjälp!O$2:U$60,7,FALSE),Artuppgifter!$I$11:$P$22,8,FALSE)=TRUE,"Medelvikter!!","ALLA"),"")</f>
        <v/>
      </c>
      <c r="H532" s="2" t="str">
        <f>IF(D532&lt;&gt;"",VLOOKUP(ROW(H531),Beräkningshjälp!AC$2:AH$1082,COLUMN(Beräkningshjälp!AH$2)-COLUMN(Beräkningshjälp!AC$2)+1,FALSE),"")</f>
        <v/>
      </c>
      <c r="I532" s="116" t="str">
        <f>IF(D532&lt;&gt;"",VLOOKUP(ROW(E531),Beräkningshjälp!AC$2:AI$1082,COLUMN(Beräkningshjälp!AI$2)-COLUMN(Beräkningshjälp!AC$2)+1,FALSE),"")</f>
        <v/>
      </c>
    </row>
    <row r="533" spans="1:9" x14ac:dyDescent="0.25">
      <c r="A533" s="2" t="str">
        <f t="shared" si="16"/>
        <v/>
      </c>
      <c r="B533" s="136" t="str">
        <f>IF(D533&lt;&gt;"",'DATA TILL SLU'!$J$3,"")</f>
        <v/>
      </c>
      <c r="C533" s="146" t="str">
        <f>IF(D533&lt;&gt;"",'DATA TILL SLU'!$K$3,"")</f>
        <v/>
      </c>
      <c r="D533" s="2" t="str">
        <f>IF('DATA TILL SLU'!$D$7*1&lt;&gt;"",IF(COUNT(Beräkningshjälp!$AC$3:$AC$1082)&gt;=ROW(D532),'DATA TILL SLU'!$D$7*1,""),"")</f>
        <v/>
      </c>
      <c r="E533" s="136" t="str">
        <f>IF(D533&lt;&gt;"",VLOOKUP(ROW(E532),Beräkningshjälp!AC$2:AH$1082,COLUMN(Beräkningshjälp!AF$2)-COLUMN(Beräkningshjälp!AC$2)+1,FALSE),"")</f>
        <v/>
      </c>
      <c r="F533" s="352" t="str">
        <f t="shared" si="17"/>
        <v/>
      </c>
      <c r="G533" s="2" t="str">
        <f>IF(D533&lt;&gt;"",IF(VLOOKUP(VLOOKUP(E533,Beräkningshjälp!O$2:U$60,7,FALSE),Artuppgifter!$I$11:$P$22,8,FALSE)=TRUE,"Medelvikter!!","ALLA"),"")</f>
        <v/>
      </c>
      <c r="H533" s="2" t="str">
        <f>IF(D533&lt;&gt;"",VLOOKUP(ROW(H532),Beräkningshjälp!AC$2:AH$1082,COLUMN(Beräkningshjälp!AH$2)-COLUMN(Beräkningshjälp!AC$2)+1,FALSE),"")</f>
        <v/>
      </c>
      <c r="I533" s="116" t="str">
        <f>IF(D533&lt;&gt;"",VLOOKUP(ROW(E532),Beräkningshjälp!AC$2:AI$1082,COLUMN(Beräkningshjälp!AI$2)-COLUMN(Beräkningshjälp!AC$2)+1,FALSE),"")</f>
        <v/>
      </c>
    </row>
    <row r="534" spans="1:9" x14ac:dyDescent="0.25">
      <c r="A534" s="2" t="str">
        <f t="shared" si="16"/>
        <v/>
      </c>
      <c r="B534" s="136" t="str">
        <f>IF(D534&lt;&gt;"",'DATA TILL SLU'!$J$3,"")</f>
        <v/>
      </c>
      <c r="C534" s="146" t="str">
        <f>IF(D534&lt;&gt;"",'DATA TILL SLU'!$K$3,"")</f>
        <v/>
      </c>
      <c r="D534" s="2" t="str">
        <f>IF('DATA TILL SLU'!$D$7*1&lt;&gt;"",IF(COUNT(Beräkningshjälp!$AC$3:$AC$1082)&gt;=ROW(D533),'DATA TILL SLU'!$D$7*1,""),"")</f>
        <v/>
      </c>
      <c r="E534" s="136" t="str">
        <f>IF(D534&lt;&gt;"",VLOOKUP(ROW(E533),Beräkningshjälp!AC$2:AH$1082,COLUMN(Beräkningshjälp!AF$2)-COLUMN(Beräkningshjälp!AC$2)+1,FALSE),"")</f>
        <v/>
      </c>
      <c r="F534" s="352" t="str">
        <f t="shared" si="17"/>
        <v/>
      </c>
      <c r="G534" s="2" t="str">
        <f>IF(D534&lt;&gt;"",IF(VLOOKUP(VLOOKUP(E534,Beräkningshjälp!O$2:U$60,7,FALSE),Artuppgifter!$I$11:$P$22,8,FALSE)=TRUE,"Medelvikter!!","ALLA"),"")</f>
        <v/>
      </c>
      <c r="H534" s="2" t="str">
        <f>IF(D534&lt;&gt;"",VLOOKUP(ROW(H533),Beräkningshjälp!AC$2:AH$1082,COLUMN(Beräkningshjälp!AH$2)-COLUMN(Beräkningshjälp!AC$2)+1,FALSE),"")</f>
        <v/>
      </c>
      <c r="I534" s="116" t="str">
        <f>IF(D534&lt;&gt;"",VLOOKUP(ROW(E533),Beräkningshjälp!AC$2:AI$1082,COLUMN(Beräkningshjälp!AI$2)-COLUMN(Beräkningshjälp!AC$2)+1,FALSE),"")</f>
        <v/>
      </c>
    </row>
    <row r="535" spans="1:9" x14ac:dyDescent="0.25">
      <c r="A535" s="2" t="str">
        <f t="shared" si="16"/>
        <v/>
      </c>
      <c r="B535" s="136" t="str">
        <f>IF(D535&lt;&gt;"",'DATA TILL SLU'!$J$3,"")</f>
        <v/>
      </c>
      <c r="C535" s="146" t="str">
        <f>IF(D535&lt;&gt;"",'DATA TILL SLU'!$K$3,"")</f>
        <v/>
      </c>
      <c r="D535" s="2" t="str">
        <f>IF('DATA TILL SLU'!$D$7*1&lt;&gt;"",IF(COUNT(Beräkningshjälp!$AC$3:$AC$1082)&gt;=ROW(D534),'DATA TILL SLU'!$D$7*1,""),"")</f>
        <v/>
      </c>
      <c r="E535" s="136" t="str">
        <f>IF(D535&lt;&gt;"",VLOOKUP(ROW(E534),Beräkningshjälp!AC$2:AH$1082,COLUMN(Beräkningshjälp!AF$2)-COLUMN(Beräkningshjälp!AC$2)+1,FALSE),"")</f>
        <v/>
      </c>
      <c r="F535" s="352" t="str">
        <f t="shared" si="17"/>
        <v/>
      </c>
      <c r="G535" s="2" t="str">
        <f>IF(D535&lt;&gt;"",IF(VLOOKUP(VLOOKUP(E535,Beräkningshjälp!O$2:U$60,7,FALSE),Artuppgifter!$I$11:$P$22,8,FALSE)=TRUE,"Medelvikter!!","ALLA"),"")</f>
        <v/>
      </c>
      <c r="H535" s="2" t="str">
        <f>IF(D535&lt;&gt;"",VLOOKUP(ROW(H534),Beräkningshjälp!AC$2:AH$1082,COLUMN(Beräkningshjälp!AH$2)-COLUMN(Beräkningshjälp!AC$2)+1,FALSE),"")</f>
        <v/>
      </c>
      <c r="I535" s="116" t="str">
        <f>IF(D535&lt;&gt;"",VLOOKUP(ROW(E534),Beräkningshjälp!AC$2:AI$1082,COLUMN(Beräkningshjälp!AI$2)-COLUMN(Beräkningshjälp!AC$2)+1,FALSE),"")</f>
        <v/>
      </c>
    </row>
    <row r="536" spans="1:9" x14ac:dyDescent="0.25">
      <c r="A536" s="2" t="str">
        <f t="shared" si="16"/>
        <v/>
      </c>
      <c r="B536" s="136" t="str">
        <f>IF(D536&lt;&gt;"",'DATA TILL SLU'!$J$3,"")</f>
        <v/>
      </c>
      <c r="C536" s="146" t="str">
        <f>IF(D536&lt;&gt;"",'DATA TILL SLU'!$K$3,"")</f>
        <v/>
      </c>
      <c r="D536" s="2" t="str">
        <f>IF('DATA TILL SLU'!$D$7*1&lt;&gt;"",IF(COUNT(Beräkningshjälp!$AC$3:$AC$1082)&gt;=ROW(D535),'DATA TILL SLU'!$D$7*1,""),"")</f>
        <v/>
      </c>
      <c r="E536" s="136" t="str">
        <f>IF(D536&lt;&gt;"",VLOOKUP(ROW(E535),Beräkningshjälp!AC$2:AH$1082,COLUMN(Beräkningshjälp!AF$2)-COLUMN(Beräkningshjälp!AC$2)+1,FALSE),"")</f>
        <v/>
      </c>
      <c r="F536" s="352" t="str">
        <f t="shared" si="17"/>
        <v/>
      </c>
      <c r="G536" s="2" t="str">
        <f>IF(D536&lt;&gt;"",IF(VLOOKUP(VLOOKUP(E536,Beräkningshjälp!O$2:U$60,7,FALSE),Artuppgifter!$I$11:$P$22,8,FALSE)=TRUE,"Medelvikter!!","ALLA"),"")</f>
        <v/>
      </c>
      <c r="H536" s="2" t="str">
        <f>IF(D536&lt;&gt;"",VLOOKUP(ROW(H535),Beräkningshjälp!AC$2:AH$1082,COLUMN(Beräkningshjälp!AH$2)-COLUMN(Beräkningshjälp!AC$2)+1,FALSE),"")</f>
        <v/>
      </c>
      <c r="I536" s="116" t="str">
        <f>IF(D536&lt;&gt;"",VLOOKUP(ROW(E535),Beräkningshjälp!AC$2:AI$1082,COLUMN(Beräkningshjälp!AI$2)-COLUMN(Beräkningshjälp!AC$2)+1,FALSE),"")</f>
        <v/>
      </c>
    </row>
    <row r="537" spans="1:9" x14ac:dyDescent="0.25">
      <c r="A537" s="2" t="str">
        <f t="shared" si="16"/>
        <v/>
      </c>
      <c r="B537" s="136" t="str">
        <f>IF(D537&lt;&gt;"",'DATA TILL SLU'!$J$3,"")</f>
        <v/>
      </c>
      <c r="C537" s="146" t="str">
        <f>IF(D537&lt;&gt;"",'DATA TILL SLU'!$K$3,"")</f>
        <v/>
      </c>
      <c r="D537" s="2" t="str">
        <f>IF('DATA TILL SLU'!$D$7*1&lt;&gt;"",IF(COUNT(Beräkningshjälp!$AC$3:$AC$1082)&gt;=ROW(D536),'DATA TILL SLU'!$D$7*1,""),"")</f>
        <v/>
      </c>
      <c r="E537" s="136" t="str">
        <f>IF(D537&lt;&gt;"",VLOOKUP(ROW(E536),Beräkningshjälp!AC$2:AH$1082,COLUMN(Beräkningshjälp!AF$2)-COLUMN(Beräkningshjälp!AC$2)+1,FALSE),"")</f>
        <v/>
      </c>
      <c r="F537" s="352" t="str">
        <f t="shared" si="17"/>
        <v/>
      </c>
      <c r="G537" s="2" t="str">
        <f>IF(D537&lt;&gt;"",IF(VLOOKUP(VLOOKUP(E537,Beräkningshjälp!O$2:U$60,7,FALSE),Artuppgifter!$I$11:$P$22,8,FALSE)=TRUE,"Medelvikter!!","ALLA"),"")</f>
        <v/>
      </c>
      <c r="H537" s="2" t="str">
        <f>IF(D537&lt;&gt;"",VLOOKUP(ROW(H536),Beräkningshjälp!AC$2:AH$1082,COLUMN(Beräkningshjälp!AH$2)-COLUMN(Beräkningshjälp!AC$2)+1,FALSE),"")</f>
        <v/>
      </c>
      <c r="I537" s="116" t="str">
        <f>IF(D537&lt;&gt;"",VLOOKUP(ROW(E536),Beräkningshjälp!AC$2:AI$1082,COLUMN(Beräkningshjälp!AI$2)-COLUMN(Beräkningshjälp!AC$2)+1,FALSE),"")</f>
        <v/>
      </c>
    </row>
    <row r="538" spans="1:9" x14ac:dyDescent="0.25">
      <c r="A538" s="2" t="str">
        <f t="shared" si="16"/>
        <v/>
      </c>
      <c r="B538" s="136" t="str">
        <f>IF(D538&lt;&gt;"",'DATA TILL SLU'!$J$3,"")</f>
        <v/>
      </c>
      <c r="C538" s="146" t="str">
        <f>IF(D538&lt;&gt;"",'DATA TILL SLU'!$K$3,"")</f>
        <v/>
      </c>
      <c r="D538" s="2" t="str">
        <f>IF('DATA TILL SLU'!$D$7*1&lt;&gt;"",IF(COUNT(Beräkningshjälp!$AC$3:$AC$1082)&gt;=ROW(D537),'DATA TILL SLU'!$D$7*1,""),"")</f>
        <v/>
      </c>
      <c r="E538" s="136" t="str">
        <f>IF(D538&lt;&gt;"",VLOOKUP(ROW(E537),Beräkningshjälp!AC$2:AH$1082,COLUMN(Beräkningshjälp!AF$2)-COLUMN(Beräkningshjälp!AC$2)+1,FALSE),"")</f>
        <v/>
      </c>
      <c r="F538" s="352" t="str">
        <f t="shared" si="17"/>
        <v/>
      </c>
      <c r="G538" s="2" t="str">
        <f>IF(D538&lt;&gt;"",IF(VLOOKUP(VLOOKUP(E538,Beräkningshjälp!O$2:U$60,7,FALSE),Artuppgifter!$I$11:$P$22,8,FALSE)=TRUE,"Medelvikter!!","ALLA"),"")</f>
        <v/>
      </c>
      <c r="H538" s="2" t="str">
        <f>IF(D538&lt;&gt;"",VLOOKUP(ROW(H537),Beräkningshjälp!AC$2:AH$1082,COLUMN(Beräkningshjälp!AH$2)-COLUMN(Beräkningshjälp!AC$2)+1,FALSE),"")</f>
        <v/>
      </c>
      <c r="I538" s="116" t="str">
        <f>IF(D538&lt;&gt;"",VLOOKUP(ROW(E537),Beräkningshjälp!AC$2:AI$1082,COLUMN(Beräkningshjälp!AI$2)-COLUMN(Beräkningshjälp!AC$2)+1,FALSE),"")</f>
        <v/>
      </c>
    </row>
    <row r="539" spans="1:9" x14ac:dyDescent="0.25">
      <c r="A539" s="2" t="str">
        <f t="shared" si="16"/>
        <v/>
      </c>
      <c r="B539" s="136" t="str">
        <f>IF(D539&lt;&gt;"",'DATA TILL SLU'!$J$3,"")</f>
        <v/>
      </c>
      <c r="C539" s="146" t="str">
        <f>IF(D539&lt;&gt;"",'DATA TILL SLU'!$K$3,"")</f>
        <v/>
      </c>
      <c r="D539" s="2" t="str">
        <f>IF('DATA TILL SLU'!$D$7*1&lt;&gt;"",IF(COUNT(Beräkningshjälp!$AC$3:$AC$1082)&gt;=ROW(D538),'DATA TILL SLU'!$D$7*1,""),"")</f>
        <v/>
      </c>
      <c r="E539" s="136" t="str">
        <f>IF(D539&lt;&gt;"",VLOOKUP(ROW(E538),Beräkningshjälp!AC$2:AH$1082,COLUMN(Beräkningshjälp!AF$2)-COLUMN(Beräkningshjälp!AC$2)+1,FALSE),"")</f>
        <v/>
      </c>
      <c r="F539" s="352" t="str">
        <f t="shared" si="17"/>
        <v/>
      </c>
      <c r="G539" s="2" t="str">
        <f>IF(D539&lt;&gt;"",IF(VLOOKUP(VLOOKUP(E539,Beräkningshjälp!O$2:U$60,7,FALSE),Artuppgifter!$I$11:$P$22,8,FALSE)=TRUE,"Medelvikter!!","ALLA"),"")</f>
        <v/>
      </c>
      <c r="H539" s="2" t="str">
        <f>IF(D539&lt;&gt;"",VLOOKUP(ROW(H538),Beräkningshjälp!AC$2:AH$1082,COLUMN(Beräkningshjälp!AH$2)-COLUMN(Beräkningshjälp!AC$2)+1,FALSE),"")</f>
        <v/>
      </c>
      <c r="I539" s="116" t="str">
        <f>IF(D539&lt;&gt;"",VLOOKUP(ROW(E538),Beräkningshjälp!AC$2:AI$1082,COLUMN(Beräkningshjälp!AI$2)-COLUMN(Beräkningshjälp!AC$2)+1,FALSE),"")</f>
        <v/>
      </c>
    </row>
    <row r="540" spans="1:9" x14ac:dyDescent="0.25">
      <c r="A540" s="2" t="str">
        <f t="shared" si="16"/>
        <v/>
      </c>
      <c r="B540" s="136" t="str">
        <f>IF(D540&lt;&gt;"",'DATA TILL SLU'!$J$3,"")</f>
        <v/>
      </c>
      <c r="C540" s="146" t="str">
        <f>IF(D540&lt;&gt;"",'DATA TILL SLU'!$K$3,"")</f>
        <v/>
      </c>
      <c r="D540" s="2" t="str">
        <f>IF('DATA TILL SLU'!$D$7*1&lt;&gt;"",IF(COUNT(Beräkningshjälp!$AC$3:$AC$1082)&gt;=ROW(D539),'DATA TILL SLU'!$D$7*1,""),"")</f>
        <v/>
      </c>
      <c r="E540" s="136" t="str">
        <f>IF(D540&lt;&gt;"",VLOOKUP(ROW(E539),Beräkningshjälp!AC$2:AH$1082,COLUMN(Beräkningshjälp!AF$2)-COLUMN(Beräkningshjälp!AC$2)+1,FALSE),"")</f>
        <v/>
      </c>
      <c r="F540" s="352" t="str">
        <f t="shared" si="17"/>
        <v/>
      </c>
      <c r="G540" s="2" t="str">
        <f>IF(D540&lt;&gt;"",IF(VLOOKUP(VLOOKUP(E540,Beräkningshjälp!O$2:U$60,7,FALSE),Artuppgifter!$I$11:$P$22,8,FALSE)=TRUE,"Medelvikter!!","ALLA"),"")</f>
        <v/>
      </c>
      <c r="H540" s="2" t="str">
        <f>IF(D540&lt;&gt;"",VLOOKUP(ROW(H539),Beräkningshjälp!AC$2:AH$1082,COLUMN(Beräkningshjälp!AH$2)-COLUMN(Beräkningshjälp!AC$2)+1,FALSE),"")</f>
        <v/>
      </c>
      <c r="I540" s="116" t="str">
        <f>IF(D540&lt;&gt;"",VLOOKUP(ROW(E539),Beräkningshjälp!AC$2:AI$1082,COLUMN(Beräkningshjälp!AI$2)-COLUMN(Beräkningshjälp!AC$2)+1,FALSE),"")</f>
        <v/>
      </c>
    </row>
    <row r="541" spans="1:9" x14ac:dyDescent="0.25">
      <c r="A541" s="2" t="str">
        <f t="shared" si="16"/>
        <v/>
      </c>
      <c r="B541" s="136" t="str">
        <f>IF(D541&lt;&gt;"",'DATA TILL SLU'!$J$3,"")</f>
        <v/>
      </c>
      <c r="C541" s="146" t="str">
        <f>IF(D541&lt;&gt;"",'DATA TILL SLU'!$K$3,"")</f>
        <v/>
      </c>
      <c r="D541" s="2" t="str">
        <f>IF('DATA TILL SLU'!$D$7*1&lt;&gt;"",IF(COUNT(Beräkningshjälp!$AC$3:$AC$1082)&gt;=ROW(D540),'DATA TILL SLU'!$D$7*1,""),"")</f>
        <v/>
      </c>
      <c r="E541" s="136" t="str">
        <f>IF(D541&lt;&gt;"",VLOOKUP(ROW(E540),Beräkningshjälp!AC$2:AH$1082,COLUMN(Beräkningshjälp!AF$2)-COLUMN(Beräkningshjälp!AC$2)+1,FALSE),"")</f>
        <v/>
      </c>
      <c r="F541" s="352" t="str">
        <f t="shared" si="17"/>
        <v/>
      </c>
      <c r="G541" s="2" t="str">
        <f>IF(D541&lt;&gt;"",IF(VLOOKUP(VLOOKUP(E541,Beräkningshjälp!O$2:U$60,7,FALSE),Artuppgifter!$I$11:$P$22,8,FALSE)=TRUE,"Medelvikter!!","ALLA"),"")</f>
        <v/>
      </c>
      <c r="H541" s="2" t="str">
        <f>IF(D541&lt;&gt;"",VLOOKUP(ROW(H540),Beräkningshjälp!AC$2:AH$1082,COLUMN(Beräkningshjälp!AH$2)-COLUMN(Beräkningshjälp!AC$2)+1,FALSE),"")</f>
        <v/>
      </c>
      <c r="I541" s="116" t="str">
        <f>IF(D541&lt;&gt;"",VLOOKUP(ROW(E540),Beräkningshjälp!AC$2:AI$1082,COLUMN(Beräkningshjälp!AI$2)-COLUMN(Beräkningshjälp!AC$2)+1,FALSE),"")</f>
        <v/>
      </c>
    </row>
    <row r="542" spans="1:9" x14ac:dyDescent="0.25">
      <c r="A542" s="2" t="str">
        <f t="shared" si="16"/>
        <v/>
      </c>
      <c r="B542" s="136" t="str">
        <f>IF(D542&lt;&gt;"",'DATA TILL SLU'!$J$3,"")</f>
        <v/>
      </c>
      <c r="C542" s="146" t="str">
        <f>IF(D542&lt;&gt;"",'DATA TILL SLU'!$K$3,"")</f>
        <v/>
      </c>
      <c r="D542" s="2" t="str">
        <f>IF('DATA TILL SLU'!$D$7*1&lt;&gt;"",IF(COUNT(Beräkningshjälp!$AC$3:$AC$1082)&gt;=ROW(D541),'DATA TILL SLU'!$D$7*1,""),"")</f>
        <v/>
      </c>
      <c r="E542" s="136" t="str">
        <f>IF(D542&lt;&gt;"",VLOOKUP(ROW(E541),Beräkningshjälp!AC$2:AH$1082,COLUMN(Beräkningshjälp!AF$2)-COLUMN(Beräkningshjälp!AC$2)+1,FALSE),"")</f>
        <v/>
      </c>
      <c r="F542" s="352" t="str">
        <f t="shared" si="17"/>
        <v/>
      </c>
      <c r="G542" s="2" t="str">
        <f>IF(D542&lt;&gt;"",IF(VLOOKUP(VLOOKUP(E542,Beräkningshjälp!O$2:U$60,7,FALSE),Artuppgifter!$I$11:$P$22,8,FALSE)=TRUE,"Medelvikter!!","ALLA"),"")</f>
        <v/>
      </c>
      <c r="H542" s="2" t="str">
        <f>IF(D542&lt;&gt;"",VLOOKUP(ROW(H541),Beräkningshjälp!AC$2:AH$1082,COLUMN(Beräkningshjälp!AH$2)-COLUMN(Beräkningshjälp!AC$2)+1,FALSE),"")</f>
        <v/>
      </c>
      <c r="I542" s="116" t="str">
        <f>IF(D542&lt;&gt;"",VLOOKUP(ROW(E541),Beräkningshjälp!AC$2:AI$1082,COLUMN(Beräkningshjälp!AI$2)-COLUMN(Beräkningshjälp!AC$2)+1,FALSE),"")</f>
        <v/>
      </c>
    </row>
    <row r="543" spans="1:9" x14ac:dyDescent="0.25">
      <c r="A543" s="2" t="str">
        <f t="shared" si="16"/>
        <v/>
      </c>
      <c r="B543" s="136" t="str">
        <f>IF(D543&lt;&gt;"",'DATA TILL SLU'!$J$3,"")</f>
        <v/>
      </c>
      <c r="C543" s="146" t="str">
        <f>IF(D543&lt;&gt;"",'DATA TILL SLU'!$K$3,"")</f>
        <v/>
      </c>
      <c r="D543" s="2" t="str">
        <f>IF('DATA TILL SLU'!$D$7*1&lt;&gt;"",IF(COUNT(Beräkningshjälp!$AC$3:$AC$1082)&gt;=ROW(D542),'DATA TILL SLU'!$D$7*1,""),"")</f>
        <v/>
      </c>
      <c r="E543" s="136" t="str">
        <f>IF(D543&lt;&gt;"",VLOOKUP(ROW(E542),Beräkningshjälp!AC$2:AH$1082,COLUMN(Beräkningshjälp!AF$2)-COLUMN(Beräkningshjälp!AC$2)+1,FALSE),"")</f>
        <v/>
      </c>
      <c r="F543" s="352" t="str">
        <f t="shared" si="17"/>
        <v/>
      </c>
      <c r="G543" s="2" t="str">
        <f>IF(D543&lt;&gt;"",IF(VLOOKUP(VLOOKUP(E543,Beräkningshjälp!O$2:U$60,7,FALSE),Artuppgifter!$I$11:$P$22,8,FALSE)=TRUE,"Medelvikter!!","ALLA"),"")</f>
        <v/>
      </c>
      <c r="H543" s="2" t="str">
        <f>IF(D543&lt;&gt;"",VLOOKUP(ROW(H542),Beräkningshjälp!AC$2:AH$1082,COLUMN(Beräkningshjälp!AH$2)-COLUMN(Beräkningshjälp!AC$2)+1,FALSE),"")</f>
        <v/>
      </c>
      <c r="I543" s="116" t="str">
        <f>IF(D543&lt;&gt;"",VLOOKUP(ROW(E542),Beräkningshjälp!AC$2:AI$1082,COLUMN(Beräkningshjälp!AI$2)-COLUMN(Beräkningshjälp!AC$2)+1,FALSE),"")</f>
        <v/>
      </c>
    </row>
    <row r="544" spans="1:9" x14ac:dyDescent="0.25">
      <c r="A544" s="2" t="str">
        <f t="shared" si="16"/>
        <v/>
      </c>
      <c r="B544" s="136" t="str">
        <f>IF(D544&lt;&gt;"",'DATA TILL SLU'!$J$3,"")</f>
        <v/>
      </c>
      <c r="C544" s="146" t="str">
        <f>IF(D544&lt;&gt;"",'DATA TILL SLU'!$K$3,"")</f>
        <v/>
      </c>
      <c r="D544" s="2" t="str">
        <f>IF('DATA TILL SLU'!$D$7*1&lt;&gt;"",IF(COUNT(Beräkningshjälp!$AC$3:$AC$1082)&gt;=ROW(D543),'DATA TILL SLU'!$D$7*1,""),"")</f>
        <v/>
      </c>
      <c r="E544" s="136" t="str">
        <f>IF(D544&lt;&gt;"",VLOOKUP(ROW(E543),Beräkningshjälp!AC$2:AH$1082,COLUMN(Beräkningshjälp!AF$2)-COLUMN(Beräkningshjälp!AC$2)+1,FALSE),"")</f>
        <v/>
      </c>
      <c r="F544" s="352" t="str">
        <f t="shared" si="17"/>
        <v/>
      </c>
      <c r="G544" s="2" t="str">
        <f>IF(D544&lt;&gt;"",IF(VLOOKUP(VLOOKUP(E544,Beräkningshjälp!O$2:U$60,7,FALSE),Artuppgifter!$I$11:$P$22,8,FALSE)=TRUE,"Medelvikter!!","ALLA"),"")</f>
        <v/>
      </c>
      <c r="H544" s="2" t="str">
        <f>IF(D544&lt;&gt;"",VLOOKUP(ROW(H543),Beräkningshjälp!AC$2:AH$1082,COLUMN(Beräkningshjälp!AH$2)-COLUMN(Beräkningshjälp!AC$2)+1,FALSE),"")</f>
        <v/>
      </c>
      <c r="I544" s="116" t="str">
        <f>IF(D544&lt;&gt;"",VLOOKUP(ROW(E543),Beräkningshjälp!AC$2:AI$1082,COLUMN(Beräkningshjälp!AI$2)-COLUMN(Beräkningshjälp!AC$2)+1,FALSE),"")</f>
        <v/>
      </c>
    </row>
    <row r="545" spans="1:9" x14ac:dyDescent="0.25">
      <c r="A545" s="2" t="str">
        <f t="shared" si="16"/>
        <v/>
      </c>
      <c r="B545" s="136" t="str">
        <f>IF(D545&lt;&gt;"",'DATA TILL SLU'!$J$3,"")</f>
        <v/>
      </c>
      <c r="C545" s="146" t="str">
        <f>IF(D545&lt;&gt;"",'DATA TILL SLU'!$K$3,"")</f>
        <v/>
      </c>
      <c r="D545" s="2" t="str">
        <f>IF('DATA TILL SLU'!$D$7*1&lt;&gt;"",IF(COUNT(Beräkningshjälp!$AC$3:$AC$1082)&gt;=ROW(D544),'DATA TILL SLU'!$D$7*1,""),"")</f>
        <v/>
      </c>
      <c r="E545" s="136" t="str">
        <f>IF(D545&lt;&gt;"",VLOOKUP(ROW(E544),Beräkningshjälp!AC$2:AH$1082,COLUMN(Beräkningshjälp!AF$2)-COLUMN(Beräkningshjälp!AC$2)+1,FALSE),"")</f>
        <v/>
      </c>
      <c r="F545" s="352" t="str">
        <f t="shared" si="17"/>
        <v/>
      </c>
      <c r="G545" s="2" t="str">
        <f>IF(D545&lt;&gt;"",IF(VLOOKUP(VLOOKUP(E545,Beräkningshjälp!O$2:U$60,7,FALSE),Artuppgifter!$I$11:$P$22,8,FALSE)=TRUE,"Medelvikter!!","ALLA"),"")</f>
        <v/>
      </c>
      <c r="H545" s="2" t="str">
        <f>IF(D545&lt;&gt;"",VLOOKUP(ROW(H544),Beräkningshjälp!AC$2:AH$1082,COLUMN(Beräkningshjälp!AH$2)-COLUMN(Beräkningshjälp!AC$2)+1,FALSE),"")</f>
        <v/>
      </c>
      <c r="I545" s="116" t="str">
        <f>IF(D545&lt;&gt;"",VLOOKUP(ROW(E544),Beräkningshjälp!AC$2:AI$1082,COLUMN(Beräkningshjälp!AI$2)-COLUMN(Beräkningshjälp!AC$2)+1,FALSE),"")</f>
        <v/>
      </c>
    </row>
    <row r="546" spans="1:9" x14ac:dyDescent="0.25">
      <c r="A546" s="2" t="str">
        <f t="shared" si="16"/>
        <v/>
      </c>
      <c r="B546" s="136" t="str">
        <f>IF(D546&lt;&gt;"",'DATA TILL SLU'!$J$3,"")</f>
        <v/>
      </c>
      <c r="C546" s="146" t="str">
        <f>IF(D546&lt;&gt;"",'DATA TILL SLU'!$K$3,"")</f>
        <v/>
      </c>
      <c r="D546" s="2" t="str">
        <f>IF('DATA TILL SLU'!$D$7*1&lt;&gt;"",IF(COUNT(Beräkningshjälp!$AC$3:$AC$1082)&gt;=ROW(D545),'DATA TILL SLU'!$D$7*1,""),"")</f>
        <v/>
      </c>
      <c r="E546" s="136" t="str">
        <f>IF(D546&lt;&gt;"",VLOOKUP(ROW(E545),Beräkningshjälp!AC$2:AH$1082,COLUMN(Beräkningshjälp!AF$2)-COLUMN(Beräkningshjälp!AC$2)+1,FALSE),"")</f>
        <v/>
      </c>
      <c r="F546" s="352" t="str">
        <f t="shared" si="17"/>
        <v/>
      </c>
      <c r="G546" s="2" t="str">
        <f>IF(D546&lt;&gt;"",IF(VLOOKUP(VLOOKUP(E546,Beräkningshjälp!O$2:U$60,7,FALSE),Artuppgifter!$I$11:$P$22,8,FALSE)=TRUE,"Medelvikter!!","ALLA"),"")</f>
        <v/>
      </c>
      <c r="H546" s="2" t="str">
        <f>IF(D546&lt;&gt;"",VLOOKUP(ROW(H545),Beräkningshjälp!AC$2:AH$1082,COLUMN(Beräkningshjälp!AH$2)-COLUMN(Beräkningshjälp!AC$2)+1,FALSE),"")</f>
        <v/>
      </c>
      <c r="I546" s="116" t="str">
        <f>IF(D546&lt;&gt;"",VLOOKUP(ROW(E545),Beräkningshjälp!AC$2:AI$1082,COLUMN(Beräkningshjälp!AI$2)-COLUMN(Beräkningshjälp!AC$2)+1,FALSE),"")</f>
        <v/>
      </c>
    </row>
    <row r="547" spans="1:9" x14ac:dyDescent="0.25">
      <c r="A547" s="2" t="str">
        <f t="shared" si="16"/>
        <v/>
      </c>
      <c r="B547" s="136" t="str">
        <f>IF(D547&lt;&gt;"",'DATA TILL SLU'!$J$3,"")</f>
        <v/>
      </c>
      <c r="C547" s="146" t="str">
        <f>IF(D547&lt;&gt;"",'DATA TILL SLU'!$K$3,"")</f>
        <v/>
      </c>
      <c r="D547" s="2" t="str">
        <f>IF('DATA TILL SLU'!$D$7*1&lt;&gt;"",IF(COUNT(Beräkningshjälp!$AC$3:$AC$1082)&gt;=ROW(D546),'DATA TILL SLU'!$D$7*1,""),"")</f>
        <v/>
      </c>
      <c r="E547" s="136" t="str">
        <f>IF(D547&lt;&gt;"",VLOOKUP(ROW(E546),Beräkningshjälp!AC$2:AH$1082,COLUMN(Beräkningshjälp!AF$2)-COLUMN(Beräkningshjälp!AC$2)+1,FALSE),"")</f>
        <v/>
      </c>
      <c r="F547" s="352" t="str">
        <f t="shared" si="17"/>
        <v/>
      </c>
      <c r="G547" s="2" t="str">
        <f>IF(D547&lt;&gt;"",IF(VLOOKUP(VLOOKUP(E547,Beräkningshjälp!O$2:U$60,7,FALSE),Artuppgifter!$I$11:$P$22,8,FALSE)=TRUE,"Medelvikter!!","ALLA"),"")</f>
        <v/>
      </c>
      <c r="H547" s="2" t="str">
        <f>IF(D547&lt;&gt;"",VLOOKUP(ROW(H546),Beräkningshjälp!AC$2:AH$1082,COLUMN(Beräkningshjälp!AH$2)-COLUMN(Beräkningshjälp!AC$2)+1,FALSE),"")</f>
        <v/>
      </c>
      <c r="I547" s="116" t="str">
        <f>IF(D547&lt;&gt;"",VLOOKUP(ROW(E546),Beräkningshjälp!AC$2:AI$1082,COLUMN(Beräkningshjälp!AI$2)-COLUMN(Beräkningshjälp!AC$2)+1,FALSE),"")</f>
        <v/>
      </c>
    </row>
    <row r="548" spans="1:9" x14ac:dyDescent="0.25">
      <c r="A548" s="2" t="str">
        <f t="shared" si="16"/>
        <v/>
      </c>
      <c r="B548" s="136" t="str">
        <f>IF(D548&lt;&gt;"",'DATA TILL SLU'!$J$3,"")</f>
        <v/>
      </c>
      <c r="C548" s="146" t="str">
        <f>IF(D548&lt;&gt;"",'DATA TILL SLU'!$K$3,"")</f>
        <v/>
      </c>
      <c r="D548" s="2" t="str">
        <f>IF('DATA TILL SLU'!$D$7*1&lt;&gt;"",IF(COUNT(Beräkningshjälp!$AC$3:$AC$1082)&gt;=ROW(D547),'DATA TILL SLU'!$D$7*1,""),"")</f>
        <v/>
      </c>
      <c r="E548" s="136" t="str">
        <f>IF(D548&lt;&gt;"",VLOOKUP(ROW(E547),Beräkningshjälp!AC$2:AH$1082,COLUMN(Beräkningshjälp!AF$2)-COLUMN(Beräkningshjälp!AC$2)+1,FALSE),"")</f>
        <v/>
      </c>
      <c r="F548" s="352" t="str">
        <f t="shared" si="17"/>
        <v/>
      </c>
      <c r="G548" s="2" t="str">
        <f>IF(D548&lt;&gt;"",IF(VLOOKUP(VLOOKUP(E548,Beräkningshjälp!O$2:U$60,7,FALSE),Artuppgifter!$I$11:$P$22,8,FALSE)=TRUE,"Medelvikter!!","ALLA"),"")</f>
        <v/>
      </c>
      <c r="H548" s="2" t="str">
        <f>IF(D548&lt;&gt;"",VLOOKUP(ROW(H547),Beräkningshjälp!AC$2:AH$1082,COLUMN(Beräkningshjälp!AH$2)-COLUMN(Beräkningshjälp!AC$2)+1,FALSE),"")</f>
        <v/>
      </c>
      <c r="I548" s="116" t="str">
        <f>IF(D548&lt;&gt;"",VLOOKUP(ROW(E547),Beräkningshjälp!AC$2:AI$1082,COLUMN(Beräkningshjälp!AI$2)-COLUMN(Beräkningshjälp!AC$2)+1,FALSE),"")</f>
        <v/>
      </c>
    </row>
    <row r="549" spans="1:9" x14ac:dyDescent="0.25">
      <c r="A549" s="2" t="str">
        <f t="shared" si="16"/>
        <v/>
      </c>
      <c r="B549" s="136" t="str">
        <f>IF(D549&lt;&gt;"",'DATA TILL SLU'!$J$3,"")</f>
        <v/>
      </c>
      <c r="C549" s="146" t="str">
        <f>IF(D549&lt;&gt;"",'DATA TILL SLU'!$K$3,"")</f>
        <v/>
      </c>
      <c r="D549" s="2" t="str">
        <f>IF('DATA TILL SLU'!$D$7*1&lt;&gt;"",IF(COUNT(Beräkningshjälp!$AC$3:$AC$1082)&gt;=ROW(D548),'DATA TILL SLU'!$D$7*1,""),"")</f>
        <v/>
      </c>
      <c r="E549" s="136" t="str">
        <f>IF(D549&lt;&gt;"",VLOOKUP(ROW(E548),Beräkningshjälp!AC$2:AH$1082,COLUMN(Beräkningshjälp!AF$2)-COLUMN(Beräkningshjälp!AC$2)+1,FALSE),"")</f>
        <v/>
      </c>
      <c r="F549" s="352" t="str">
        <f t="shared" si="17"/>
        <v/>
      </c>
      <c r="G549" s="2" t="str">
        <f>IF(D549&lt;&gt;"",IF(VLOOKUP(VLOOKUP(E549,Beräkningshjälp!O$2:U$60,7,FALSE),Artuppgifter!$I$11:$P$22,8,FALSE)=TRUE,"Medelvikter!!","ALLA"),"")</f>
        <v/>
      </c>
      <c r="H549" s="2" t="str">
        <f>IF(D549&lt;&gt;"",VLOOKUP(ROW(H548),Beräkningshjälp!AC$2:AH$1082,COLUMN(Beräkningshjälp!AH$2)-COLUMN(Beräkningshjälp!AC$2)+1,FALSE),"")</f>
        <v/>
      </c>
      <c r="I549" s="116" t="str">
        <f>IF(D549&lt;&gt;"",VLOOKUP(ROW(E548),Beräkningshjälp!AC$2:AI$1082,COLUMN(Beräkningshjälp!AI$2)-COLUMN(Beräkningshjälp!AC$2)+1,FALSE),"")</f>
        <v/>
      </c>
    </row>
    <row r="550" spans="1:9" x14ac:dyDescent="0.25">
      <c r="A550" s="2" t="str">
        <f t="shared" si="16"/>
        <v/>
      </c>
      <c r="B550" s="136" t="str">
        <f>IF(D550&lt;&gt;"",'DATA TILL SLU'!$J$3,"")</f>
        <v/>
      </c>
      <c r="C550" s="146" t="str">
        <f>IF(D550&lt;&gt;"",'DATA TILL SLU'!$K$3,"")</f>
        <v/>
      </c>
      <c r="D550" s="2" t="str">
        <f>IF('DATA TILL SLU'!$D$7*1&lt;&gt;"",IF(COUNT(Beräkningshjälp!$AC$3:$AC$1082)&gt;=ROW(D549),'DATA TILL SLU'!$D$7*1,""),"")</f>
        <v/>
      </c>
      <c r="E550" s="136" t="str">
        <f>IF(D550&lt;&gt;"",VLOOKUP(ROW(E549),Beräkningshjälp!AC$2:AH$1082,COLUMN(Beräkningshjälp!AF$2)-COLUMN(Beräkningshjälp!AC$2)+1,FALSE),"")</f>
        <v/>
      </c>
      <c r="F550" s="352" t="str">
        <f t="shared" si="17"/>
        <v/>
      </c>
      <c r="G550" s="2" t="str">
        <f>IF(D550&lt;&gt;"",IF(VLOOKUP(VLOOKUP(E550,Beräkningshjälp!O$2:U$60,7,FALSE),Artuppgifter!$I$11:$P$22,8,FALSE)=TRUE,"Medelvikter!!","ALLA"),"")</f>
        <v/>
      </c>
      <c r="H550" s="2" t="str">
        <f>IF(D550&lt;&gt;"",VLOOKUP(ROW(H549),Beräkningshjälp!AC$2:AH$1082,COLUMN(Beräkningshjälp!AH$2)-COLUMN(Beräkningshjälp!AC$2)+1,FALSE),"")</f>
        <v/>
      </c>
      <c r="I550" s="116" t="str">
        <f>IF(D550&lt;&gt;"",VLOOKUP(ROW(E549),Beräkningshjälp!AC$2:AI$1082,COLUMN(Beräkningshjälp!AI$2)-COLUMN(Beräkningshjälp!AC$2)+1,FALSE),"")</f>
        <v/>
      </c>
    </row>
    <row r="551" spans="1:9" x14ac:dyDescent="0.25">
      <c r="A551" s="2" t="str">
        <f t="shared" si="16"/>
        <v/>
      </c>
      <c r="B551" s="136" t="str">
        <f>IF(D551&lt;&gt;"",'DATA TILL SLU'!$J$3,"")</f>
        <v/>
      </c>
      <c r="C551" s="146" t="str">
        <f>IF(D551&lt;&gt;"",'DATA TILL SLU'!$K$3,"")</f>
        <v/>
      </c>
      <c r="D551" s="2" t="str">
        <f>IF('DATA TILL SLU'!$D$7*1&lt;&gt;"",IF(COUNT(Beräkningshjälp!$AC$3:$AC$1082)&gt;=ROW(D550),'DATA TILL SLU'!$D$7*1,""),"")</f>
        <v/>
      </c>
      <c r="E551" s="136" t="str">
        <f>IF(D551&lt;&gt;"",VLOOKUP(ROW(E550),Beräkningshjälp!AC$2:AH$1082,COLUMN(Beräkningshjälp!AF$2)-COLUMN(Beräkningshjälp!AC$2)+1,FALSE),"")</f>
        <v/>
      </c>
      <c r="F551" s="352" t="str">
        <f t="shared" si="17"/>
        <v/>
      </c>
      <c r="G551" s="2" t="str">
        <f>IF(D551&lt;&gt;"",IF(VLOOKUP(VLOOKUP(E551,Beräkningshjälp!O$2:U$60,7,FALSE),Artuppgifter!$I$11:$P$22,8,FALSE)=TRUE,"Medelvikter!!","ALLA"),"")</f>
        <v/>
      </c>
      <c r="H551" s="2" t="str">
        <f>IF(D551&lt;&gt;"",VLOOKUP(ROW(H550),Beräkningshjälp!AC$2:AH$1082,COLUMN(Beräkningshjälp!AH$2)-COLUMN(Beräkningshjälp!AC$2)+1,FALSE),"")</f>
        <v/>
      </c>
      <c r="I551" s="116" t="str">
        <f>IF(D551&lt;&gt;"",VLOOKUP(ROW(E550),Beräkningshjälp!AC$2:AI$1082,COLUMN(Beräkningshjälp!AI$2)-COLUMN(Beräkningshjälp!AC$2)+1,FALSE),"")</f>
        <v/>
      </c>
    </row>
    <row r="552" spans="1:9" x14ac:dyDescent="0.25">
      <c r="A552" s="2" t="str">
        <f t="shared" si="16"/>
        <v/>
      </c>
      <c r="B552" s="136" t="str">
        <f>IF(D552&lt;&gt;"",'DATA TILL SLU'!$J$3,"")</f>
        <v/>
      </c>
      <c r="C552" s="146" t="str">
        <f>IF(D552&lt;&gt;"",'DATA TILL SLU'!$K$3,"")</f>
        <v/>
      </c>
      <c r="D552" s="2" t="str">
        <f>IF('DATA TILL SLU'!$D$7*1&lt;&gt;"",IF(COUNT(Beräkningshjälp!$AC$3:$AC$1082)&gt;=ROW(D551),'DATA TILL SLU'!$D$7*1,""),"")</f>
        <v/>
      </c>
      <c r="E552" s="136" t="str">
        <f>IF(D552&lt;&gt;"",VLOOKUP(ROW(E551),Beräkningshjälp!AC$2:AH$1082,COLUMN(Beräkningshjälp!AF$2)-COLUMN(Beräkningshjälp!AC$2)+1,FALSE),"")</f>
        <v/>
      </c>
      <c r="F552" s="352" t="str">
        <f t="shared" si="17"/>
        <v/>
      </c>
      <c r="G552" s="2" t="str">
        <f>IF(D552&lt;&gt;"",IF(VLOOKUP(VLOOKUP(E552,Beräkningshjälp!O$2:U$60,7,FALSE),Artuppgifter!$I$11:$P$22,8,FALSE)=TRUE,"Medelvikter!!","ALLA"),"")</f>
        <v/>
      </c>
      <c r="H552" s="2" t="str">
        <f>IF(D552&lt;&gt;"",VLOOKUP(ROW(H551),Beräkningshjälp!AC$2:AH$1082,COLUMN(Beräkningshjälp!AH$2)-COLUMN(Beräkningshjälp!AC$2)+1,FALSE),"")</f>
        <v/>
      </c>
      <c r="I552" s="116" t="str">
        <f>IF(D552&lt;&gt;"",VLOOKUP(ROW(E551),Beräkningshjälp!AC$2:AI$1082,COLUMN(Beräkningshjälp!AI$2)-COLUMN(Beräkningshjälp!AC$2)+1,FALSE),"")</f>
        <v/>
      </c>
    </row>
    <row r="553" spans="1:9" x14ac:dyDescent="0.25">
      <c r="A553" s="2" t="str">
        <f t="shared" si="16"/>
        <v/>
      </c>
      <c r="B553" s="136" t="str">
        <f>IF(D553&lt;&gt;"",'DATA TILL SLU'!$J$3,"")</f>
        <v/>
      </c>
      <c r="C553" s="146" t="str">
        <f>IF(D553&lt;&gt;"",'DATA TILL SLU'!$K$3,"")</f>
        <v/>
      </c>
      <c r="D553" s="2" t="str">
        <f>IF('DATA TILL SLU'!$D$7*1&lt;&gt;"",IF(COUNT(Beräkningshjälp!$AC$3:$AC$1082)&gt;=ROW(D552),'DATA TILL SLU'!$D$7*1,""),"")</f>
        <v/>
      </c>
      <c r="E553" s="136" t="str">
        <f>IF(D553&lt;&gt;"",VLOOKUP(ROW(E552),Beräkningshjälp!AC$2:AH$1082,COLUMN(Beräkningshjälp!AF$2)-COLUMN(Beräkningshjälp!AC$2)+1,FALSE),"")</f>
        <v/>
      </c>
      <c r="F553" s="352" t="str">
        <f t="shared" si="17"/>
        <v/>
      </c>
      <c r="G553" s="2" t="str">
        <f>IF(D553&lt;&gt;"",IF(VLOOKUP(VLOOKUP(E553,Beräkningshjälp!O$2:U$60,7,FALSE),Artuppgifter!$I$11:$P$22,8,FALSE)=TRUE,"Medelvikter!!","ALLA"),"")</f>
        <v/>
      </c>
      <c r="H553" s="2" t="str">
        <f>IF(D553&lt;&gt;"",VLOOKUP(ROW(H552),Beräkningshjälp!AC$2:AH$1082,COLUMN(Beräkningshjälp!AH$2)-COLUMN(Beräkningshjälp!AC$2)+1,FALSE),"")</f>
        <v/>
      </c>
      <c r="I553" s="116" t="str">
        <f>IF(D553&lt;&gt;"",VLOOKUP(ROW(E552),Beräkningshjälp!AC$2:AI$1082,COLUMN(Beräkningshjälp!AI$2)-COLUMN(Beräkningshjälp!AC$2)+1,FALSE),"")</f>
        <v/>
      </c>
    </row>
    <row r="554" spans="1:9" x14ac:dyDescent="0.25">
      <c r="A554" s="2" t="str">
        <f t="shared" si="16"/>
        <v/>
      </c>
      <c r="B554" s="136" t="str">
        <f>IF(D554&lt;&gt;"",'DATA TILL SLU'!$J$3,"")</f>
        <v/>
      </c>
      <c r="C554" s="146" t="str">
        <f>IF(D554&lt;&gt;"",'DATA TILL SLU'!$K$3,"")</f>
        <v/>
      </c>
      <c r="D554" s="2" t="str">
        <f>IF('DATA TILL SLU'!$D$7*1&lt;&gt;"",IF(COUNT(Beräkningshjälp!$AC$3:$AC$1082)&gt;=ROW(D553),'DATA TILL SLU'!$D$7*1,""),"")</f>
        <v/>
      </c>
      <c r="E554" s="136" t="str">
        <f>IF(D554&lt;&gt;"",VLOOKUP(ROW(E553),Beräkningshjälp!AC$2:AH$1082,COLUMN(Beräkningshjälp!AF$2)-COLUMN(Beräkningshjälp!AC$2)+1,FALSE),"")</f>
        <v/>
      </c>
      <c r="F554" s="352" t="str">
        <f t="shared" si="17"/>
        <v/>
      </c>
      <c r="G554" s="2" t="str">
        <f>IF(D554&lt;&gt;"",IF(VLOOKUP(VLOOKUP(E554,Beräkningshjälp!O$2:U$60,7,FALSE),Artuppgifter!$I$11:$P$22,8,FALSE)=TRUE,"Medelvikter!!","ALLA"),"")</f>
        <v/>
      </c>
      <c r="H554" s="2" t="str">
        <f>IF(D554&lt;&gt;"",VLOOKUP(ROW(H553),Beräkningshjälp!AC$2:AH$1082,COLUMN(Beräkningshjälp!AH$2)-COLUMN(Beräkningshjälp!AC$2)+1,FALSE),"")</f>
        <v/>
      </c>
      <c r="I554" s="116" t="str">
        <f>IF(D554&lt;&gt;"",VLOOKUP(ROW(E553),Beräkningshjälp!AC$2:AI$1082,COLUMN(Beräkningshjälp!AI$2)-COLUMN(Beräkningshjälp!AC$2)+1,FALSE),"")</f>
        <v/>
      </c>
    </row>
    <row r="555" spans="1:9" x14ac:dyDescent="0.25">
      <c r="A555" s="2" t="str">
        <f t="shared" si="16"/>
        <v/>
      </c>
      <c r="B555" s="136" t="str">
        <f>IF(D555&lt;&gt;"",'DATA TILL SLU'!$J$3,"")</f>
        <v/>
      </c>
      <c r="C555" s="146" t="str">
        <f>IF(D555&lt;&gt;"",'DATA TILL SLU'!$K$3,"")</f>
        <v/>
      </c>
      <c r="D555" s="2" t="str">
        <f>IF('DATA TILL SLU'!$D$7*1&lt;&gt;"",IF(COUNT(Beräkningshjälp!$AC$3:$AC$1082)&gt;=ROW(D554),'DATA TILL SLU'!$D$7*1,""),"")</f>
        <v/>
      </c>
      <c r="E555" s="136" t="str">
        <f>IF(D555&lt;&gt;"",VLOOKUP(ROW(E554),Beräkningshjälp!AC$2:AH$1082,COLUMN(Beräkningshjälp!AF$2)-COLUMN(Beräkningshjälp!AC$2)+1,FALSE),"")</f>
        <v/>
      </c>
      <c r="F555" s="352" t="str">
        <f t="shared" si="17"/>
        <v/>
      </c>
      <c r="G555" s="2" t="str">
        <f>IF(D555&lt;&gt;"",IF(VLOOKUP(VLOOKUP(E555,Beräkningshjälp!O$2:U$60,7,FALSE),Artuppgifter!$I$11:$P$22,8,FALSE)=TRUE,"Medelvikter!!","ALLA"),"")</f>
        <v/>
      </c>
      <c r="H555" s="2" t="str">
        <f>IF(D555&lt;&gt;"",VLOOKUP(ROW(H554),Beräkningshjälp!AC$2:AH$1082,COLUMN(Beräkningshjälp!AH$2)-COLUMN(Beräkningshjälp!AC$2)+1,FALSE),"")</f>
        <v/>
      </c>
      <c r="I555" s="116" t="str">
        <f>IF(D555&lt;&gt;"",VLOOKUP(ROW(E554),Beräkningshjälp!AC$2:AI$1082,COLUMN(Beräkningshjälp!AI$2)-COLUMN(Beräkningshjälp!AC$2)+1,FALSE),"")</f>
        <v/>
      </c>
    </row>
    <row r="556" spans="1:9" x14ac:dyDescent="0.25">
      <c r="A556" s="2" t="str">
        <f t="shared" si="16"/>
        <v/>
      </c>
      <c r="B556" s="136" t="str">
        <f>IF(D556&lt;&gt;"",'DATA TILL SLU'!$J$3,"")</f>
        <v/>
      </c>
      <c r="C556" s="146" t="str">
        <f>IF(D556&lt;&gt;"",'DATA TILL SLU'!$K$3,"")</f>
        <v/>
      </c>
      <c r="D556" s="2" t="str">
        <f>IF('DATA TILL SLU'!$D$7*1&lt;&gt;"",IF(COUNT(Beräkningshjälp!$AC$3:$AC$1082)&gt;=ROW(D555),'DATA TILL SLU'!$D$7*1,""),"")</f>
        <v/>
      </c>
      <c r="E556" s="136" t="str">
        <f>IF(D556&lt;&gt;"",VLOOKUP(ROW(E555),Beräkningshjälp!AC$2:AH$1082,COLUMN(Beräkningshjälp!AF$2)-COLUMN(Beräkningshjälp!AC$2)+1,FALSE),"")</f>
        <v/>
      </c>
      <c r="F556" s="352" t="str">
        <f t="shared" si="17"/>
        <v/>
      </c>
      <c r="G556" s="2" t="str">
        <f>IF(D556&lt;&gt;"",IF(VLOOKUP(VLOOKUP(E556,Beräkningshjälp!O$2:U$60,7,FALSE),Artuppgifter!$I$11:$P$22,8,FALSE)=TRUE,"Medelvikter!!","ALLA"),"")</f>
        <v/>
      </c>
      <c r="H556" s="2" t="str">
        <f>IF(D556&lt;&gt;"",VLOOKUP(ROW(H555),Beräkningshjälp!AC$2:AH$1082,COLUMN(Beräkningshjälp!AH$2)-COLUMN(Beräkningshjälp!AC$2)+1,FALSE),"")</f>
        <v/>
      </c>
      <c r="I556" s="116" t="str">
        <f>IF(D556&lt;&gt;"",VLOOKUP(ROW(E555),Beräkningshjälp!AC$2:AI$1082,COLUMN(Beräkningshjälp!AI$2)-COLUMN(Beräkningshjälp!AC$2)+1,FALSE),"")</f>
        <v/>
      </c>
    </row>
    <row r="557" spans="1:9" x14ac:dyDescent="0.25">
      <c r="A557" s="2" t="str">
        <f t="shared" si="16"/>
        <v/>
      </c>
      <c r="B557" s="136" t="str">
        <f>IF(D557&lt;&gt;"",'DATA TILL SLU'!$J$3,"")</f>
        <v/>
      </c>
      <c r="C557" s="146" t="str">
        <f>IF(D557&lt;&gt;"",'DATA TILL SLU'!$K$3,"")</f>
        <v/>
      </c>
      <c r="D557" s="2" t="str">
        <f>IF('DATA TILL SLU'!$D$7*1&lt;&gt;"",IF(COUNT(Beräkningshjälp!$AC$3:$AC$1082)&gt;=ROW(D556),'DATA TILL SLU'!$D$7*1,""),"")</f>
        <v/>
      </c>
      <c r="E557" s="136" t="str">
        <f>IF(D557&lt;&gt;"",VLOOKUP(ROW(E556),Beräkningshjälp!AC$2:AH$1082,COLUMN(Beräkningshjälp!AF$2)-COLUMN(Beräkningshjälp!AC$2)+1,FALSE),"")</f>
        <v/>
      </c>
      <c r="F557" s="352" t="str">
        <f t="shared" si="17"/>
        <v/>
      </c>
      <c r="G557" s="2" t="str">
        <f>IF(D557&lt;&gt;"",IF(VLOOKUP(VLOOKUP(E557,Beräkningshjälp!O$2:U$60,7,FALSE),Artuppgifter!$I$11:$P$22,8,FALSE)=TRUE,"Medelvikter!!","ALLA"),"")</f>
        <v/>
      </c>
      <c r="H557" s="2" t="str">
        <f>IF(D557&lt;&gt;"",VLOOKUP(ROW(H556),Beräkningshjälp!AC$2:AH$1082,COLUMN(Beräkningshjälp!AH$2)-COLUMN(Beräkningshjälp!AC$2)+1,FALSE),"")</f>
        <v/>
      </c>
      <c r="I557" s="116" t="str">
        <f>IF(D557&lt;&gt;"",VLOOKUP(ROW(E556),Beräkningshjälp!AC$2:AI$1082,COLUMN(Beräkningshjälp!AI$2)-COLUMN(Beräkningshjälp!AC$2)+1,FALSE),"")</f>
        <v/>
      </c>
    </row>
    <row r="558" spans="1:9" x14ac:dyDescent="0.25">
      <c r="A558" s="2" t="str">
        <f t="shared" si="16"/>
        <v/>
      </c>
      <c r="B558" s="136" t="str">
        <f>IF(D558&lt;&gt;"",'DATA TILL SLU'!$J$3,"")</f>
        <v/>
      </c>
      <c r="C558" s="146" t="str">
        <f>IF(D558&lt;&gt;"",'DATA TILL SLU'!$K$3,"")</f>
        <v/>
      </c>
      <c r="D558" s="2" t="str">
        <f>IF('DATA TILL SLU'!$D$7*1&lt;&gt;"",IF(COUNT(Beräkningshjälp!$AC$3:$AC$1082)&gt;=ROW(D557),'DATA TILL SLU'!$D$7*1,""),"")</f>
        <v/>
      </c>
      <c r="E558" s="136" t="str">
        <f>IF(D558&lt;&gt;"",VLOOKUP(ROW(E557),Beräkningshjälp!AC$2:AH$1082,COLUMN(Beräkningshjälp!AF$2)-COLUMN(Beräkningshjälp!AC$2)+1,FALSE),"")</f>
        <v/>
      </c>
      <c r="F558" s="352" t="str">
        <f t="shared" si="17"/>
        <v/>
      </c>
      <c r="G558" s="2" t="str">
        <f>IF(D558&lt;&gt;"",IF(VLOOKUP(VLOOKUP(E558,Beräkningshjälp!O$2:U$60,7,FALSE),Artuppgifter!$I$11:$P$22,8,FALSE)=TRUE,"Medelvikter!!","ALLA"),"")</f>
        <v/>
      </c>
      <c r="H558" s="2" t="str">
        <f>IF(D558&lt;&gt;"",VLOOKUP(ROW(H557),Beräkningshjälp!AC$2:AH$1082,COLUMN(Beräkningshjälp!AH$2)-COLUMN(Beräkningshjälp!AC$2)+1,FALSE),"")</f>
        <v/>
      </c>
      <c r="I558" s="116" t="str">
        <f>IF(D558&lt;&gt;"",VLOOKUP(ROW(E557),Beräkningshjälp!AC$2:AI$1082,COLUMN(Beräkningshjälp!AI$2)-COLUMN(Beräkningshjälp!AC$2)+1,FALSE),"")</f>
        <v/>
      </c>
    </row>
    <row r="559" spans="1:9" x14ac:dyDescent="0.25">
      <c r="A559" s="2" t="str">
        <f t="shared" si="16"/>
        <v/>
      </c>
      <c r="B559" s="136" t="str">
        <f>IF(D559&lt;&gt;"",'DATA TILL SLU'!$J$3,"")</f>
        <v/>
      </c>
      <c r="C559" s="146" t="str">
        <f>IF(D559&lt;&gt;"",'DATA TILL SLU'!$K$3,"")</f>
        <v/>
      </c>
      <c r="D559" s="2" t="str">
        <f>IF('DATA TILL SLU'!$D$7*1&lt;&gt;"",IF(COUNT(Beräkningshjälp!$AC$3:$AC$1082)&gt;=ROW(D558),'DATA TILL SLU'!$D$7*1,""),"")</f>
        <v/>
      </c>
      <c r="E559" s="136" t="str">
        <f>IF(D559&lt;&gt;"",VLOOKUP(ROW(E558),Beräkningshjälp!AC$2:AH$1082,COLUMN(Beräkningshjälp!AF$2)-COLUMN(Beräkningshjälp!AC$2)+1,FALSE),"")</f>
        <v/>
      </c>
      <c r="F559" s="352" t="str">
        <f t="shared" si="17"/>
        <v/>
      </c>
      <c r="G559" s="2" t="str">
        <f>IF(D559&lt;&gt;"",IF(VLOOKUP(VLOOKUP(E559,Beräkningshjälp!O$2:U$60,7,FALSE),Artuppgifter!$I$11:$P$22,8,FALSE)=TRUE,"Medelvikter!!","ALLA"),"")</f>
        <v/>
      </c>
      <c r="H559" s="2" t="str">
        <f>IF(D559&lt;&gt;"",VLOOKUP(ROW(H558),Beräkningshjälp!AC$2:AH$1082,COLUMN(Beräkningshjälp!AH$2)-COLUMN(Beräkningshjälp!AC$2)+1,FALSE),"")</f>
        <v/>
      </c>
      <c r="I559" s="116" t="str">
        <f>IF(D559&lt;&gt;"",VLOOKUP(ROW(E558),Beräkningshjälp!AC$2:AI$1082,COLUMN(Beräkningshjälp!AI$2)-COLUMN(Beräkningshjälp!AC$2)+1,FALSE),"")</f>
        <v/>
      </c>
    </row>
    <row r="560" spans="1:9" x14ac:dyDescent="0.25">
      <c r="A560" s="2" t="str">
        <f t="shared" si="16"/>
        <v/>
      </c>
      <c r="B560" s="136" t="str">
        <f>IF(D560&lt;&gt;"",'DATA TILL SLU'!$J$3,"")</f>
        <v/>
      </c>
      <c r="C560" s="146" t="str">
        <f>IF(D560&lt;&gt;"",'DATA TILL SLU'!$K$3,"")</f>
        <v/>
      </c>
      <c r="D560" s="2" t="str">
        <f>IF('DATA TILL SLU'!$D$7*1&lt;&gt;"",IF(COUNT(Beräkningshjälp!$AC$3:$AC$1082)&gt;=ROW(D559),'DATA TILL SLU'!$D$7*1,""),"")</f>
        <v/>
      </c>
      <c r="E560" s="136" t="str">
        <f>IF(D560&lt;&gt;"",VLOOKUP(ROW(E559),Beräkningshjälp!AC$2:AH$1082,COLUMN(Beräkningshjälp!AF$2)-COLUMN(Beräkningshjälp!AC$2)+1,FALSE),"")</f>
        <v/>
      </c>
      <c r="F560" s="352" t="str">
        <f t="shared" si="17"/>
        <v/>
      </c>
      <c r="G560" s="2" t="str">
        <f>IF(D560&lt;&gt;"",IF(VLOOKUP(VLOOKUP(E560,Beräkningshjälp!O$2:U$60,7,FALSE),Artuppgifter!$I$11:$P$22,8,FALSE)=TRUE,"Medelvikter!!","ALLA"),"")</f>
        <v/>
      </c>
      <c r="H560" s="2" t="str">
        <f>IF(D560&lt;&gt;"",VLOOKUP(ROW(H559),Beräkningshjälp!AC$2:AH$1082,COLUMN(Beräkningshjälp!AH$2)-COLUMN(Beräkningshjälp!AC$2)+1,FALSE),"")</f>
        <v/>
      </c>
      <c r="I560" s="116" t="str">
        <f>IF(D560&lt;&gt;"",VLOOKUP(ROW(E559),Beräkningshjälp!AC$2:AI$1082,COLUMN(Beräkningshjälp!AI$2)-COLUMN(Beräkningshjälp!AC$2)+1,FALSE),"")</f>
        <v/>
      </c>
    </row>
    <row r="561" spans="1:9" x14ac:dyDescent="0.25">
      <c r="A561" s="2" t="str">
        <f t="shared" si="16"/>
        <v/>
      </c>
      <c r="B561" s="136" t="str">
        <f>IF(D561&lt;&gt;"",'DATA TILL SLU'!$J$3,"")</f>
        <v/>
      </c>
      <c r="C561" s="146" t="str">
        <f>IF(D561&lt;&gt;"",'DATA TILL SLU'!$K$3,"")</f>
        <v/>
      </c>
      <c r="D561" s="2" t="str">
        <f>IF('DATA TILL SLU'!$D$7*1&lt;&gt;"",IF(COUNT(Beräkningshjälp!$AC$3:$AC$1082)&gt;=ROW(D560),'DATA TILL SLU'!$D$7*1,""),"")</f>
        <v/>
      </c>
      <c r="E561" s="136" t="str">
        <f>IF(D561&lt;&gt;"",VLOOKUP(ROW(E560),Beräkningshjälp!AC$2:AH$1082,COLUMN(Beräkningshjälp!AF$2)-COLUMN(Beräkningshjälp!AC$2)+1,FALSE),"")</f>
        <v/>
      </c>
      <c r="F561" s="352" t="str">
        <f t="shared" si="17"/>
        <v/>
      </c>
      <c r="G561" s="2" t="str">
        <f>IF(D561&lt;&gt;"",IF(VLOOKUP(VLOOKUP(E561,Beräkningshjälp!O$2:U$60,7,FALSE),Artuppgifter!$I$11:$P$22,8,FALSE)=TRUE,"Medelvikter!!","ALLA"),"")</f>
        <v/>
      </c>
      <c r="H561" s="2" t="str">
        <f>IF(D561&lt;&gt;"",VLOOKUP(ROW(H560),Beräkningshjälp!AC$2:AH$1082,COLUMN(Beräkningshjälp!AH$2)-COLUMN(Beräkningshjälp!AC$2)+1,FALSE),"")</f>
        <v/>
      </c>
      <c r="I561" s="116" t="str">
        <f>IF(D561&lt;&gt;"",VLOOKUP(ROW(E560),Beräkningshjälp!AC$2:AI$1082,COLUMN(Beräkningshjälp!AI$2)-COLUMN(Beräkningshjälp!AC$2)+1,FALSE),"")</f>
        <v/>
      </c>
    </row>
    <row r="562" spans="1:9" x14ac:dyDescent="0.25">
      <c r="A562" s="2" t="str">
        <f t="shared" si="16"/>
        <v/>
      </c>
      <c r="B562" s="136" t="str">
        <f>IF(D562&lt;&gt;"",'DATA TILL SLU'!$J$3,"")</f>
        <v/>
      </c>
      <c r="C562" s="146" t="str">
        <f>IF(D562&lt;&gt;"",'DATA TILL SLU'!$K$3,"")</f>
        <v/>
      </c>
      <c r="D562" s="2" t="str">
        <f>IF('DATA TILL SLU'!$D$7*1&lt;&gt;"",IF(COUNT(Beräkningshjälp!$AC$3:$AC$1082)&gt;=ROW(D561),'DATA TILL SLU'!$D$7*1,""),"")</f>
        <v/>
      </c>
      <c r="E562" s="136" t="str">
        <f>IF(D562&lt;&gt;"",VLOOKUP(ROW(E561),Beräkningshjälp!AC$2:AH$1082,COLUMN(Beräkningshjälp!AF$2)-COLUMN(Beräkningshjälp!AC$2)+1,FALSE),"")</f>
        <v/>
      </c>
      <c r="F562" s="352" t="str">
        <f t="shared" si="17"/>
        <v/>
      </c>
      <c r="G562" s="2" t="str">
        <f>IF(D562&lt;&gt;"",IF(VLOOKUP(VLOOKUP(E562,Beräkningshjälp!O$2:U$60,7,FALSE),Artuppgifter!$I$11:$P$22,8,FALSE)=TRUE,"Medelvikter!!","ALLA"),"")</f>
        <v/>
      </c>
      <c r="H562" s="2" t="str">
        <f>IF(D562&lt;&gt;"",VLOOKUP(ROW(H561),Beräkningshjälp!AC$2:AH$1082,COLUMN(Beräkningshjälp!AH$2)-COLUMN(Beräkningshjälp!AC$2)+1,FALSE),"")</f>
        <v/>
      </c>
      <c r="I562" s="116" t="str">
        <f>IF(D562&lt;&gt;"",VLOOKUP(ROW(E561),Beräkningshjälp!AC$2:AI$1082,COLUMN(Beräkningshjälp!AI$2)-COLUMN(Beräkningshjälp!AC$2)+1,FALSE),"")</f>
        <v/>
      </c>
    </row>
    <row r="563" spans="1:9" x14ac:dyDescent="0.25">
      <c r="A563" s="2" t="str">
        <f t="shared" si="16"/>
        <v/>
      </c>
      <c r="B563" s="136" t="str">
        <f>IF(D563&lt;&gt;"",'DATA TILL SLU'!$J$3,"")</f>
        <v/>
      </c>
      <c r="C563" s="146" t="str">
        <f>IF(D563&lt;&gt;"",'DATA TILL SLU'!$K$3,"")</f>
        <v/>
      </c>
      <c r="D563" s="2" t="str">
        <f>IF('DATA TILL SLU'!$D$7*1&lt;&gt;"",IF(COUNT(Beräkningshjälp!$AC$3:$AC$1082)&gt;=ROW(D562),'DATA TILL SLU'!$D$7*1,""),"")</f>
        <v/>
      </c>
      <c r="E563" s="136" t="str">
        <f>IF(D563&lt;&gt;"",VLOOKUP(ROW(E562),Beräkningshjälp!AC$2:AH$1082,COLUMN(Beräkningshjälp!AF$2)-COLUMN(Beräkningshjälp!AC$2)+1,FALSE),"")</f>
        <v/>
      </c>
      <c r="F563" s="352" t="str">
        <f t="shared" si="17"/>
        <v/>
      </c>
      <c r="G563" s="2" t="str">
        <f>IF(D563&lt;&gt;"",IF(VLOOKUP(VLOOKUP(E563,Beräkningshjälp!O$2:U$60,7,FALSE),Artuppgifter!$I$11:$P$22,8,FALSE)=TRUE,"Medelvikter!!","ALLA"),"")</f>
        <v/>
      </c>
      <c r="H563" s="2" t="str">
        <f>IF(D563&lt;&gt;"",VLOOKUP(ROW(H562),Beräkningshjälp!AC$2:AH$1082,COLUMN(Beräkningshjälp!AH$2)-COLUMN(Beräkningshjälp!AC$2)+1,FALSE),"")</f>
        <v/>
      </c>
      <c r="I563" s="116" t="str">
        <f>IF(D563&lt;&gt;"",VLOOKUP(ROW(E562),Beräkningshjälp!AC$2:AI$1082,COLUMN(Beräkningshjälp!AI$2)-COLUMN(Beräkningshjälp!AC$2)+1,FALSE),"")</f>
        <v/>
      </c>
    </row>
    <row r="564" spans="1:9" x14ac:dyDescent="0.25">
      <c r="A564" s="2" t="str">
        <f t="shared" si="16"/>
        <v/>
      </c>
      <c r="B564" s="136" t="str">
        <f>IF(D564&lt;&gt;"",'DATA TILL SLU'!$J$3,"")</f>
        <v/>
      </c>
      <c r="C564" s="146" t="str">
        <f>IF(D564&lt;&gt;"",'DATA TILL SLU'!$K$3,"")</f>
        <v/>
      </c>
      <c r="D564" s="2" t="str">
        <f>IF('DATA TILL SLU'!$D$7*1&lt;&gt;"",IF(COUNT(Beräkningshjälp!$AC$3:$AC$1082)&gt;=ROW(D563),'DATA TILL SLU'!$D$7*1,""),"")</f>
        <v/>
      </c>
      <c r="E564" s="136" t="str">
        <f>IF(D564&lt;&gt;"",VLOOKUP(ROW(E563),Beräkningshjälp!AC$2:AH$1082,COLUMN(Beräkningshjälp!AF$2)-COLUMN(Beräkningshjälp!AC$2)+1,FALSE),"")</f>
        <v/>
      </c>
      <c r="F564" s="352" t="str">
        <f t="shared" si="17"/>
        <v/>
      </c>
      <c r="G564" s="2" t="str">
        <f>IF(D564&lt;&gt;"",IF(VLOOKUP(VLOOKUP(E564,Beräkningshjälp!O$2:U$60,7,FALSE),Artuppgifter!$I$11:$P$22,8,FALSE)=TRUE,"Medelvikter!!","ALLA"),"")</f>
        <v/>
      </c>
      <c r="H564" s="2" t="str">
        <f>IF(D564&lt;&gt;"",VLOOKUP(ROW(H563),Beräkningshjälp!AC$2:AH$1082,COLUMN(Beräkningshjälp!AH$2)-COLUMN(Beräkningshjälp!AC$2)+1,FALSE),"")</f>
        <v/>
      </c>
      <c r="I564" s="116" t="str">
        <f>IF(D564&lt;&gt;"",VLOOKUP(ROW(E563),Beräkningshjälp!AC$2:AI$1082,COLUMN(Beräkningshjälp!AI$2)-COLUMN(Beräkningshjälp!AC$2)+1,FALSE),"")</f>
        <v/>
      </c>
    </row>
    <row r="565" spans="1:9" x14ac:dyDescent="0.25">
      <c r="A565" s="2" t="str">
        <f t="shared" si="16"/>
        <v/>
      </c>
      <c r="B565" s="136" t="str">
        <f>IF(D565&lt;&gt;"",'DATA TILL SLU'!$J$3,"")</f>
        <v/>
      </c>
      <c r="C565" s="146" t="str">
        <f>IF(D565&lt;&gt;"",'DATA TILL SLU'!$K$3,"")</f>
        <v/>
      </c>
      <c r="D565" s="2" t="str">
        <f>IF('DATA TILL SLU'!$D$7*1&lt;&gt;"",IF(COUNT(Beräkningshjälp!$AC$3:$AC$1082)&gt;=ROW(D564),'DATA TILL SLU'!$D$7*1,""),"")</f>
        <v/>
      </c>
      <c r="E565" s="136" t="str">
        <f>IF(D565&lt;&gt;"",VLOOKUP(ROW(E564),Beräkningshjälp!AC$2:AH$1082,COLUMN(Beräkningshjälp!AF$2)-COLUMN(Beräkningshjälp!AC$2)+1,FALSE),"")</f>
        <v/>
      </c>
      <c r="F565" s="352" t="str">
        <f t="shared" si="17"/>
        <v/>
      </c>
      <c r="G565" s="2" t="str">
        <f>IF(D565&lt;&gt;"",IF(VLOOKUP(VLOOKUP(E565,Beräkningshjälp!O$2:U$60,7,FALSE),Artuppgifter!$I$11:$P$22,8,FALSE)=TRUE,"Medelvikter!!","ALLA"),"")</f>
        <v/>
      </c>
      <c r="H565" s="2" t="str">
        <f>IF(D565&lt;&gt;"",VLOOKUP(ROW(H564),Beräkningshjälp!AC$2:AH$1082,COLUMN(Beräkningshjälp!AH$2)-COLUMN(Beräkningshjälp!AC$2)+1,FALSE),"")</f>
        <v/>
      </c>
      <c r="I565" s="116" t="str">
        <f>IF(D565&lt;&gt;"",VLOOKUP(ROW(E564),Beräkningshjälp!AC$2:AI$1082,COLUMN(Beräkningshjälp!AI$2)-COLUMN(Beräkningshjälp!AC$2)+1,FALSE),"")</f>
        <v/>
      </c>
    </row>
    <row r="566" spans="1:9" x14ac:dyDescent="0.25">
      <c r="A566" s="2" t="str">
        <f t="shared" si="16"/>
        <v/>
      </c>
      <c r="B566" s="136" t="str">
        <f>IF(D566&lt;&gt;"",'DATA TILL SLU'!$J$3,"")</f>
        <v/>
      </c>
      <c r="C566" s="146" t="str">
        <f>IF(D566&lt;&gt;"",'DATA TILL SLU'!$K$3,"")</f>
        <v/>
      </c>
      <c r="D566" s="2" t="str">
        <f>IF('DATA TILL SLU'!$D$7*1&lt;&gt;"",IF(COUNT(Beräkningshjälp!$AC$3:$AC$1082)&gt;=ROW(D565),'DATA TILL SLU'!$D$7*1,""),"")</f>
        <v/>
      </c>
      <c r="E566" s="136" t="str">
        <f>IF(D566&lt;&gt;"",VLOOKUP(ROW(E565),Beräkningshjälp!AC$2:AH$1082,COLUMN(Beräkningshjälp!AF$2)-COLUMN(Beräkningshjälp!AC$2)+1,FALSE),"")</f>
        <v/>
      </c>
      <c r="F566" s="352" t="str">
        <f t="shared" si="17"/>
        <v/>
      </c>
      <c r="G566" s="2" t="str">
        <f>IF(D566&lt;&gt;"",IF(VLOOKUP(VLOOKUP(E566,Beräkningshjälp!O$2:U$60,7,FALSE),Artuppgifter!$I$11:$P$22,8,FALSE)=TRUE,"Medelvikter!!","ALLA"),"")</f>
        <v/>
      </c>
      <c r="H566" s="2" t="str">
        <f>IF(D566&lt;&gt;"",VLOOKUP(ROW(H565),Beräkningshjälp!AC$2:AH$1082,COLUMN(Beräkningshjälp!AH$2)-COLUMN(Beräkningshjälp!AC$2)+1,FALSE),"")</f>
        <v/>
      </c>
      <c r="I566" s="116" t="str">
        <f>IF(D566&lt;&gt;"",VLOOKUP(ROW(E565),Beräkningshjälp!AC$2:AI$1082,COLUMN(Beräkningshjälp!AI$2)-COLUMN(Beräkningshjälp!AC$2)+1,FALSE),"")</f>
        <v/>
      </c>
    </row>
    <row r="567" spans="1:9" x14ac:dyDescent="0.25">
      <c r="A567" s="2" t="str">
        <f t="shared" si="16"/>
        <v/>
      </c>
      <c r="B567" s="136" t="str">
        <f>IF(D567&lt;&gt;"",'DATA TILL SLU'!$J$3,"")</f>
        <v/>
      </c>
      <c r="C567" s="146" t="str">
        <f>IF(D567&lt;&gt;"",'DATA TILL SLU'!$K$3,"")</f>
        <v/>
      </c>
      <c r="D567" s="2" t="str">
        <f>IF('DATA TILL SLU'!$D$7*1&lt;&gt;"",IF(COUNT(Beräkningshjälp!$AC$3:$AC$1082)&gt;=ROW(D566),'DATA TILL SLU'!$D$7*1,""),"")</f>
        <v/>
      </c>
      <c r="E567" s="136" t="str">
        <f>IF(D567&lt;&gt;"",VLOOKUP(ROW(E566),Beräkningshjälp!AC$2:AH$1082,COLUMN(Beräkningshjälp!AF$2)-COLUMN(Beräkningshjälp!AC$2)+1,FALSE),"")</f>
        <v/>
      </c>
      <c r="F567" s="352" t="str">
        <f t="shared" si="17"/>
        <v/>
      </c>
      <c r="G567" s="2" t="str">
        <f>IF(D567&lt;&gt;"",IF(VLOOKUP(VLOOKUP(E567,Beräkningshjälp!O$2:U$60,7,FALSE),Artuppgifter!$I$11:$P$22,8,FALSE)=TRUE,"Medelvikter!!","ALLA"),"")</f>
        <v/>
      </c>
      <c r="H567" s="2" t="str">
        <f>IF(D567&lt;&gt;"",VLOOKUP(ROW(H566),Beräkningshjälp!AC$2:AH$1082,COLUMN(Beräkningshjälp!AH$2)-COLUMN(Beräkningshjälp!AC$2)+1,FALSE),"")</f>
        <v/>
      </c>
      <c r="I567" s="116" t="str">
        <f>IF(D567&lt;&gt;"",VLOOKUP(ROW(E566),Beräkningshjälp!AC$2:AI$1082,COLUMN(Beräkningshjälp!AI$2)-COLUMN(Beräkningshjälp!AC$2)+1,FALSE),"")</f>
        <v/>
      </c>
    </row>
    <row r="568" spans="1:9" x14ac:dyDescent="0.25">
      <c r="A568" s="2" t="str">
        <f t="shared" si="16"/>
        <v/>
      </c>
      <c r="B568" s="136" t="str">
        <f>IF(D568&lt;&gt;"",'DATA TILL SLU'!$J$3,"")</f>
        <v/>
      </c>
      <c r="C568" s="146" t="str">
        <f>IF(D568&lt;&gt;"",'DATA TILL SLU'!$K$3,"")</f>
        <v/>
      </c>
      <c r="D568" s="2" t="str">
        <f>IF('DATA TILL SLU'!$D$7*1&lt;&gt;"",IF(COUNT(Beräkningshjälp!$AC$3:$AC$1082)&gt;=ROW(D567),'DATA TILL SLU'!$D$7*1,""),"")</f>
        <v/>
      </c>
      <c r="E568" s="136" t="str">
        <f>IF(D568&lt;&gt;"",VLOOKUP(ROW(E567),Beräkningshjälp!AC$2:AH$1082,COLUMN(Beräkningshjälp!AF$2)-COLUMN(Beräkningshjälp!AC$2)+1,FALSE),"")</f>
        <v/>
      </c>
      <c r="F568" s="352" t="str">
        <f t="shared" si="17"/>
        <v/>
      </c>
      <c r="G568" s="2" t="str">
        <f>IF(D568&lt;&gt;"",IF(VLOOKUP(VLOOKUP(E568,Beräkningshjälp!O$2:U$60,7,FALSE),Artuppgifter!$I$11:$P$22,8,FALSE)=TRUE,"Medelvikter!!","ALLA"),"")</f>
        <v/>
      </c>
      <c r="H568" s="2" t="str">
        <f>IF(D568&lt;&gt;"",VLOOKUP(ROW(H567),Beräkningshjälp!AC$2:AH$1082,COLUMN(Beräkningshjälp!AH$2)-COLUMN(Beräkningshjälp!AC$2)+1,FALSE),"")</f>
        <v/>
      </c>
      <c r="I568" s="116" t="str">
        <f>IF(D568&lt;&gt;"",VLOOKUP(ROW(E567),Beräkningshjälp!AC$2:AI$1082,COLUMN(Beräkningshjälp!AI$2)-COLUMN(Beräkningshjälp!AC$2)+1,FALSE),"")</f>
        <v/>
      </c>
    </row>
    <row r="569" spans="1:9" x14ac:dyDescent="0.25">
      <c r="A569" s="2" t="str">
        <f t="shared" si="16"/>
        <v/>
      </c>
      <c r="B569" s="136" t="str">
        <f>IF(D569&lt;&gt;"",'DATA TILL SLU'!$J$3,"")</f>
        <v/>
      </c>
      <c r="C569" s="146" t="str">
        <f>IF(D569&lt;&gt;"",'DATA TILL SLU'!$K$3,"")</f>
        <v/>
      </c>
      <c r="D569" s="2" t="str">
        <f>IF('DATA TILL SLU'!$D$7*1&lt;&gt;"",IF(COUNT(Beräkningshjälp!$AC$3:$AC$1082)&gt;=ROW(D568),'DATA TILL SLU'!$D$7*1,""),"")</f>
        <v/>
      </c>
      <c r="E569" s="136" t="str">
        <f>IF(D569&lt;&gt;"",VLOOKUP(ROW(E568),Beräkningshjälp!AC$2:AH$1082,COLUMN(Beräkningshjälp!AF$2)-COLUMN(Beräkningshjälp!AC$2)+1,FALSE),"")</f>
        <v/>
      </c>
      <c r="F569" s="352" t="str">
        <f t="shared" si="17"/>
        <v/>
      </c>
      <c r="G569" s="2" t="str">
        <f>IF(D569&lt;&gt;"",IF(VLOOKUP(VLOOKUP(E569,Beräkningshjälp!O$2:U$60,7,FALSE),Artuppgifter!$I$11:$P$22,8,FALSE)=TRUE,"Medelvikter!!","ALLA"),"")</f>
        <v/>
      </c>
      <c r="H569" s="2" t="str">
        <f>IF(D569&lt;&gt;"",VLOOKUP(ROW(H568),Beräkningshjälp!AC$2:AH$1082,COLUMN(Beräkningshjälp!AH$2)-COLUMN(Beräkningshjälp!AC$2)+1,FALSE),"")</f>
        <v/>
      </c>
      <c r="I569" s="116" t="str">
        <f>IF(D569&lt;&gt;"",VLOOKUP(ROW(E568),Beräkningshjälp!AC$2:AI$1082,COLUMN(Beräkningshjälp!AI$2)-COLUMN(Beräkningshjälp!AC$2)+1,FALSE),"")</f>
        <v/>
      </c>
    </row>
    <row r="570" spans="1:9" x14ac:dyDescent="0.25">
      <c r="A570" s="2" t="str">
        <f t="shared" si="16"/>
        <v/>
      </c>
      <c r="B570" s="136" t="str">
        <f>IF(D570&lt;&gt;"",'DATA TILL SLU'!$J$3,"")</f>
        <v/>
      </c>
      <c r="C570" s="146" t="str">
        <f>IF(D570&lt;&gt;"",'DATA TILL SLU'!$K$3,"")</f>
        <v/>
      </c>
      <c r="D570" s="2" t="str">
        <f>IF('DATA TILL SLU'!$D$7*1&lt;&gt;"",IF(COUNT(Beräkningshjälp!$AC$3:$AC$1082)&gt;=ROW(D569),'DATA TILL SLU'!$D$7*1,""),"")</f>
        <v/>
      </c>
      <c r="E570" s="136" t="str">
        <f>IF(D570&lt;&gt;"",VLOOKUP(ROW(E569),Beräkningshjälp!AC$2:AH$1082,COLUMN(Beräkningshjälp!AF$2)-COLUMN(Beräkningshjälp!AC$2)+1,FALSE),"")</f>
        <v/>
      </c>
      <c r="F570" s="352" t="str">
        <f t="shared" si="17"/>
        <v/>
      </c>
      <c r="G570" s="2" t="str">
        <f>IF(D570&lt;&gt;"",IF(VLOOKUP(VLOOKUP(E570,Beräkningshjälp!O$2:U$60,7,FALSE),Artuppgifter!$I$11:$P$22,8,FALSE)=TRUE,"Medelvikter!!","ALLA"),"")</f>
        <v/>
      </c>
      <c r="H570" s="2" t="str">
        <f>IF(D570&lt;&gt;"",VLOOKUP(ROW(H569),Beräkningshjälp!AC$2:AH$1082,COLUMN(Beräkningshjälp!AH$2)-COLUMN(Beräkningshjälp!AC$2)+1,FALSE),"")</f>
        <v/>
      </c>
      <c r="I570" s="116" t="str">
        <f>IF(D570&lt;&gt;"",VLOOKUP(ROW(E569),Beräkningshjälp!AC$2:AI$1082,COLUMN(Beräkningshjälp!AI$2)-COLUMN(Beräkningshjälp!AC$2)+1,FALSE),"")</f>
        <v/>
      </c>
    </row>
    <row r="571" spans="1:9" x14ac:dyDescent="0.25">
      <c r="A571" s="2" t="str">
        <f t="shared" si="16"/>
        <v/>
      </c>
      <c r="B571" s="136" t="str">
        <f>IF(D571&lt;&gt;"",'DATA TILL SLU'!$J$3,"")</f>
        <v/>
      </c>
      <c r="C571" s="146" t="str">
        <f>IF(D571&lt;&gt;"",'DATA TILL SLU'!$K$3,"")</f>
        <v/>
      </c>
      <c r="D571" s="2" t="str">
        <f>IF('DATA TILL SLU'!$D$7*1&lt;&gt;"",IF(COUNT(Beräkningshjälp!$AC$3:$AC$1082)&gt;=ROW(D570),'DATA TILL SLU'!$D$7*1,""),"")</f>
        <v/>
      </c>
      <c r="E571" s="136" t="str">
        <f>IF(D571&lt;&gt;"",VLOOKUP(ROW(E570),Beräkningshjälp!AC$2:AH$1082,COLUMN(Beräkningshjälp!AF$2)-COLUMN(Beräkningshjälp!AC$2)+1,FALSE),"")</f>
        <v/>
      </c>
      <c r="F571" s="352" t="str">
        <f t="shared" si="17"/>
        <v/>
      </c>
      <c r="G571" s="2" t="str">
        <f>IF(D571&lt;&gt;"",IF(VLOOKUP(VLOOKUP(E571,Beräkningshjälp!O$2:U$60,7,FALSE),Artuppgifter!$I$11:$P$22,8,FALSE)=TRUE,"Medelvikter!!","ALLA"),"")</f>
        <v/>
      </c>
      <c r="H571" s="2" t="str">
        <f>IF(D571&lt;&gt;"",VLOOKUP(ROW(H570),Beräkningshjälp!AC$2:AH$1082,COLUMN(Beräkningshjälp!AH$2)-COLUMN(Beräkningshjälp!AC$2)+1,FALSE),"")</f>
        <v/>
      </c>
      <c r="I571" s="116" t="str">
        <f>IF(D571&lt;&gt;"",VLOOKUP(ROW(E570),Beräkningshjälp!AC$2:AI$1082,COLUMN(Beräkningshjälp!AI$2)-COLUMN(Beräkningshjälp!AC$2)+1,FALSE),"")</f>
        <v/>
      </c>
    </row>
    <row r="572" spans="1:9" x14ac:dyDescent="0.25">
      <c r="A572" s="2" t="str">
        <f t="shared" si="16"/>
        <v/>
      </c>
      <c r="B572" s="136" t="str">
        <f>IF(D572&lt;&gt;"",'DATA TILL SLU'!$J$3,"")</f>
        <v/>
      </c>
      <c r="C572" s="146" t="str">
        <f>IF(D572&lt;&gt;"",'DATA TILL SLU'!$K$3,"")</f>
        <v/>
      </c>
      <c r="D572" s="2" t="str">
        <f>IF('DATA TILL SLU'!$D$7*1&lt;&gt;"",IF(COUNT(Beräkningshjälp!$AC$3:$AC$1082)&gt;=ROW(D571),'DATA TILL SLU'!$D$7*1,""),"")</f>
        <v/>
      </c>
      <c r="E572" s="136" t="str">
        <f>IF(D572&lt;&gt;"",VLOOKUP(ROW(E571),Beräkningshjälp!AC$2:AH$1082,COLUMN(Beräkningshjälp!AF$2)-COLUMN(Beräkningshjälp!AC$2)+1,FALSE),"")</f>
        <v/>
      </c>
      <c r="F572" s="352" t="str">
        <f t="shared" si="17"/>
        <v/>
      </c>
      <c r="G572" s="2" t="str">
        <f>IF(D572&lt;&gt;"",IF(VLOOKUP(VLOOKUP(E572,Beräkningshjälp!O$2:U$60,7,FALSE),Artuppgifter!$I$11:$P$22,8,FALSE)=TRUE,"Medelvikter!!","ALLA"),"")</f>
        <v/>
      </c>
      <c r="H572" s="2" t="str">
        <f>IF(D572&lt;&gt;"",VLOOKUP(ROW(H571),Beräkningshjälp!AC$2:AH$1082,COLUMN(Beräkningshjälp!AH$2)-COLUMN(Beräkningshjälp!AC$2)+1,FALSE),"")</f>
        <v/>
      </c>
      <c r="I572" s="116" t="str">
        <f>IF(D572&lt;&gt;"",VLOOKUP(ROW(E571),Beräkningshjälp!AC$2:AI$1082,COLUMN(Beräkningshjälp!AI$2)-COLUMN(Beräkningshjälp!AC$2)+1,FALSE),"")</f>
        <v/>
      </c>
    </row>
    <row r="573" spans="1:9" x14ac:dyDescent="0.25">
      <c r="A573" s="2" t="str">
        <f t="shared" si="16"/>
        <v/>
      </c>
      <c r="B573" s="136" t="str">
        <f>IF(D573&lt;&gt;"",'DATA TILL SLU'!$J$3,"")</f>
        <v/>
      </c>
      <c r="C573" s="146" t="str">
        <f>IF(D573&lt;&gt;"",'DATA TILL SLU'!$K$3,"")</f>
        <v/>
      </c>
      <c r="D573" s="2" t="str">
        <f>IF('DATA TILL SLU'!$D$7*1&lt;&gt;"",IF(COUNT(Beräkningshjälp!$AC$3:$AC$1082)&gt;=ROW(D572),'DATA TILL SLU'!$D$7*1,""),"")</f>
        <v/>
      </c>
      <c r="E573" s="136" t="str">
        <f>IF(D573&lt;&gt;"",VLOOKUP(ROW(E572),Beräkningshjälp!AC$2:AH$1082,COLUMN(Beräkningshjälp!AF$2)-COLUMN(Beräkningshjälp!AC$2)+1,FALSE),"")</f>
        <v/>
      </c>
      <c r="F573" s="352" t="str">
        <f t="shared" si="17"/>
        <v/>
      </c>
      <c r="G573" s="2" t="str">
        <f>IF(D573&lt;&gt;"",IF(VLOOKUP(VLOOKUP(E573,Beräkningshjälp!O$2:U$60,7,FALSE),Artuppgifter!$I$11:$P$22,8,FALSE)=TRUE,"Medelvikter!!","ALLA"),"")</f>
        <v/>
      </c>
      <c r="H573" s="2" t="str">
        <f>IF(D573&lt;&gt;"",VLOOKUP(ROW(H572),Beräkningshjälp!AC$2:AH$1082,COLUMN(Beräkningshjälp!AH$2)-COLUMN(Beräkningshjälp!AC$2)+1,FALSE),"")</f>
        <v/>
      </c>
      <c r="I573" s="116" t="str">
        <f>IF(D573&lt;&gt;"",VLOOKUP(ROW(E572),Beräkningshjälp!AC$2:AI$1082,COLUMN(Beräkningshjälp!AI$2)-COLUMN(Beräkningshjälp!AC$2)+1,FALSE),"")</f>
        <v/>
      </c>
    </row>
    <row r="574" spans="1:9" x14ac:dyDescent="0.25">
      <c r="A574" s="2" t="str">
        <f t="shared" si="16"/>
        <v/>
      </c>
      <c r="B574" s="136" t="str">
        <f>IF(D574&lt;&gt;"",'DATA TILL SLU'!$J$3,"")</f>
        <v/>
      </c>
      <c r="C574" s="146" t="str">
        <f>IF(D574&lt;&gt;"",'DATA TILL SLU'!$K$3,"")</f>
        <v/>
      </c>
      <c r="D574" s="2" t="str">
        <f>IF('DATA TILL SLU'!$D$7*1&lt;&gt;"",IF(COUNT(Beräkningshjälp!$AC$3:$AC$1082)&gt;=ROW(D573),'DATA TILL SLU'!$D$7*1,""),"")</f>
        <v/>
      </c>
      <c r="E574" s="136" t="str">
        <f>IF(D574&lt;&gt;"",VLOOKUP(ROW(E573),Beräkningshjälp!AC$2:AH$1082,COLUMN(Beräkningshjälp!AF$2)-COLUMN(Beräkningshjälp!AC$2)+1,FALSE),"")</f>
        <v/>
      </c>
      <c r="F574" s="352" t="str">
        <f t="shared" si="17"/>
        <v/>
      </c>
      <c r="G574" s="2" t="str">
        <f>IF(D574&lt;&gt;"",IF(VLOOKUP(VLOOKUP(E574,Beräkningshjälp!O$2:U$60,7,FALSE),Artuppgifter!$I$11:$P$22,8,FALSE)=TRUE,"Medelvikter!!","ALLA"),"")</f>
        <v/>
      </c>
      <c r="H574" s="2" t="str">
        <f>IF(D574&lt;&gt;"",VLOOKUP(ROW(H573),Beräkningshjälp!AC$2:AH$1082,COLUMN(Beräkningshjälp!AH$2)-COLUMN(Beräkningshjälp!AC$2)+1,FALSE),"")</f>
        <v/>
      </c>
      <c r="I574" s="116" t="str">
        <f>IF(D574&lt;&gt;"",VLOOKUP(ROW(E573),Beräkningshjälp!AC$2:AI$1082,COLUMN(Beräkningshjälp!AI$2)-COLUMN(Beräkningshjälp!AC$2)+1,FALSE),"")</f>
        <v/>
      </c>
    </row>
    <row r="575" spans="1:9" x14ac:dyDescent="0.25">
      <c r="A575" s="2" t="str">
        <f t="shared" si="16"/>
        <v/>
      </c>
      <c r="B575" s="136" t="str">
        <f>IF(D575&lt;&gt;"",'DATA TILL SLU'!$J$3,"")</f>
        <v/>
      </c>
      <c r="C575" s="146" t="str">
        <f>IF(D575&lt;&gt;"",'DATA TILL SLU'!$K$3,"")</f>
        <v/>
      </c>
      <c r="D575" s="2" t="str">
        <f>IF('DATA TILL SLU'!$D$7*1&lt;&gt;"",IF(COUNT(Beräkningshjälp!$AC$3:$AC$1082)&gt;=ROW(D574),'DATA TILL SLU'!$D$7*1,""),"")</f>
        <v/>
      </c>
      <c r="E575" s="136" t="str">
        <f>IF(D575&lt;&gt;"",VLOOKUP(ROW(E574),Beräkningshjälp!AC$2:AH$1082,COLUMN(Beräkningshjälp!AF$2)-COLUMN(Beräkningshjälp!AC$2)+1,FALSE),"")</f>
        <v/>
      </c>
      <c r="F575" s="352" t="str">
        <f t="shared" si="17"/>
        <v/>
      </c>
      <c r="G575" s="2" t="str">
        <f>IF(D575&lt;&gt;"",IF(VLOOKUP(VLOOKUP(E575,Beräkningshjälp!O$2:U$60,7,FALSE),Artuppgifter!$I$11:$P$22,8,FALSE)=TRUE,"Medelvikter!!","ALLA"),"")</f>
        <v/>
      </c>
      <c r="H575" s="2" t="str">
        <f>IF(D575&lt;&gt;"",VLOOKUP(ROW(H574),Beräkningshjälp!AC$2:AH$1082,COLUMN(Beräkningshjälp!AH$2)-COLUMN(Beräkningshjälp!AC$2)+1,FALSE),"")</f>
        <v/>
      </c>
      <c r="I575" s="116" t="str">
        <f>IF(D575&lt;&gt;"",VLOOKUP(ROW(E574),Beräkningshjälp!AC$2:AI$1082,COLUMN(Beräkningshjälp!AI$2)-COLUMN(Beräkningshjälp!AC$2)+1,FALSE),"")</f>
        <v/>
      </c>
    </row>
    <row r="576" spans="1:9" x14ac:dyDescent="0.25">
      <c r="A576" s="2" t="str">
        <f t="shared" si="16"/>
        <v/>
      </c>
      <c r="B576" s="136" t="str">
        <f>IF(D576&lt;&gt;"",'DATA TILL SLU'!$J$3,"")</f>
        <v/>
      </c>
      <c r="C576" s="146" t="str">
        <f>IF(D576&lt;&gt;"",'DATA TILL SLU'!$K$3,"")</f>
        <v/>
      </c>
      <c r="D576" s="2" t="str">
        <f>IF('DATA TILL SLU'!$D$7*1&lt;&gt;"",IF(COUNT(Beräkningshjälp!$AC$3:$AC$1082)&gt;=ROW(D575),'DATA TILL SLU'!$D$7*1,""),"")</f>
        <v/>
      </c>
      <c r="E576" s="136" t="str">
        <f>IF(D576&lt;&gt;"",VLOOKUP(ROW(E575),Beräkningshjälp!AC$2:AH$1082,COLUMN(Beräkningshjälp!AF$2)-COLUMN(Beräkningshjälp!AC$2)+1,FALSE),"")</f>
        <v/>
      </c>
      <c r="F576" s="352" t="str">
        <f t="shared" si="17"/>
        <v/>
      </c>
      <c r="G576" s="2" t="str">
        <f>IF(D576&lt;&gt;"",IF(VLOOKUP(VLOOKUP(E576,Beräkningshjälp!O$2:U$60,7,FALSE),Artuppgifter!$I$11:$P$22,8,FALSE)=TRUE,"Medelvikter!!","ALLA"),"")</f>
        <v/>
      </c>
      <c r="H576" s="2" t="str">
        <f>IF(D576&lt;&gt;"",VLOOKUP(ROW(H575),Beräkningshjälp!AC$2:AH$1082,COLUMN(Beräkningshjälp!AH$2)-COLUMN(Beräkningshjälp!AC$2)+1,FALSE),"")</f>
        <v/>
      </c>
      <c r="I576" s="116" t="str">
        <f>IF(D576&lt;&gt;"",VLOOKUP(ROW(E575),Beräkningshjälp!AC$2:AI$1082,COLUMN(Beräkningshjälp!AI$2)-COLUMN(Beräkningshjälp!AC$2)+1,FALSE),"")</f>
        <v/>
      </c>
    </row>
    <row r="577" spans="1:9" x14ac:dyDescent="0.25">
      <c r="A577" s="2" t="str">
        <f t="shared" si="16"/>
        <v/>
      </c>
      <c r="B577" s="136" t="str">
        <f>IF(D577&lt;&gt;"",'DATA TILL SLU'!$J$3,"")</f>
        <v/>
      </c>
      <c r="C577" s="146" t="str">
        <f>IF(D577&lt;&gt;"",'DATA TILL SLU'!$K$3,"")</f>
        <v/>
      </c>
      <c r="D577" s="2" t="str">
        <f>IF('DATA TILL SLU'!$D$7*1&lt;&gt;"",IF(COUNT(Beräkningshjälp!$AC$3:$AC$1082)&gt;=ROW(D576),'DATA TILL SLU'!$D$7*1,""),"")</f>
        <v/>
      </c>
      <c r="E577" s="136" t="str">
        <f>IF(D577&lt;&gt;"",VLOOKUP(ROW(E576),Beräkningshjälp!AC$2:AH$1082,COLUMN(Beräkningshjälp!AF$2)-COLUMN(Beräkningshjälp!AC$2)+1,FALSE),"")</f>
        <v/>
      </c>
      <c r="F577" s="352" t="str">
        <f t="shared" si="17"/>
        <v/>
      </c>
      <c r="G577" s="2" t="str">
        <f>IF(D577&lt;&gt;"",IF(VLOOKUP(VLOOKUP(E577,Beräkningshjälp!O$2:U$60,7,FALSE),Artuppgifter!$I$11:$P$22,8,FALSE)=TRUE,"Medelvikter!!","ALLA"),"")</f>
        <v/>
      </c>
      <c r="H577" s="2" t="str">
        <f>IF(D577&lt;&gt;"",VLOOKUP(ROW(H576),Beräkningshjälp!AC$2:AH$1082,COLUMN(Beräkningshjälp!AH$2)-COLUMN(Beräkningshjälp!AC$2)+1,FALSE),"")</f>
        <v/>
      </c>
      <c r="I577" s="116" t="str">
        <f>IF(D577&lt;&gt;"",VLOOKUP(ROW(E576),Beräkningshjälp!AC$2:AI$1082,COLUMN(Beräkningshjälp!AI$2)-COLUMN(Beräkningshjälp!AC$2)+1,FALSE),"")</f>
        <v/>
      </c>
    </row>
    <row r="578" spans="1:9" x14ac:dyDescent="0.25">
      <c r="A578" s="2" t="str">
        <f t="shared" si="16"/>
        <v/>
      </c>
      <c r="B578" s="136" t="str">
        <f>IF(D578&lt;&gt;"",'DATA TILL SLU'!$J$3,"")</f>
        <v/>
      </c>
      <c r="C578" s="146" t="str">
        <f>IF(D578&lt;&gt;"",'DATA TILL SLU'!$K$3,"")</f>
        <v/>
      </c>
      <c r="D578" s="2" t="str">
        <f>IF('DATA TILL SLU'!$D$7*1&lt;&gt;"",IF(COUNT(Beräkningshjälp!$AC$3:$AC$1082)&gt;=ROW(D577),'DATA TILL SLU'!$D$7*1,""),"")</f>
        <v/>
      </c>
      <c r="E578" s="136" t="str">
        <f>IF(D578&lt;&gt;"",VLOOKUP(ROW(E577),Beräkningshjälp!AC$2:AH$1082,COLUMN(Beräkningshjälp!AF$2)-COLUMN(Beräkningshjälp!AC$2)+1,FALSE),"")</f>
        <v/>
      </c>
      <c r="F578" s="352" t="str">
        <f t="shared" si="17"/>
        <v/>
      </c>
      <c r="G578" s="2" t="str">
        <f>IF(D578&lt;&gt;"",IF(VLOOKUP(VLOOKUP(E578,Beräkningshjälp!O$2:U$60,7,FALSE),Artuppgifter!$I$11:$P$22,8,FALSE)=TRUE,"Medelvikter!!","ALLA"),"")</f>
        <v/>
      </c>
      <c r="H578" s="2" t="str">
        <f>IF(D578&lt;&gt;"",VLOOKUP(ROW(H577),Beräkningshjälp!AC$2:AH$1082,COLUMN(Beräkningshjälp!AH$2)-COLUMN(Beräkningshjälp!AC$2)+1,FALSE),"")</f>
        <v/>
      </c>
      <c r="I578" s="116" t="str">
        <f>IF(D578&lt;&gt;"",VLOOKUP(ROW(E577),Beräkningshjälp!AC$2:AI$1082,COLUMN(Beräkningshjälp!AI$2)-COLUMN(Beräkningshjälp!AC$2)+1,FALSE),"")</f>
        <v/>
      </c>
    </row>
    <row r="579" spans="1:9" x14ac:dyDescent="0.25">
      <c r="A579" s="2" t="str">
        <f t="shared" ref="A579:A642" si="18">IF(D579&lt;&gt;"","LANGDVIKTER","")</f>
        <v/>
      </c>
      <c r="B579" s="136" t="str">
        <f>IF(D579&lt;&gt;"",'DATA TILL SLU'!$J$3,"")</f>
        <v/>
      </c>
      <c r="C579" s="146" t="str">
        <f>IF(D579&lt;&gt;"",'DATA TILL SLU'!$K$3,"")</f>
        <v/>
      </c>
      <c r="D579" s="2" t="str">
        <f>IF('DATA TILL SLU'!$D$7*1&lt;&gt;"",IF(COUNT(Beräkningshjälp!$AC$3:$AC$1082)&gt;=ROW(D578),'DATA TILL SLU'!$D$7*1,""),"")</f>
        <v/>
      </c>
      <c r="E579" s="136" t="str">
        <f>IF(D579&lt;&gt;"",VLOOKUP(ROW(E578),Beräkningshjälp!AC$2:AH$1082,COLUMN(Beräkningshjälp!AF$2)-COLUMN(Beräkningshjälp!AC$2)+1,FALSE),"")</f>
        <v/>
      </c>
      <c r="F579" s="352" t="str">
        <f t="shared" ref="F579:F642" si="19">IF(D579&lt;&gt;"","IND","")</f>
        <v/>
      </c>
      <c r="G579" s="2" t="str">
        <f>IF(D579&lt;&gt;"",IF(VLOOKUP(VLOOKUP(E579,Beräkningshjälp!O$2:U$60,7,FALSE),Artuppgifter!$I$11:$P$22,8,FALSE)=TRUE,"Medelvikter!!","ALLA"),"")</f>
        <v/>
      </c>
      <c r="H579" s="2" t="str">
        <f>IF(D579&lt;&gt;"",VLOOKUP(ROW(H578),Beräkningshjälp!AC$2:AH$1082,COLUMN(Beräkningshjälp!AH$2)-COLUMN(Beräkningshjälp!AC$2)+1,FALSE),"")</f>
        <v/>
      </c>
      <c r="I579" s="116" t="str">
        <f>IF(D579&lt;&gt;"",VLOOKUP(ROW(E578),Beräkningshjälp!AC$2:AI$1082,COLUMN(Beräkningshjälp!AI$2)-COLUMN(Beräkningshjälp!AC$2)+1,FALSE),"")</f>
        <v/>
      </c>
    </row>
    <row r="580" spans="1:9" x14ac:dyDescent="0.25">
      <c r="A580" s="2" t="str">
        <f t="shared" si="18"/>
        <v/>
      </c>
      <c r="B580" s="136" t="str">
        <f>IF(D580&lt;&gt;"",'DATA TILL SLU'!$J$3,"")</f>
        <v/>
      </c>
      <c r="C580" s="146" t="str">
        <f>IF(D580&lt;&gt;"",'DATA TILL SLU'!$K$3,"")</f>
        <v/>
      </c>
      <c r="D580" s="2" t="str">
        <f>IF('DATA TILL SLU'!$D$7*1&lt;&gt;"",IF(COUNT(Beräkningshjälp!$AC$3:$AC$1082)&gt;=ROW(D579),'DATA TILL SLU'!$D$7*1,""),"")</f>
        <v/>
      </c>
      <c r="E580" s="136" t="str">
        <f>IF(D580&lt;&gt;"",VLOOKUP(ROW(E579),Beräkningshjälp!AC$2:AH$1082,COLUMN(Beräkningshjälp!AF$2)-COLUMN(Beräkningshjälp!AC$2)+1,FALSE),"")</f>
        <v/>
      </c>
      <c r="F580" s="352" t="str">
        <f t="shared" si="19"/>
        <v/>
      </c>
      <c r="G580" s="2" t="str">
        <f>IF(D580&lt;&gt;"",IF(VLOOKUP(VLOOKUP(E580,Beräkningshjälp!O$2:U$60,7,FALSE),Artuppgifter!$I$11:$P$22,8,FALSE)=TRUE,"Medelvikter!!","ALLA"),"")</f>
        <v/>
      </c>
      <c r="H580" s="2" t="str">
        <f>IF(D580&lt;&gt;"",VLOOKUP(ROW(H579),Beräkningshjälp!AC$2:AH$1082,COLUMN(Beräkningshjälp!AH$2)-COLUMN(Beräkningshjälp!AC$2)+1,FALSE),"")</f>
        <v/>
      </c>
      <c r="I580" s="116" t="str">
        <f>IF(D580&lt;&gt;"",VLOOKUP(ROW(E579),Beräkningshjälp!AC$2:AI$1082,COLUMN(Beräkningshjälp!AI$2)-COLUMN(Beräkningshjälp!AC$2)+1,FALSE),"")</f>
        <v/>
      </c>
    </row>
    <row r="581" spans="1:9" x14ac:dyDescent="0.25">
      <c r="A581" s="2" t="str">
        <f t="shared" si="18"/>
        <v/>
      </c>
      <c r="B581" s="136" t="str">
        <f>IF(D581&lt;&gt;"",'DATA TILL SLU'!$J$3,"")</f>
        <v/>
      </c>
      <c r="C581" s="146" t="str">
        <f>IF(D581&lt;&gt;"",'DATA TILL SLU'!$K$3,"")</f>
        <v/>
      </c>
      <c r="D581" s="2" t="str">
        <f>IF('DATA TILL SLU'!$D$7*1&lt;&gt;"",IF(COUNT(Beräkningshjälp!$AC$3:$AC$1082)&gt;=ROW(D580),'DATA TILL SLU'!$D$7*1,""),"")</f>
        <v/>
      </c>
      <c r="E581" s="136" t="str">
        <f>IF(D581&lt;&gt;"",VLOOKUP(ROW(E580),Beräkningshjälp!AC$2:AH$1082,COLUMN(Beräkningshjälp!AF$2)-COLUMN(Beräkningshjälp!AC$2)+1,FALSE),"")</f>
        <v/>
      </c>
      <c r="F581" s="352" t="str">
        <f t="shared" si="19"/>
        <v/>
      </c>
      <c r="G581" s="2" t="str">
        <f>IF(D581&lt;&gt;"",IF(VLOOKUP(VLOOKUP(E581,Beräkningshjälp!O$2:U$60,7,FALSE),Artuppgifter!$I$11:$P$22,8,FALSE)=TRUE,"Medelvikter!!","ALLA"),"")</f>
        <v/>
      </c>
      <c r="H581" s="2" t="str">
        <f>IF(D581&lt;&gt;"",VLOOKUP(ROW(H580),Beräkningshjälp!AC$2:AH$1082,COLUMN(Beräkningshjälp!AH$2)-COLUMN(Beräkningshjälp!AC$2)+1,FALSE),"")</f>
        <v/>
      </c>
      <c r="I581" s="116" t="str">
        <f>IF(D581&lt;&gt;"",VLOOKUP(ROW(E580),Beräkningshjälp!AC$2:AI$1082,COLUMN(Beräkningshjälp!AI$2)-COLUMN(Beräkningshjälp!AC$2)+1,FALSE),"")</f>
        <v/>
      </c>
    </row>
    <row r="582" spans="1:9" x14ac:dyDescent="0.25">
      <c r="A582" s="2" t="str">
        <f t="shared" si="18"/>
        <v/>
      </c>
      <c r="B582" s="136" t="str">
        <f>IF(D582&lt;&gt;"",'DATA TILL SLU'!$J$3,"")</f>
        <v/>
      </c>
      <c r="C582" s="146" t="str">
        <f>IF(D582&lt;&gt;"",'DATA TILL SLU'!$K$3,"")</f>
        <v/>
      </c>
      <c r="D582" s="2" t="str">
        <f>IF('DATA TILL SLU'!$D$7*1&lt;&gt;"",IF(COUNT(Beräkningshjälp!$AC$3:$AC$1082)&gt;=ROW(D581),'DATA TILL SLU'!$D$7*1,""),"")</f>
        <v/>
      </c>
      <c r="E582" s="136" t="str">
        <f>IF(D582&lt;&gt;"",VLOOKUP(ROW(E581),Beräkningshjälp!AC$2:AH$1082,COLUMN(Beräkningshjälp!AF$2)-COLUMN(Beräkningshjälp!AC$2)+1,FALSE),"")</f>
        <v/>
      </c>
      <c r="F582" s="352" t="str">
        <f t="shared" si="19"/>
        <v/>
      </c>
      <c r="G582" s="2" t="str">
        <f>IF(D582&lt;&gt;"",IF(VLOOKUP(VLOOKUP(E582,Beräkningshjälp!O$2:U$60,7,FALSE),Artuppgifter!$I$11:$P$22,8,FALSE)=TRUE,"Medelvikter!!","ALLA"),"")</f>
        <v/>
      </c>
      <c r="H582" s="2" t="str">
        <f>IF(D582&lt;&gt;"",VLOOKUP(ROW(H581),Beräkningshjälp!AC$2:AH$1082,COLUMN(Beräkningshjälp!AH$2)-COLUMN(Beräkningshjälp!AC$2)+1,FALSE),"")</f>
        <v/>
      </c>
      <c r="I582" s="116" t="str">
        <f>IF(D582&lt;&gt;"",VLOOKUP(ROW(E581),Beräkningshjälp!AC$2:AI$1082,COLUMN(Beräkningshjälp!AI$2)-COLUMN(Beräkningshjälp!AC$2)+1,FALSE),"")</f>
        <v/>
      </c>
    </row>
    <row r="583" spans="1:9" x14ac:dyDescent="0.25">
      <c r="A583" s="2" t="str">
        <f t="shared" si="18"/>
        <v/>
      </c>
      <c r="B583" s="136" t="str">
        <f>IF(D583&lt;&gt;"",'DATA TILL SLU'!$J$3,"")</f>
        <v/>
      </c>
      <c r="C583" s="146" t="str">
        <f>IF(D583&lt;&gt;"",'DATA TILL SLU'!$K$3,"")</f>
        <v/>
      </c>
      <c r="D583" s="2" t="str">
        <f>IF('DATA TILL SLU'!$D$7*1&lt;&gt;"",IF(COUNT(Beräkningshjälp!$AC$3:$AC$1082)&gt;=ROW(D582),'DATA TILL SLU'!$D$7*1,""),"")</f>
        <v/>
      </c>
      <c r="E583" s="136" t="str">
        <f>IF(D583&lt;&gt;"",VLOOKUP(ROW(E582),Beräkningshjälp!AC$2:AH$1082,COLUMN(Beräkningshjälp!AF$2)-COLUMN(Beräkningshjälp!AC$2)+1,FALSE),"")</f>
        <v/>
      </c>
      <c r="F583" s="352" t="str">
        <f t="shared" si="19"/>
        <v/>
      </c>
      <c r="G583" s="2" t="str">
        <f>IF(D583&lt;&gt;"",IF(VLOOKUP(VLOOKUP(E583,Beräkningshjälp!O$2:U$60,7,FALSE),Artuppgifter!$I$11:$P$22,8,FALSE)=TRUE,"Medelvikter!!","ALLA"),"")</f>
        <v/>
      </c>
      <c r="H583" s="2" t="str">
        <f>IF(D583&lt;&gt;"",VLOOKUP(ROW(H582),Beräkningshjälp!AC$2:AH$1082,COLUMN(Beräkningshjälp!AH$2)-COLUMN(Beräkningshjälp!AC$2)+1,FALSE),"")</f>
        <v/>
      </c>
      <c r="I583" s="116" t="str">
        <f>IF(D583&lt;&gt;"",VLOOKUP(ROW(E582),Beräkningshjälp!AC$2:AI$1082,COLUMN(Beräkningshjälp!AI$2)-COLUMN(Beräkningshjälp!AC$2)+1,FALSE),"")</f>
        <v/>
      </c>
    </row>
    <row r="584" spans="1:9" x14ac:dyDescent="0.25">
      <c r="A584" s="2" t="str">
        <f t="shared" si="18"/>
        <v/>
      </c>
      <c r="B584" s="136" t="str">
        <f>IF(D584&lt;&gt;"",'DATA TILL SLU'!$J$3,"")</f>
        <v/>
      </c>
      <c r="C584" s="146" t="str">
        <f>IF(D584&lt;&gt;"",'DATA TILL SLU'!$K$3,"")</f>
        <v/>
      </c>
      <c r="D584" s="2" t="str">
        <f>IF('DATA TILL SLU'!$D$7*1&lt;&gt;"",IF(COUNT(Beräkningshjälp!$AC$3:$AC$1082)&gt;=ROW(D583),'DATA TILL SLU'!$D$7*1,""),"")</f>
        <v/>
      </c>
      <c r="E584" s="136" t="str">
        <f>IF(D584&lt;&gt;"",VLOOKUP(ROW(E583),Beräkningshjälp!AC$2:AH$1082,COLUMN(Beräkningshjälp!AF$2)-COLUMN(Beräkningshjälp!AC$2)+1,FALSE),"")</f>
        <v/>
      </c>
      <c r="F584" s="352" t="str">
        <f t="shared" si="19"/>
        <v/>
      </c>
      <c r="G584" s="2" t="str">
        <f>IF(D584&lt;&gt;"",IF(VLOOKUP(VLOOKUP(E584,Beräkningshjälp!O$2:U$60,7,FALSE),Artuppgifter!$I$11:$P$22,8,FALSE)=TRUE,"Medelvikter!!","ALLA"),"")</f>
        <v/>
      </c>
      <c r="H584" s="2" t="str">
        <f>IF(D584&lt;&gt;"",VLOOKUP(ROW(H583),Beräkningshjälp!AC$2:AH$1082,COLUMN(Beräkningshjälp!AH$2)-COLUMN(Beräkningshjälp!AC$2)+1,FALSE),"")</f>
        <v/>
      </c>
      <c r="I584" s="116" t="str">
        <f>IF(D584&lt;&gt;"",VLOOKUP(ROW(E583),Beräkningshjälp!AC$2:AI$1082,COLUMN(Beräkningshjälp!AI$2)-COLUMN(Beräkningshjälp!AC$2)+1,FALSE),"")</f>
        <v/>
      </c>
    </row>
    <row r="585" spans="1:9" x14ac:dyDescent="0.25">
      <c r="A585" s="2" t="str">
        <f t="shared" si="18"/>
        <v/>
      </c>
      <c r="B585" s="136" t="str">
        <f>IF(D585&lt;&gt;"",'DATA TILL SLU'!$J$3,"")</f>
        <v/>
      </c>
      <c r="C585" s="146" t="str">
        <f>IF(D585&lt;&gt;"",'DATA TILL SLU'!$K$3,"")</f>
        <v/>
      </c>
      <c r="D585" s="2" t="str">
        <f>IF('DATA TILL SLU'!$D$7*1&lt;&gt;"",IF(COUNT(Beräkningshjälp!$AC$3:$AC$1082)&gt;=ROW(D584),'DATA TILL SLU'!$D$7*1,""),"")</f>
        <v/>
      </c>
      <c r="E585" s="136" t="str">
        <f>IF(D585&lt;&gt;"",VLOOKUP(ROW(E584),Beräkningshjälp!AC$2:AH$1082,COLUMN(Beräkningshjälp!AF$2)-COLUMN(Beräkningshjälp!AC$2)+1,FALSE),"")</f>
        <v/>
      </c>
      <c r="F585" s="352" t="str">
        <f t="shared" si="19"/>
        <v/>
      </c>
      <c r="G585" s="2" t="str">
        <f>IF(D585&lt;&gt;"",IF(VLOOKUP(VLOOKUP(E585,Beräkningshjälp!O$2:U$60,7,FALSE),Artuppgifter!$I$11:$P$22,8,FALSE)=TRUE,"Medelvikter!!","ALLA"),"")</f>
        <v/>
      </c>
      <c r="H585" s="2" t="str">
        <f>IF(D585&lt;&gt;"",VLOOKUP(ROW(H584),Beräkningshjälp!AC$2:AH$1082,COLUMN(Beräkningshjälp!AH$2)-COLUMN(Beräkningshjälp!AC$2)+1,FALSE),"")</f>
        <v/>
      </c>
      <c r="I585" s="116" t="str">
        <f>IF(D585&lt;&gt;"",VLOOKUP(ROW(E584),Beräkningshjälp!AC$2:AI$1082,COLUMN(Beräkningshjälp!AI$2)-COLUMN(Beräkningshjälp!AC$2)+1,FALSE),"")</f>
        <v/>
      </c>
    </row>
    <row r="586" spans="1:9" x14ac:dyDescent="0.25">
      <c r="A586" s="2" t="str">
        <f t="shared" si="18"/>
        <v/>
      </c>
      <c r="B586" s="136" t="str">
        <f>IF(D586&lt;&gt;"",'DATA TILL SLU'!$J$3,"")</f>
        <v/>
      </c>
      <c r="C586" s="146" t="str">
        <f>IF(D586&lt;&gt;"",'DATA TILL SLU'!$K$3,"")</f>
        <v/>
      </c>
      <c r="D586" s="2" t="str">
        <f>IF('DATA TILL SLU'!$D$7*1&lt;&gt;"",IF(COUNT(Beräkningshjälp!$AC$3:$AC$1082)&gt;=ROW(D585),'DATA TILL SLU'!$D$7*1,""),"")</f>
        <v/>
      </c>
      <c r="E586" s="136" t="str">
        <f>IF(D586&lt;&gt;"",VLOOKUP(ROW(E585),Beräkningshjälp!AC$2:AH$1082,COLUMN(Beräkningshjälp!AF$2)-COLUMN(Beräkningshjälp!AC$2)+1,FALSE),"")</f>
        <v/>
      </c>
      <c r="F586" s="352" t="str">
        <f t="shared" si="19"/>
        <v/>
      </c>
      <c r="G586" s="2" t="str">
        <f>IF(D586&lt;&gt;"",IF(VLOOKUP(VLOOKUP(E586,Beräkningshjälp!O$2:U$60,7,FALSE),Artuppgifter!$I$11:$P$22,8,FALSE)=TRUE,"Medelvikter!!","ALLA"),"")</f>
        <v/>
      </c>
      <c r="H586" s="2" t="str">
        <f>IF(D586&lt;&gt;"",VLOOKUP(ROW(H585),Beräkningshjälp!AC$2:AH$1082,COLUMN(Beräkningshjälp!AH$2)-COLUMN(Beräkningshjälp!AC$2)+1,FALSE),"")</f>
        <v/>
      </c>
      <c r="I586" s="116" t="str">
        <f>IF(D586&lt;&gt;"",VLOOKUP(ROW(E585),Beräkningshjälp!AC$2:AI$1082,COLUMN(Beräkningshjälp!AI$2)-COLUMN(Beräkningshjälp!AC$2)+1,FALSE),"")</f>
        <v/>
      </c>
    </row>
    <row r="587" spans="1:9" x14ac:dyDescent="0.25">
      <c r="A587" s="2" t="str">
        <f t="shared" si="18"/>
        <v/>
      </c>
      <c r="B587" s="136" t="str">
        <f>IF(D587&lt;&gt;"",'DATA TILL SLU'!$J$3,"")</f>
        <v/>
      </c>
      <c r="C587" s="146" t="str">
        <f>IF(D587&lt;&gt;"",'DATA TILL SLU'!$K$3,"")</f>
        <v/>
      </c>
      <c r="D587" s="2" t="str">
        <f>IF('DATA TILL SLU'!$D$7*1&lt;&gt;"",IF(COUNT(Beräkningshjälp!$AC$3:$AC$1082)&gt;=ROW(D586),'DATA TILL SLU'!$D$7*1,""),"")</f>
        <v/>
      </c>
      <c r="E587" s="136" t="str">
        <f>IF(D587&lt;&gt;"",VLOOKUP(ROW(E586),Beräkningshjälp!AC$2:AH$1082,COLUMN(Beräkningshjälp!AF$2)-COLUMN(Beräkningshjälp!AC$2)+1,FALSE),"")</f>
        <v/>
      </c>
      <c r="F587" s="352" t="str">
        <f t="shared" si="19"/>
        <v/>
      </c>
      <c r="G587" s="2" t="str">
        <f>IF(D587&lt;&gt;"",IF(VLOOKUP(VLOOKUP(E587,Beräkningshjälp!O$2:U$60,7,FALSE),Artuppgifter!$I$11:$P$22,8,FALSE)=TRUE,"Medelvikter!!","ALLA"),"")</f>
        <v/>
      </c>
      <c r="H587" s="2" t="str">
        <f>IF(D587&lt;&gt;"",VLOOKUP(ROW(H586),Beräkningshjälp!AC$2:AH$1082,COLUMN(Beräkningshjälp!AH$2)-COLUMN(Beräkningshjälp!AC$2)+1,FALSE),"")</f>
        <v/>
      </c>
      <c r="I587" s="116" t="str">
        <f>IF(D587&lt;&gt;"",VLOOKUP(ROW(E586),Beräkningshjälp!AC$2:AI$1082,COLUMN(Beräkningshjälp!AI$2)-COLUMN(Beräkningshjälp!AC$2)+1,FALSE),"")</f>
        <v/>
      </c>
    </row>
    <row r="588" spans="1:9" x14ac:dyDescent="0.25">
      <c r="A588" s="2" t="str">
        <f t="shared" si="18"/>
        <v/>
      </c>
      <c r="B588" s="136" t="str">
        <f>IF(D588&lt;&gt;"",'DATA TILL SLU'!$J$3,"")</f>
        <v/>
      </c>
      <c r="C588" s="146" t="str">
        <f>IF(D588&lt;&gt;"",'DATA TILL SLU'!$K$3,"")</f>
        <v/>
      </c>
      <c r="D588" s="2" t="str">
        <f>IF('DATA TILL SLU'!$D$7*1&lt;&gt;"",IF(COUNT(Beräkningshjälp!$AC$3:$AC$1082)&gt;=ROW(D587),'DATA TILL SLU'!$D$7*1,""),"")</f>
        <v/>
      </c>
      <c r="E588" s="136" t="str">
        <f>IF(D588&lt;&gt;"",VLOOKUP(ROW(E587),Beräkningshjälp!AC$2:AH$1082,COLUMN(Beräkningshjälp!AF$2)-COLUMN(Beräkningshjälp!AC$2)+1,FALSE),"")</f>
        <v/>
      </c>
      <c r="F588" s="352" t="str">
        <f t="shared" si="19"/>
        <v/>
      </c>
      <c r="G588" s="2" t="str">
        <f>IF(D588&lt;&gt;"",IF(VLOOKUP(VLOOKUP(E588,Beräkningshjälp!O$2:U$60,7,FALSE),Artuppgifter!$I$11:$P$22,8,FALSE)=TRUE,"Medelvikter!!","ALLA"),"")</f>
        <v/>
      </c>
      <c r="H588" s="2" t="str">
        <f>IF(D588&lt;&gt;"",VLOOKUP(ROW(H587),Beräkningshjälp!AC$2:AH$1082,COLUMN(Beräkningshjälp!AH$2)-COLUMN(Beräkningshjälp!AC$2)+1,FALSE),"")</f>
        <v/>
      </c>
      <c r="I588" s="116" t="str">
        <f>IF(D588&lt;&gt;"",VLOOKUP(ROW(E587),Beräkningshjälp!AC$2:AI$1082,COLUMN(Beräkningshjälp!AI$2)-COLUMN(Beräkningshjälp!AC$2)+1,FALSE),"")</f>
        <v/>
      </c>
    </row>
    <row r="589" spans="1:9" x14ac:dyDescent="0.25">
      <c r="A589" s="2" t="str">
        <f t="shared" si="18"/>
        <v/>
      </c>
      <c r="B589" s="136" t="str">
        <f>IF(D589&lt;&gt;"",'DATA TILL SLU'!$J$3,"")</f>
        <v/>
      </c>
      <c r="C589" s="146" t="str">
        <f>IF(D589&lt;&gt;"",'DATA TILL SLU'!$K$3,"")</f>
        <v/>
      </c>
      <c r="D589" s="2" t="str">
        <f>IF('DATA TILL SLU'!$D$7*1&lt;&gt;"",IF(COUNT(Beräkningshjälp!$AC$3:$AC$1082)&gt;=ROW(D588),'DATA TILL SLU'!$D$7*1,""),"")</f>
        <v/>
      </c>
      <c r="E589" s="136" t="str">
        <f>IF(D589&lt;&gt;"",VLOOKUP(ROW(E588),Beräkningshjälp!AC$2:AH$1082,COLUMN(Beräkningshjälp!AF$2)-COLUMN(Beräkningshjälp!AC$2)+1,FALSE),"")</f>
        <v/>
      </c>
      <c r="F589" s="352" t="str">
        <f t="shared" si="19"/>
        <v/>
      </c>
      <c r="G589" s="2" t="str">
        <f>IF(D589&lt;&gt;"",IF(VLOOKUP(VLOOKUP(E589,Beräkningshjälp!O$2:U$60,7,FALSE),Artuppgifter!$I$11:$P$22,8,FALSE)=TRUE,"Medelvikter!!","ALLA"),"")</f>
        <v/>
      </c>
      <c r="H589" s="2" t="str">
        <f>IF(D589&lt;&gt;"",VLOOKUP(ROW(H588),Beräkningshjälp!AC$2:AH$1082,COLUMN(Beräkningshjälp!AH$2)-COLUMN(Beräkningshjälp!AC$2)+1,FALSE),"")</f>
        <v/>
      </c>
      <c r="I589" s="116" t="str">
        <f>IF(D589&lt;&gt;"",VLOOKUP(ROW(E588),Beräkningshjälp!AC$2:AI$1082,COLUMN(Beräkningshjälp!AI$2)-COLUMN(Beräkningshjälp!AC$2)+1,FALSE),"")</f>
        <v/>
      </c>
    </row>
    <row r="590" spans="1:9" x14ac:dyDescent="0.25">
      <c r="A590" s="2" t="str">
        <f t="shared" si="18"/>
        <v/>
      </c>
      <c r="B590" s="136" t="str">
        <f>IF(D590&lt;&gt;"",'DATA TILL SLU'!$J$3,"")</f>
        <v/>
      </c>
      <c r="C590" s="146" t="str">
        <f>IF(D590&lt;&gt;"",'DATA TILL SLU'!$K$3,"")</f>
        <v/>
      </c>
      <c r="D590" s="2" t="str">
        <f>IF('DATA TILL SLU'!$D$7*1&lt;&gt;"",IF(COUNT(Beräkningshjälp!$AC$3:$AC$1082)&gt;=ROW(D589),'DATA TILL SLU'!$D$7*1,""),"")</f>
        <v/>
      </c>
      <c r="E590" s="136" t="str">
        <f>IF(D590&lt;&gt;"",VLOOKUP(ROW(E589),Beräkningshjälp!AC$2:AH$1082,COLUMN(Beräkningshjälp!AF$2)-COLUMN(Beräkningshjälp!AC$2)+1,FALSE),"")</f>
        <v/>
      </c>
      <c r="F590" s="352" t="str">
        <f t="shared" si="19"/>
        <v/>
      </c>
      <c r="G590" s="2" t="str">
        <f>IF(D590&lt;&gt;"",IF(VLOOKUP(VLOOKUP(E590,Beräkningshjälp!O$2:U$60,7,FALSE),Artuppgifter!$I$11:$P$22,8,FALSE)=TRUE,"Medelvikter!!","ALLA"),"")</f>
        <v/>
      </c>
      <c r="H590" s="2" t="str">
        <f>IF(D590&lt;&gt;"",VLOOKUP(ROW(H589),Beräkningshjälp!AC$2:AH$1082,COLUMN(Beräkningshjälp!AH$2)-COLUMN(Beräkningshjälp!AC$2)+1,FALSE),"")</f>
        <v/>
      </c>
      <c r="I590" s="116" t="str">
        <f>IF(D590&lt;&gt;"",VLOOKUP(ROW(E589),Beräkningshjälp!AC$2:AI$1082,COLUMN(Beräkningshjälp!AI$2)-COLUMN(Beräkningshjälp!AC$2)+1,FALSE),"")</f>
        <v/>
      </c>
    </row>
    <row r="591" spans="1:9" x14ac:dyDescent="0.25">
      <c r="A591" s="2" t="str">
        <f t="shared" si="18"/>
        <v/>
      </c>
      <c r="B591" s="136" t="str">
        <f>IF(D591&lt;&gt;"",'DATA TILL SLU'!$J$3,"")</f>
        <v/>
      </c>
      <c r="C591" s="146" t="str">
        <f>IF(D591&lt;&gt;"",'DATA TILL SLU'!$K$3,"")</f>
        <v/>
      </c>
      <c r="D591" s="2" t="str">
        <f>IF('DATA TILL SLU'!$D$7*1&lt;&gt;"",IF(COUNT(Beräkningshjälp!$AC$3:$AC$1082)&gt;=ROW(D590),'DATA TILL SLU'!$D$7*1,""),"")</f>
        <v/>
      </c>
      <c r="E591" s="136" t="str">
        <f>IF(D591&lt;&gt;"",VLOOKUP(ROW(E590),Beräkningshjälp!AC$2:AH$1082,COLUMN(Beräkningshjälp!AF$2)-COLUMN(Beräkningshjälp!AC$2)+1,FALSE),"")</f>
        <v/>
      </c>
      <c r="F591" s="352" t="str">
        <f t="shared" si="19"/>
        <v/>
      </c>
      <c r="G591" s="2" t="str">
        <f>IF(D591&lt;&gt;"",IF(VLOOKUP(VLOOKUP(E591,Beräkningshjälp!O$2:U$60,7,FALSE),Artuppgifter!$I$11:$P$22,8,FALSE)=TRUE,"Medelvikter!!","ALLA"),"")</f>
        <v/>
      </c>
      <c r="H591" s="2" t="str">
        <f>IF(D591&lt;&gt;"",VLOOKUP(ROW(H590),Beräkningshjälp!AC$2:AH$1082,COLUMN(Beräkningshjälp!AH$2)-COLUMN(Beräkningshjälp!AC$2)+1,FALSE),"")</f>
        <v/>
      </c>
      <c r="I591" s="116" t="str">
        <f>IF(D591&lt;&gt;"",VLOOKUP(ROW(E590),Beräkningshjälp!AC$2:AI$1082,COLUMN(Beräkningshjälp!AI$2)-COLUMN(Beräkningshjälp!AC$2)+1,FALSE),"")</f>
        <v/>
      </c>
    </row>
    <row r="592" spans="1:9" x14ac:dyDescent="0.25">
      <c r="A592" s="2" t="str">
        <f t="shared" si="18"/>
        <v/>
      </c>
      <c r="B592" s="136" t="str">
        <f>IF(D592&lt;&gt;"",'DATA TILL SLU'!$J$3,"")</f>
        <v/>
      </c>
      <c r="C592" s="146" t="str">
        <f>IF(D592&lt;&gt;"",'DATA TILL SLU'!$K$3,"")</f>
        <v/>
      </c>
      <c r="D592" s="2" t="str">
        <f>IF('DATA TILL SLU'!$D$7*1&lt;&gt;"",IF(COUNT(Beräkningshjälp!$AC$3:$AC$1082)&gt;=ROW(D591),'DATA TILL SLU'!$D$7*1,""),"")</f>
        <v/>
      </c>
      <c r="E592" s="136" t="str">
        <f>IF(D592&lt;&gt;"",VLOOKUP(ROW(E591),Beräkningshjälp!AC$2:AH$1082,COLUMN(Beräkningshjälp!AF$2)-COLUMN(Beräkningshjälp!AC$2)+1,FALSE),"")</f>
        <v/>
      </c>
      <c r="F592" s="352" t="str">
        <f t="shared" si="19"/>
        <v/>
      </c>
      <c r="G592" s="2" t="str">
        <f>IF(D592&lt;&gt;"",IF(VLOOKUP(VLOOKUP(E592,Beräkningshjälp!O$2:U$60,7,FALSE),Artuppgifter!$I$11:$P$22,8,FALSE)=TRUE,"Medelvikter!!","ALLA"),"")</f>
        <v/>
      </c>
      <c r="H592" s="2" t="str">
        <f>IF(D592&lt;&gt;"",VLOOKUP(ROW(H591),Beräkningshjälp!AC$2:AH$1082,COLUMN(Beräkningshjälp!AH$2)-COLUMN(Beräkningshjälp!AC$2)+1,FALSE),"")</f>
        <v/>
      </c>
      <c r="I592" s="116" t="str">
        <f>IF(D592&lt;&gt;"",VLOOKUP(ROW(E591),Beräkningshjälp!AC$2:AI$1082,COLUMN(Beräkningshjälp!AI$2)-COLUMN(Beräkningshjälp!AC$2)+1,FALSE),"")</f>
        <v/>
      </c>
    </row>
    <row r="593" spans="1:9" x14ac:dyDescent="0.25">
      <c r="A593" s="2" t="str">
        <f t="shared" si="18"/>
        <v/>
      </c>
      <c r="B593" s="136" t="str">
        <f>IF(D593&lt;&gt;"",'DATA TILL SLU'!$J$3,"")</f>
        <v/>
      </c>
      <c r="C593" s="146" t="str">
        <f>IF(D593&lt;&gt;"",'DATA TILL SLU'!$K$3,"")</f>
        <v/>
      </c>
      <c r="D593" s="2" t="str">
        <f>IF('DATA TILL SLU'!$D$7*1&lt;&gt;"",IF(COUNT(Beräkningshjälp!$AC$3:$AC$1082)&gt;=ROW(D592),'DATA TILL SLU'!$D$7*1,""),"")</f>
        <v/>
      </c>
      <c r="E593" s="136" t="str">
        <f>IF(D593&lt;&gt;"",VLOOKUP(ROW(E592),Beräkningshjälp!AC$2:AH$1082,COLUMN(Beräkningshjälp!AF$2)-COLUMN(Beräkningshjälp!AC$2)+1,FALSE),"")</f>
        <v/>
      </c>
      <c r="F593" s="352" t="str">
        <f t="shared" si="19"/>
        <v/>
      </c>
      <c r="G593" s="2" t="str">
        <f>IF(D593&lt;&gt;"",IF(VLOOKUP(VLOOKUP(E593,Beräkningshjälp!O$2:U$60,7,FALSE),Artuppgifter!$I$11:$P$22,8,FALSE)=TRUE,"Medelvikter!!","ALLA"),"")</f>
        <v/>
      </c>
      <c r="H593" s="2" t="str">
        <f>IF(D593&lt;&gt;"",VLOOKUP(ROW(H592),Beräkningshjälp!AC$2:AH$1082,COLUMN(Beräkningshjälp!AH$2)-COLUMN(Beräkningshjälp!AC$2)+1,FALSE),"")</f>
        <v/>
      </c>
      <c r="I593" s="116" t="str">
        <f>IF(D593&lt;&gt;"",VLOOKUP(ROW(E592),Beräkningshjälp!AC$2:AI$1082,COLUMN(Beräkningshjälp!AI$2)-COLUMN(Beräkningshjälp!AC$2)+1,FALSE),"")</f>
        <v/>
      </c>
    </row>
    <row r="594" spans="1:9" x14ac:dyDescent="0.25">
      <c r="A594" s="2" t="str">
        <f t="shared" si="18"/>
        <v/>
      </c>
      <c r="B594" s="136" t="str">
        <f>IF(D594&lt;&gt;"",'DATA TILL SLU'!$J$3,"")</f>
        <v/>
      </c>
      <c r="C594" s="146" t="str">
        <f>IF(D594&lt;&gt;"",'DATA TILL SLU'!$K$3,"")</f>
        <v/>
      </c>
      <c r="D594" s="2" t="str">
        <f>IF('DATA TILL SLU'!$D$7*1&lt;&gt;"",IF(COUNT(Beräkningshjälp!$AC$3:$AC$1082)&gt;=ROW(D593),'DATA TILL SLU'!$D$7*1,""),"")</f>
        <v/>
      </c>
      <c r="E594" s="136" t="str">
        <f>IF(D594&lt;&gt;"",VLOOKUP(ROW(E593),Beräkningshjälp!AC$2:AH$1082,COLUMN(Beräkningshjälp!AF$2)-COLUMN(Beräkningshjälp!AC$2)+1,FALSE),"")</f>
        <v/>
      </c>
      <c r="F594" s="352" t="str">
        <f t="shared" si="19"/>
        <v/>
      </c>
      <c r="G594" s="2" t="str">
        <f>IF(D594&lt;&gt;"",IF(VLOOKUP(VLOOKUP(E594,Beräkningshjälp!O$2:U$60,7,FALSE),Artuppgifter!$I$11:$P$22,8,FALSE)=TRUE,"Medelvikter!!","ALLA"),"")</f>
        <v/>
      </c>
      <c r="H594" s="2" t="str">
        <f>IF(D594&lt;&gt;"",VLOOKUP(ROW(H593),Beräkningshjälp!AC$2:AH$1082,COLUMN(Beräkningshjälp!AH$2)-COLUMN(Beräkningshjälp!AC$2)+1,FALSE),"")</f>
        <v/>
      </c>
      <c r="I594" s="116" t="str">
        <f>IF(D594&lt;&gt;"",VLOOKUP(ROW(E593),Beräkningshjälp!AC$2:AI$1082,COLUMN(Beräkningshjälp!AI$2)-COLUMN(Beräkningshjälp!AC$2)+1,FALSE),"")</f>
        <v/>
      </c>
    </row>
    <row r="595" spans="1:9" x14ac:dyDescent="0.25">
      <c r="A595" s="2" t="str">
        <f t="shared" si="18"/>
        <v/>
      </c>
      <c r="B595" s="136" t="str">
        <f>IF(D595&lt;&gt;"",'DATA TILL SLU'!$J$3,"")</f>
        <v/>
      </c>
      <c r="C595" s="146" t="str">
        <f>IF(D595&lt;&gt;"",'DATA TILL SLU'!$K$3,"")</f>
        <v/>
      </c>
      <c r="D595" s="2" t="str">
        <f>IF('DATA TILL SLU'!$D$7*1&lt;&gt;"",IF(COUNT(Beräkningshjälp!$AC$3:$AC$1082)&gt;=ROW(D594),'DATA TILL SLU'!$D$7*1,""),"")</f>
        <v/>
      </c>
      <c r="E595" s="136" t="str">
        <f>IF(D595&lt;&gt;"",VLOOKUP(ROW(E594),Beräkningshjälp!AC$2:AH$1082,COLUMN(Beräkningshjälp!AF$2)-COLUMN(Beräkningshjälp!AC$2)+1,FALSE),"")</f>
        <v/>
      </c>
      <c r="F595" s="352" t="str">
        <f t="shared" si="19"/>
        <v/>
      </c>
      <c r="G595" s="2" t="str">
        <f>IF(D595&lt;&gt;"",IF(VLOOKUP(VLOOKUP(E595,Beräkningshjälp!O$2:U$60,7,FALSE),Artuppgifter!$I$11:$P$22,8,FALSE)=TRUE,"Medelvikter!!","ALLA"),"")</f>
        <v/>
      </c>
      <c r="H595" s="2" t="str">
        <f>IF(D595&lt;&gt;"",VLOOKUP(ROW(H594),Beräkningshjälp!AC$2:AH$1082,COLUMN(Beräkningshjälp!AH$2)-COLUMN(Beräkningshjälp!AC$2)+1,FALSE),"")</f>
        <v/>
      </c>
      <c r="I595" s="116" t="str">
        <f>IF(D595&lt;&gt;"",VLOOKUP(ROW(E594),Beräkningshjälp!AC$2:AI$1082,COLUMN(Beräkningshjälp!AI$2)-COLUMN(Beräkningshjälp!AC$2)+1,FALSE),"")</f>
        <v/>
      </c>
    </row>
    <row r="596" spans="1:9" x14ac:dyDescent="0.25">
      <c r="A596" s="2" t="str">
        <f t="shared" si="18"/>
        <v/>
      </c>
      <c r="B596" s="136" t="str">
        <f>IF(D596&lt;&gt;"",'DATA TILL SLU'!$J$3,"")</f>
        <v/>
      </c>
      <c r="C596" s="146" t="str">
        <f>IF(D596&lt;&gt;"",'DATA TILL SLU'!$K$3,"")</f>
        <v/>
      </c>
      <c r="D596" s="2" t="str">
        <f>IF('DATA TILL SLU'!$D$7*1&lt;&gt;"",IF(COUNT(Beräkningshjälp!$AC$3:$AC$1082)&gt;=ROW(D595),'DATA TILL SLU'!$D$7*1,""),"")</f>
        <v/>
      </c>
      <c r="E596" s="136" t="str">
        <f>IF(D596&lt;&gt;"",VLOOKUP(ROW(E595),Beräkningshjälp!AC$2:AH$1082,COLUMN(Beräkningshjälp!AF$2)-COLUMN(Beräkningshjälp!AC$2)+1,FALSE),"")</f>
        <v/>
      </c>
      <c r="F596" s="352" t="str">
        <f t="shared" si="19"/>
        <v/>
      </c>
      <c r="G596" s="2" t="str">
        <f>IF(D596&lt;&gt;"",IF(VLOOKUP(VLOOKUP(E596,Beräkningshjälp!O$2:U$60,7,FALSE),Artuppgifter!$I$11:$P$22,8,FALSE)=TRUE,"Medelvikter!!","ALLA"),"")</f>
        <v/>
      </c>
      <c r="H596" s="2" t="str">
        <f>IF(D596&lt;&gt;"",VLOOKUP(ROW(H595),Beräkningshjälp!AC$2:AH$1082,COLUMN(Beräkningshjälp!AH$2)-COLUMN(Beräkningshjälp!AC$2)+1,FALSE),"")</f>
        <v/>
      </c>
      <c r="I596" s="116" t="str">
        <f>IF(D596&lt;&gt;"",VLOOKUP(ROW(E595),Beräkningshjälp!AC$2:AI$1082,COLUMN(Beräkningshjälp!AI$2)-COLUMN(Beräkningshjälp!AC$2)+1,FALSE),"")</f>
        <v/>
      </c>
    </row>
    <row r="597" spans="1:9" x14ac:dyDescent="0.25">
      <c r="A597" s="2" t="str">
        <f t="shared" si="18"/>
        <v/>
      </c>
      <c r="B597" s="136" t="str">
        <f>IF(D597&lt;&gt;"",'DATA TILL SLU'!$J$3,"")</f>
        <v/>
      </c>
      <c r="C597" s="146" t="str">
        <f>IF(D597&lt;&gt;"",'DATA TILL SLU'!$K$3,"")</f>
        <v/>
      </c>
      <c r="D597" s="2" t="str">
        <f>IF('DATA TILL SLU'!$D$7*1&lt;&gt;"",IF(COUNT(Beräkningshjälp!$AC$3:$AC$1082)&gt;=ROW(D596),'DATA TILL SLU'!$D$7*1,""),"")</f>
        <v/>
      </c>
      <c r="E597" s="136" t="str">
        <f>IF(D597&lt;&gt;"",VLOOKUP(ROW(E596),Beräkningshjälp!AC$2:AH$1082,COLUMN(Beräkningshjälp!AF$2)-COLUMN(Beräkningshjälp!AC$2)+1,FALSE),"")</f>
        <v/>
      </c>
      <c r="F597" s="352" t="str">
        <f t="shared" si="19"/>
        <v/>
      </c>
      <c r="G597" s="2" t="str">
        <f>IF(D597&lt;&gt;"",IF(VLOOKUP(VLOOKUP(E597,Beräkningshjälp!O$2:U$60,7,FALSE),Artuppgifter!$I$11:$P$22,8,FALSE)=TRUE,"Medelvikter!!","ALLA"),"")</f>
        <v/>
      </c>
      <c r="H597" s="2" t="str">
        <f>IF(D597&lt;&gt;"",VLOOKUP(ROW(H596),Beräkningshjälp!AC$2:AH$1082,COLUMN(Beräkningshjälp!AH$2)-COLUMN(Beräkningshjälp!AC$2)+1,FALSE),"")</f>
        <v/>
      </c>
      <c r="I597" s="116" t="str">
        <f>IF(D597&lt;&gt;"",VLOOKUP(ROW(E596),Beräkningshjälp!AC$2:AI$1082,COLUMN(Beräkningshjälp!AI$2)-COLUMN(Beräkningshjälp!AC$2)+1,FALSE),"")</f>
        <v/>
      </c>
    </row>
    <row r="598" spans="1:9" x14ac:dyDescent="0.25">
      <c r="A598" s="2" t="str">
        <f t="shared" si="18"/>
        <v/>
      </c>
      <c r="B598" s="136" t="str">
        <f>IF(D598&lt;&gt;"",'DATA TILL SLU'!$J$3,"")</f>
        <v/>
      </c>
      <c r="C598" s="146" t="str">
        <f>IF(D598&lt;&gt;"",'DATA TILL SLU'!$K$3,"")</f>
        <v/>
      </c>
      <c r="D598" s="2" t="str">
        <f>IF('DATA TILL SLU'!$D$7*1&lt;&gt;"",IF(COUNT(Beräkningshjälp!$AC$3:$AC$1082)&gt;=ROW(D597),'DATA TILL SLU'!$D$7*1,""),"")</f>
        <v/>
      </c>
      <c r="E598" s="136" t="str">
        <f>IF(D598&lt;&gt;"",VLOOKUP(ROW(E597),Beräkningshjälp!AC$2:AH$1082,COLUMN(Beräkningshjälp!AF$2)-COLUMN(Beräkningshjälp!AC$2)+1,FALSE),"")</f>
        <v/>
      </c>
      <c r="F598" s="352" t="str">
        <f t="shared" si="19"/>
        <v/>
      </c>
      <c r="G598" s="2" t="str">
        <f>IF(D598&lt;&gt;"",IF(VLOOKUP(VLOOKUP(E598,Beräkningshjälp!O$2:U$60,7,FALSE),Artuppgifter!$I$11:$P$22,8,FALSE)=TRUE,"Medelvikter!!","ALLA"),"")</f>
        <v/>
      </c>
      <c r="H598" s="2" t="str">
        <f>IF(D598&lt;&gt;"",VLOOKUP(ROW(H597),Beräkningshjälp!AC$2:AH$1082,COLUMN(Beräkningshjälp!AH$2)-COLUMN(Beräkningshjälp!AC$2)+1,FALSE),"")</f>
        <v/>
      </c>
      <c r="I598" s="116" t="str">
        <f>IF(D598&lt;&gt;"",VLOOKUP(ROW(E597),Beräkningshjälp!AC$2:AI$1082,COLUMN(Beräkningshjälp!AI$2)-COLUMN(Beräkningshjälp!AC$2)+1,FALSE),"")</f>
        <v/>
      </c>
    </row>
    <row r="599" spans="1:9" x14ac:dyDescent="0.25">
      <c r="A599" s="2" t="str">
        <f t="shared" si="18"/>
        <v/>
      </c>
      <c r="B599" s="136" t="str">
        <f>IF(D599&lt;&gt;"",'DATA TILL SLU'!$J$3,"")</f>
        <v/>
      </c>
      <c r="C599" s="146" t="str">
        <f>IF(D599&lt;&gt;"",'DATA TILL SLU'!$K$3,"")</f>
        <v/>
      </c>
      <c r="D599" s="2" t="str">
        <f>IF('DATA TILL SLU'!$D$7*1&lt;&gt;"",IF(COUNT(Beräkningshjälp!$AC$3:$AC$1082)&gt;=ROW(D598),'DATA TILL SLU'!$D$7*1,""),"")</f>
        <v/>
      </c>
      <c r="E599" s="136" t="str">
        <f>IF(D599&lt;&gt;"",VLOOKUP(ROW(E598),Beräkningshjälp!AC$2:AH$1082,COLUMN(Beräkningshjälp!AF$2)-COLUMN(Beräkningshjälp!AC$2)+1,FALSE),"")</f>
        <v/>
      </c>
      <c r="F599" s="352" t="str">
        <f t="shared" si="19"/>
        <v/>
      </c>
      <c r="G599" s="2" t="str">
        <f>IF(D599&lt;&gt;"",IF(VLOOKUP(VLOOKUP(E599,Beräkningshjälp!O$2:U$60,7,FALSE),Artuppgifter!$I$11:$P$22,8,FALSE)=TRUE,"Medelvikter!!","ALLA"),"")</f>
        <v/>
      </c>
      <c r="H599" s="2" t="str">
        <f>IF(D599&lt;&gt;"",VLOOKUP(ROW(H598),Beräkningshjälp!AC$2:AH$1082,COLUMN(Beräkningshjälp!AH$2)-COLUMN(Beräkningshjälp!AC$2)+1,FALSE),"")</f>
        <v/>
      </c>
      <c r="I599" s="116" t="str">
        <f>IF(D599&lt;&gt;"",VLOOKUP(ROW(E598),Beräkningshjälp!AC$2:AI$1082,COLUMN(Beräkningshjälp!AI$2)-COLUMN(Beräkningshjälp!AC$2)+1,FALSE),"")</f>
        <v/>
      </c>
    </row>
    <row r="600" spans="1:9" x14ac:dyDescent="0.25">
      <c r="A600" s="2" t="str">
        <f t="shared" si="18"/>
        <v/>
      </c>
      <c r="B600" s="136" t="str">
        <f>IF(D600&lt;&gt;"",'DATA TILL SLU'!$J$3,"")</f>
        <v/>
      </c>
      <c r="C600" s="146" t="str">
        <f>IF(D600&lt;&gt;"",'DATA TILL SLU'!$K$3,"")</f>
        <v/>
      </c>
      <c r="D600" s="2" t="str">
        <f>IF('DATA TILL SLU'!$D$7*1&lt;&gt;"",IF(COUNT(Beräkningshjälp!$AC$3:$AC$1082)&gt;=ROW(D599),'DATA TILL SLU'!$D$7*1,""),"")</f>
        <v/>
      </c>
      <c r="E600" s="136" t="str">
        <f>IF(D600&lt;&gt;"",VLOOKUP(ROW(E599),Beräkningshjälp!AC$2:AH$1082,COLUMN(Beräkningshjälp!AF$2)-COLUMN(Beräkningshjälp!AC$2)+1,FALSE),"")</f>
        <v/>
      </c>
      <c r="F600" s="352" t="str">
        <f t="shared" si="19"/>
        <v/>
      </c>
      <c r="G600" s="2" t="str">
        <f>IF(D600&lt;&gt;"",IF(VLOOKUP(VLOOKUP(E600,Beräkningshjälp!O$2:U$60,7,FALSE),Artuppgifter!$I$11:$P$22,8,FALSE)=TRUE,"Medelvikter!!","ALLA"),"")</f>
        <v/>
      </c>
      <c r="H600" s="2" t="str">
        <f>IF(D600&lt;&gt;"",VLOOKUP(ROW(H599),Beräkningshjälp!AC$2:AH$1082,COLUMN(Beräkningshjälp!AH$2)-COLUMN(Beräkningshjälp!AC$2)+1,FALSE),"")</f>
        <v/>
      </c>
      <c r="I600" s="116" t="str">
        <f>IF(D600&lt;&gt;"",VLOOKUP(ROW(E599),Beräkningshjälp!AC$2:AI$1082,COLUMN(Beräkningshjälp!AI$2)-COLUMN(Beräkningshjälp!AC$2)+1,FALSE),"")</f>
        <v/>
      </c>
    </row>
    <row r="601" spans="1:9" x14ac:dyDescent="0.25">
      <c r="A601" s="2" t="str">
        <f t="shared" si="18"/>
        <v/>
      </c>
      <c r="B601" s="136" t="str">
        <f>IF(D601&lt;&gt;"",'DATA TILL SLU'!$J$3,"")</f>
        <v/>
      </c>
      <c r="C601" s="146" t="str">
        <f>IF(D601&lt;&gt;"",'DATA TILL SLU'!$K$3,"")</f>
        <v/>
      </c>
      <c r="D601" s="2" t="str">
        <f>IF('DATA TILL SLU'!$D$7*1&lt;&gt;"",IF(COUNT(Beräkningshjälp!$AC$3:$AC$1082)&gt;=ROW(D600),'DATA TILL SLU'!$D$7*1,""),"")</f>
        <v/>
      </c>
      <c r="E601" s="136" t="str">
        <f>IF(D601&lt;&gt;"",VLOOKUP(ROW(E600),Beräkningshjälp!AC$2:AH$1082,COLUMN(Beräkningshjälp!AF$2)-COLUMN(Beräkningshjälp!AC$2)+1,FALSE),"")</f>
        <v/>
      </c>
      <c r="F601" s="352" t="str">
        <f t="shared" si="19"/>
        <v/>
      </c>
      <c r="G601" s="2" t="str">
        <f>IF(D601&lt;&gt;"",IF(VLOOKUP(VLOOKUP(E601,Beräkningshjälp!O$2:U$60,7,FALSE),Artuppgifter!$I$11:$P$22,8,FALSE)=TRUE,"Medelvikter!!","ALLA"),"")</f>
        <v/>
      </c>
      <c r="H601" s="2" t="str">
        <f>IF(D601&lt;&gt;"",VLOOKUP(ROW(H600),Beräkningshjälp!AC$2:AH$1082,COLUMN(Beräkningshjälp!AH$2)-COLUMN(Beräkningshjälp!AC$2)+1,FALSE),"")</f>
        <v/>
      </c>
      <c r="I601" s="116" t="str">
        <f>IF(D601&lt;&gt;"",VLOOKUP(ROW(E600),Beräkningshjälp!AC$2:AI$1082,COLUMN(Beräkningshjälp!AI$2)-COLUMN(Beräkningshjälp!AC$2)+1,FALSE),"")</f>
        <v/>
      </c>
    </row>
    <row r="602" spans="1:9" x14ac:dyDescent="0.25">
      <c r="A602" s="2" t="str">
        <f t="shared" si="18"/>
        <v/>
      </c>
      <c r="B602" s="136" t="str">
        <f>IF(D602&lt;&gt;"",'DATA TILL SLU'!$J$3,"")</f>
        <v/>
      </c>
      <c r="C602" s="146" t="str">
        <f>IF(D602&lt;&gt;"",'DATA TILL SLU'!$K$3,"")</f>
        <v/>
      </c>
      <c r="D602" s="2" t="str">
        <f>IF('DATA TILL SLU'!$D$7*1&lt;&gt;"",IF(COUNT(Beräkningshjälp!$AC$3:$AC$1082)&gt;=ROW(D601),'DATA TILL SLU'!$D$7*1,""),"")</f>
        <v/>
      </c>
      <c r="E602" s="136" t="str">
        <f>IF(D602&lt;&gt;"",VLOOKUP(ROW(E601),Beräkningshjälp!AC$2:AH$1082,COLUMN(Beräkningshjälp!AF$2)-COLUMN(Beräkningshjälp!AC$2)+1,FALSE),"")</f>
        <v/>
      </c>
      <c r="F602" s="352" t="str">
        <f t="shared" si="19"/>
        <v/>
      </c>
      <c r="G602" s="2" t="str">
        <f>IF(D602&lt;&gt;"",IF(VLOOKUP(VLOOKUP(E602,Beräkningshjälp!O$2:U$60,7,FALSE),Artuppgifter!$I$11:$P$22,8,FALSE)=TRUE,"Medelvikter!!","ALLA"),"")</f>
        <v/>
      </c>
      <c r="H602" s="2" t="str">
        <f>IF(D602&lt;&gt;"",VLOOKUP(ROW(H601),Beräkningshjälp!AC$2:AH$1082,COLUMN(Beräkningshjälp!AH$2)-COLUMN(Beräkningshjälp!AC$2)+1,FALSE),"")</f>
        <v/>
      </c>
      <c r="I602" s="116" t="str">
        <f>IF(D602&lt;&gt;"",VLOOKUP(ROW(E601),Beräkningshjälp!AC$2:AI$1082,COLUMN(Beräkningshjälp!AI$2)-COLUMN(Beräkningshjälp!AC$2)+1,FALSE),"")</f>
        <v/>
      </c>
    </row>
    <row r="603" spans="1:9" x14ac:dyDescent="0.25">
      <c r="A603" s="2" t="str">
        <f t="shared" si="18"/>
        <v/>
      </c>
      <c r="B603" s="136" t="str">
        <f>IF(D603&lt;&gt;"",'DATA TILL SLU'!$J$3,"")</f>
        <v/>
      </c>
      <c r="C603" s="146" t="str">
        <f>IF(D603&lt;&gt;"",'DATA TILL SLU'!$K$3,"")</f>
        <v/>
      </c>
      <c r="D603" s="2" t="str">
        <f>IF('DATA TILL SLU'!$D$7*1&lt;&gt;"",IF(COUNT(Beräkningshjälp!$AC$3:$AC$1082)&gt;=ROW(D602),'DATA TILL SLU'!$D$7*1,""),"")</f>
        <v/>
      </c>
      <c r="E603" s="136" t="str">
        <f>IF(D603&lt;&gt;"",VLOOKUP(ROW(E602),Beräkningshjälp!AC$2:AH$1082,COLUMN(Beräkningshjälp!AF$2)-COLUMN(Beräkningshjälp!AC$2)+1,FALSE),"")</f>
        <v/>
      </c>
      <c r="F603" s="352" t="str">
        <f t="shared" si="19"/>
        <v/>
      </c>
      <c r="G603" s="2" t="str">
        <f>IF(D603&lt;&gt;"",IF(VLOOKUP(VLOOKUP(E603,Beräkningshjälp!O$2:U$60,7,FALSE),Artuppgifter!$I$11:$P$22,8,FALSE)=TRUE,"Medelvikter!!","ALLA"),"")</f>
        <v/>
      </c>
      <c r="H603" s="2" t="str">
        <f>IF(D603&lt;&gt;"",VLOOKUP(ROW(H602),Beräkningshjälp!AC$2:AH$1082,COLUMN(Beräkningshjälp!AH$2)-COLUMN(Beräkningshjälp!AC$2)+1,FALSE),"")</f>
        <v/>
      </c>
      <c r="I603" s="116" t="str">
        <f>IF(D603&lt;&gt;"",VLOOKUP(ROW(E602),Beräkningshjälp!AC$2:AI$1082,COLUMN(Beräkningshjälp!AI$2)-COLUMN(Beräkningshjälp!AC$2)+1,FALSE),"")</f>
        <v/>
      </c>
    </row>
    <row r="604" spans="1:9" x14ac:dyDescent="0.25">
      <c r="A604" s="2" t="str">
        <f t="shared" si="18"/>
        <v/>
      </c>
      <c r="B604" s="136" t="str">
        <f>IF(D604&lt;&gt;"",'DATA TILL SLU'!$J$3,"")</f>
        <v/>
      </c>
      <c r="C604" s="146" t="str">
        <f>IF(D604&lt;&gt;"",'DATA TILL SLU'!$K$3,"")</f>
        <v/>
      </c>
      <c r="D604" s="2" t="str">
        <f>IF('DATA TILL SLU'!$D$7*1&lt;&gt;"",IF(COUNT(Beräkningshjälp!$AC$3:$AC$1082)&gt;=ROW(D603),'DATA TILL SLU'!$D$7*1,""),"")</f>
        <v/>
      </c>
      <c r="E604" s="136" t="str">
        <f>IF(D604&lt;&gt;"",VLOOKUP(ROW(E603),Beräkningshjälp!AC$2:AH$1082,COLUMN(Beräkningshjälp!AF$2)-COLUMN(Beräkningshjälp!AC$2)+1,FALSE),"")</f>
        <v/>
      </c>
      <c r="F604" s="352" t="str">
        <f t="shared" si="19"/>
        <v/>
      </c>
      <c r="G604" s="2" t="str">
        <f>IF(D604&lt;&gt;"",IF(VLOOKUP(VLOOKUP(E604,Beräkningshjälp!O$2:U$60,7,FALSE),Artuppgifter!$I$11:$P$22,8,FALSE)=TRUE,"Medelvikter!!","ALLA"),"")</f>
        <v/>
      </c>
      <c r="H604" s="2" t="str">
        <f>IF(D604&lt;&gt;"",VLOOKUP(ROW(H603),Beräkningshjälp!AC$2:AH$1082,COLUMN(Beräkningshjälp!AH$2)-COLUMN(Beräkningshjälp!AC$2)+1,FALSE),"")</f>
        <v/>
      </c>
      <c r="I604" s="116" t="str">
        <f>IF(D604&lt;&gt;"",VLOOKUP(ROW(E603),Beräkningshjälp!AC$2:AI$1082,COLUMN(Beräkningshjälp!AI$2)-COLUMN(Beräkningshjälp!AC$2)+1,FALSE),"")</f>
        <v/>
      </c>
    </row>
    <row r="605" spans="1:9" x14ac:dyDescent="0.25">
      <c r="A605" s="2" t="str">
        <f t="shared" si="18"/>
        <v/>
      </c>
      <c r="B605" s="136" t="str">
        <f>IF(D605&lt;&gt;"",'DATA TILL SLU'!$J$3,"")</f>
        <v/>
      </c>
      <c r="C605" s="146" t="str">
        <f>IF(D605&lt;&gt;"",'DATA TILL SLU'!$K$3,"")</f>
        <v/>
      </c>
      <c r="D605" s="2" t="str">
        <f>IF('DATA TILL SLU'!$D$7*1&lt;&gt;"",IF(COUNT(Beräkningshjälp!$AC$3:$AC$1082)&gt;=ROW(D604),'DATA TILL SLU'!$D$7*1,""),"")</f>
        <v/>
      </c>
      <c r="E605" s="136" t="str">
        <f>IF(D605&lt;&gt;"",VLOOKUP(ROW(E604),Beräkningshjälp!AC$2:AH$1082,COLUMN(Beräkningshjälp!AF$2)-COLUMN(Beräkningshjälp!AC$2)+1,FALSE),"")</f>
        <v/>
      </c>
      <c r="F605" s="352" t="str">
        <f t="shared" si="19"/>
        <v/>
      </c>
      <c r="G605" s="2" t="str">
        <f>IF(D605&lt;&gt;"",IF(VLOOKUP(VLOOKUP(E605,Beräkningshjälp!O$2:U$60,7,FALSE),Artuppgifter!$I$11:$P$22,8,FALSE)=TRUE,"Medelvikter!!","ALLA"),"")</f>
        <v/>
      </c>
      <c r="H605" s="2" t="str">
        <f>IF(D605&lt;&gt;"",VLOOKUP(ROW(H604),Beräkningshjälp!AC$2:AH$1082,COLUMN(Beräkningshjälp!AH$2)-COLUMN(Beräkningshjälp!AC$2)+1,FALSE),"")</f>
        <v/>
      </c>
      <c r="I605" s="116" t="str">
        <f>IF(D605&lt;&gt;"",VLOOKUP(ROW(E604),Beräkningshjälp!AC$2:AI$1082,COLUMN(Beräkningshjälp!AI$2)-COLUMN(Beräkningshjälp!AC$2)+1,FALSE),"")</f>
        <v/>
      </c>
    </row>
    <row r="606" spans="1:9" x14ac:dyDescent="0.25">
      <c r="A606" s="2" t="str">
        <f t="shared" si="18"/>
        <v/>
      </c>
      <c r="B606" s="136" t="str">
        <f>IF(D606&lt;&gt;"",'DATA TILL SLU'!$J$3,"")</f>
        <v/>
      </c>
      <c r="C606" s="146" t="str">
        <f>IF(D606&lt;&gt;"",'DATA TILL SLU'!$K$3,"")</f>
        <v/>
      </c>
      <c r="D606" s="2" t="str">
        <f>IF('DATA TILL SLU'!$D$7*1&lt;&gt;"",IF(COUNT(Beräkningshjälp!$AC$3:$AC$1082)&gt;=ROW(D605),'DATA TILL SLU'!$D$7*1,""),"")</f>
        <v/>
      </c>
      <c r="E606" s="136" t="str">
        <f>IF(D606&lt;&gt;"",VLOOKUP(ROW(E605),Beräkningshjälp!AC$2:AH$1082,COLUMN(Beräkningshjälp!AF$2)-COLUMN(Beräkningshjälp!AC$2)+1,FALSE),"")</f>
        <v/>
      </c>
      <c r="F606" s="352" t="str">
        <f t="shared" si="19"/>
        <v/>
      </c>
      <c r="G606" s="2" t="str">
        <f>IF(D606&lt;&gt;"",IF(VLOOKUP(VLOOKUP(E606,Beräkningshjälp!O$2:U$60,7,FALSE),Artuppgifter!$I$11:$P$22,8,FALSE)=TRUE,"Medelvikter!!","ALLA"),"")</f>
        <v/>
      </c>
      <c r="H606" s="2" t="str">
        <f>IF(D606&lt;&gt;"",VLOOKUP(ROW(H605),Beräkningshjälp!AC$2:AH$1082,COLUMN(Beräkningshjälp!AH$2)-COLUMN(Beräkningshjälp!AC$2)+1,FALSE),"")</f>
        <v/>
      </c>
      <c r="I606" s="116" t="str">
        <f>IF(D606&lt;&gt;"",VLOOKUP(ROW(E605),Beräkningshjälp!AC$2:AI$1082,COLUMN(Beräkningshjälp!AI$2)-COLUMN(Beräkningshjälp!AC$2)+1,FALSE),"")</f>
        <v/>
      </c>
    </row>
    <row r="607" spans="1:9" x14ac:dyDescent="0.25">
      <c r="A607" s="2" t="str">
        <f t="shared" si="18"/>
        <v/>
      </c>
      <c r="B607" s="136" t="str">
        <f>IF(D607&lt;&gt;"",'DATA TILL SLU'!$J$3,"")</f>
        <v/>
      </c>
      <c r="C607" s="146" t="str">
        <f>IF(D607&lt;&gt;"",'DATA TILL SLU'!$K$3,"")</f>
        <v/>
      </c>
      <c r="D607" s="2" t="str">
        <f>IF('DATA TILL SLU'!$D$7*1&lt;&gt;"",IF(COUNT(Beräkningshjälp!$AC$3:$AC$1082)&gt;=ROW(D606),'DATA TILL SLU'!$D$7*1,""),"")</f>
        <v/>
      </c>
      <c r="E607" s="136" t="str">
        <f>IF(D607&lt;&gt;"",VLOOKUP(ROW(E606),Beräkningshjälp!AC$2:AH$1082,COLUMN(Beräkningshjälp!AF$2)-COLUMN(Beräkningshjälp!AC$2)+1,FALSE),"")</f>
        <v/>
      </c>
      <c r="F607" s="352" t="str">
        <f t="shared" si="19"/>
        <v/>
      </c>
      <c r="G607" s="2" t="str">
        <f>IF(D607&lt;&gt;"",IF(VLOOKUP(VLOOKUP(E607,Beräkningshjälp!O$2:U$60,7,FALSE),Artuppgifter!$I$11:$P$22,8,FALSE)=TRUE,"Medelvikter!!","ALLA"),"")</f>
        <v/>
      </c>
      <c r="H607" s="2" t="str">
        <f>IF(D607&lt;&gt;"",VLOOKUP(ROW(H606),Beräkningshjälp!AC$2:AH$1082,COLUMN(Beräkningshjälp!AH$2)-COLUMN(Beräkningshjälp!AC$2)+1,FALSE),"")</f>
        <v/>
      </c>
      <c r="I607" s="116" t="str">
        <f>IF(D607&lt;&gt;"",VLOOKUP(ROW(E606),Beräkningshjälp!AC$2:AI$1082,COLUMN(Beräkningshjälp!AI$2)-COLUMN(Beräkningshjälp!AC$2)+1,FALSE),"")</f>
        <v/>
      </c>
    </row>
    <row r="608" spans="1:9" x14ac:dyDescent="0.25">
      <c r="A608" s="2" t="str">
        <f t="shared" si="18"/>
        <v/>
      </c>
      <c r="B608" s="136" t="str">
        <f>IF(D608&lt;&gt;"",'DATA TILL SLU'!$J$3,"")</f>
        <v/>
      </c>
      <c r="C608" s="146" t="str">
        <f>IF(D608&lt;&gt;"",'DATA TILL SLU'!$K$3,"")</f>
        <v/>
      </c>
      <c r="D608" s="2" t="str">
        <f>IF('DATA TILL SLU'!$D$7*1&lt;&gt;"",IF(COUNT(Beräkningshjälp!$AC$3:$AC$1082)&gt;=ROW(D607),'DATA TILL SLU'!$D$7*1,""),"")</f>
        <v/>
      </c>
      <c r="E608" s="136" t="str">
        <f>IF(D608&lt;&gt;"",VLOOKUP(ROW(E607),Beräkningshjälp!AC$2:AH$1082,COLUMN(Beräkningshjälp!AF$2)-COLUMN(Beräkningshjälp!AC$2)+1,FALSE),"")</f>
        <v/>
      </c>
      <c r="F608" s="352" t="str">
        <f t="shared" si="19"/>
        <v/>
      </c>
      <c r="G608" s="2" t="str">
        <f>IF(D608&lt;&gt;"",IF(VLOOKUP(VLOOKUP(E608,Beräkningshjälp!O$2:U$60,7,FALSE),Artuppgifter!$I$11:$P$22,8,FALSE)=TRUE,"Medelvikter!!","ALLA"),"")</f>
        <v/>
      </c>
      <c r="H608" s="2" t="str">
        <f>IF(D608&lt;&gt;"",VLOOKUP(ROW(H607),Beräkningshjälp!AC$2:AH$1082,COLUMN(Beräkningshjälp!AH$2)-COLUMN(Beräkningshjälp!AC$2)+1,FALSE),"")</f>
        <v/>
      </c>
      <c r="I608" s="116" t="str">
        <f>IF(D608&lt;&gt;"",VLOOKUP(ROW(E607),Beräkningshjälp!AC$2:AI$1082,COLUMN(Beräkningshjälp!AI$2)-COLUMN(Beräkningshjälp!AC$2)+1,FALSE),"")</f>
        <v/>
      </c>
    </row>
    <row r="609" spans="1:9" x14ac:dyDescent="0.25">
      <c r="A609" s="2" t="str">
        <f t="shared" si="18"/>
        <v/>
      </c>
      <c r="B609" s="136" t="str">
        <f>IF(D609&lt;&gt;"",'DATA TILL SLU'!$J$3,"")</f>
        <v/>
      </c>
      <c r="C609" s="146" t="str">
        <f>IF(D609&lt;&gt;"",'DATA TILL SLU'!$K$3,"")</f>
        <v/>
      </c>
      <c r="D609" s="2" t="str">
        <f>IF('DATA TILL SLU'!$D$7*1&lt;&gt;"",IF(COUNT(Beräkningshjälp!$AC$3:$AC$1082)&gt;=ROW(D608),'DATA TILL SLU'!$D$7*1,""),"")</f>
        <v/>
      </c>
      <c r="E609" s="136" t="str">
        <f>IF(D609&lt;&gt;"",VLOOKUP(ROW(E608),Beräkningshjälp!AC$2:AH$1082,COLUMN(Beräkningshjälp!AF$2)-COLUMN(Beräkningshjälp!AC$2)+1,FALSE),"")</f>
        <v/>
      </c>
      <c r="F609" s="352" t="str">
        <f t="shared" si="19"/>
        <v/>
      </c>
      <c r="G609" s="2" t="str">
        <f>IF(D609&lt;&gt;"",IF(VLOOKUP(VLOOKUP(E609,Beräkningshjälp!O$2:U$60,7,FALSE),Artuppgifter!$I$11:$P$22,8,FALSE)=TRUE,"Medelvikter!!","ALLA"),"")</f>
        <v/>
      </c>
      <c r="H609" s="2" t="str">
        <f>IF(D609&lt;&gt;"",VLOOKUP(ROW(H608),Beräkningshjälp!AC$2:AH$1082,COLUMN(Beräkningshjälp!AH$2)-COLUMN(Beräkningshjälp!AC$2)+1,FALSE),"")</f>
        <v/>
      </c>
      <c r="I609" s="116" t="str">
        <f>IF(D609&lt;&gt;"",VLOOKUP(ROW(E608),Beräkningshjälp!AC$2:AI$1082,COLUMN(Beräkningshjälp!AI$2)-COLUMN(Beräkningshjälp!AC$2)+1,FALSE),"")</f>
        <v/>
      </c>
    </row>
    <row r="610" spans="1:9" x14ac:dyDescent="0.25">
      <c r="A610" s="2" t="str">
        <f t="shared" si="18"/>
        <v/>
      </c>
      <c r="B610" s="136" t="str">
        <f>IF(D610&lt;&gt;"",'DATA TILL SLU'!$J$3,"")</f>
        <v/>
      </c>
      <c r="C610" s="146" t="str">
        <f>IF(D610&lt;&gt;"",'DATA TILL SLU'!$K$3,"")</f>
        <v/>
      </c>
      <c r="D610" s="2" t="str">
        <f>IF('DATA TILL SLU'!$D$7*1&lt;&gt;"",IF(COUNT(Beräkningshjälp!$AC$3:$AC$1082)&gt;=ROW(D609),'DATA TILL SLU'!$D$7*1,""),"")</f>
        <v/>
      </c>
      <c r="E610" s="136" t="str">
        <f>IF(D610&lt;&gt;"",VLOOKUP(ROW(E609),Beräkningshjälp!AC$2:AH$1082,COLUMN(Beräkningshjälp!AF$2)-COLUMN(Beräkningshjälp!AC$2)+1,FALSE),"")</f>
        <v/>
      </c>
      <c r="F610" s="352" t="str">
        <f t="shared" si="19"/>
        <v/>
      </c>
      <c r="G610" s="2" t="str">
        <f>IF(D610&lt;&gt;"",IF(VLOOKUP(VLOOKUP(E610,Beräkningshjälp!O$2:U$60,7,FALSE),Artuppgifter!$I$11:$P$22,8,FALSE)=TRUE,"Medelvikter!!","ALLA"),"")</f>
        <v/>
      </c>
      <c r="H610" s="2" t="str">
        <f>IF(D610&lt;&gt;"",VLOOKUP(ROW(H609),Beräkningshjälp!AC$2:AH$1082,COLUMN(Beräkningshjälp!AH$2)-COLUMN(Beräkningshjälp!AC$2)+1,FALSE),"")</f>
        <v/>
      </c>
      <c r="I610" s="116" t="str">
        <f>IF(D610&lt;&gt;"",VLOOKUP(ROW(E609),Beräkningshjälp!AC$2:AI$1082,COLUMN(Beräkningshjälp!AI$2)-COLUMN(Beräkningshjälp!AC$2)+1,FALSE),"")</f>
        <v/>
      </c>
    </row>
    <row r="611" spans="1:9" x14ac:dyDescent="0.25">
      <c r="A611" s="2" t="str">
        <f t="shared" si="18"/>
        <v/>
      </c>
      <c r="B611" s="136" t="str">
        <f>IF(D611&lt;&gt;"",'DATA TILL SLU'!$J$3,"")</f>
        <v/>
      </c>
      <c r="C611" s="146" t="str">
        <f>IF(D611&lt;&gt;"",'DATA TILL SLU'!$K$3,"")</f>
        <v/>
      </c>
      <c r="D611" s="2" t="str">
        <f>IF('DATA TILL SLU'!$D$7*1&lt;&gt;"",IF(COUNT(Beräkningshjälp!$AC$3:$AC$1082)&gt;=ROW(D610),'DATA TILL SLU'!$D$7*1,""),"")</f>
        <v/>
      </c>
      <c r="E611" s="136" t="str">
        <f>IF(D611&lt;&gt;"",VLOOKUP(ROW(E610),Beräkningshjälp!AC$2:AH$1082,COLUMN(Beräkningshjälp!AF$2)-COLUMN(Beräkningshjälp!AC$2)+1,FALSE),"")</f>
        <v/>
      </c>
      <c r="F611" s="352" t="str">
        <f t="shared" si="19"/>
        <v/>
      </c>
      <c r="G611" s="2" t="str">
        <f>IF(D611&lt;&gt;"",IF(VLOOKUP(VLOOKUP(E611,Beräkningshjälp!O$2:U$60,7,FALSE),Artuppgifter!$I$11:$P$22,8,FALSE)=TRUE,"Medelvikter!!","ALLA"),"")</f>
        <v/>
      </c>
      <c r="H611" s="2" t="str">
        <f>IF(D611&lt;&gt;"",VLOOKUP(ROW(H610),Beräkningshjälp!AC$2:AH$1082,COLUMN(Beräkningshjälp!AH$2)-COLUMN(Beräkningshjälp!AC$2)+1,FALSE),"")</f>
        <v/>
      </c>
      <c r="I611" s="116" t="str">
        <f>IF(D611&lt;&gt;"",VLOOKUP(ROW(E610),Beräkningshjälp!AC$2:AI$1082,COLUMN(Beräkningshjälp!AI$2)-COLUMN(Beräkningshjälp!AC$2)+1,FALSE),"")</f>
        <v/>
      </c>
    </row>
    <row r="612" spans="1:9" x14ac:dyDescent="0.25">
      <c r="A612" s="2" t="str">
        <f t="shared" si="18"/>
        <v/>
      </c>
      <c r="B612" s="136" t="str">
        <f>IF(D612&lt;&gt;"",'DATA TILL SLU'!$J$3,"")</f>
        <v/>
      </c>
      <c r="C612" s="146" t="str">
        <f>IF(D612&lt;&gt;"",'DATA TILL SLU'!$K$3,"")</f>
        <v/>
      </c>
      <c r="D612" s="2" t="str">
        <f>IF('DATA TILL SLU'!$D$7*1&lt;&gt;"",IF(COUNT(Beräkningshjälp!$AC$3:$AC$1082)&gt;=ROW(D611),'DATA TILL SLU'!$D$7*1,""),"")</f>
        <v/>
      </c>
      <c r="E612" s="136" t="str">
        <f>IF(D612&lt;&gt;"",VLOOKUP(ROW(E611),Beräkningshjälp!AC$2:AH$1082,COLUMN(Beräkningshjälp!AF$2)-COLUMN(Beräkningshjälp!AC$2)+1,FALSE),"")</f>
        <v/>
      </c>
      <c r="F612" s="352" t="str">
        <f t="shared" si="19"/>
        <v/>
      </c>
      <c r="G612" s="2" t="str">
        <f>IF(D612&lt;&gt;"",IF(VLOOKUP(VLOOKUP(E612,Beräkningshjälp!O$2:U$60,7,FALSE),Artuppgifter!$I$11:$P$22,8,FALSE)=TRUE,"Medelvikter!!","ALLA"),"")</f>
        <v/>
      </c>
      <c r="H612" s="2" t="str">
        <f>IF(D612&lt;&gt;"",VLOOKUP(ROW(H611),Beräkningshjälp!AC$2:AH$1082,COLUMN(Beräkningshjälp!AH$2)-COLUMN(Beräkningshjälp!AC$2)+1,FALSE),"")</f>
        <v/>
      </c>
      <c r="I612" s="116" t="str">
        <f>IF(D612&lt;&gt;"",VLOOKUP(ROW(E611),Beräkningshjälp!AC$2:AI$1082,COLUMN(Beräkningshjälp!AI$2)-COLUMN(Beräkningshjälp!AC$2)+1,FALSE),"")</f>
        <v/>
      </c>
    </row>
    <row r="613" spans="1:9" x14ac:dyDescent="0.25">
      <c r="A613" s="2" t="str">
        <f t="shared" si="18"/>
        <v/>
      </c>
      <c r="B613" s="136" t="str">
        <f>IF(D613&lt;&gt;"",'DATA TILL SLU'!$J$3,"")</f>
        <v/>
      </c>
      <c r="C613" s="146" t="str">
        <f>IF(D613&lt;&gt;"",'DATA TILL SLU'!$K$3,"")</f>
        <v/>
      </c>
      <c r="D613" s="2" t="str">
        <f>IF('DATA TILL SLU'!$D$7*1&lt;&gt;"",IF(COUNT(Beräkningshjälp!$AC$3:$AC$1082)&gt;=ROW(D612),'DATA TILL SLU'!$D$7*1,""),"")</f>
        <v/>
      </c>
      <c r="E613" s="136" t="str">
        <f>IF(D613&lt;&gt;"",VLOOKUP(ROW(E612),Beräkningshjälp!AC$2:AH$1082,COLUMN(Beräkningshjälp!AF$2)-COLUMN(Beräkningshjälp!AC$2)+1,FALSE),"")</f>
        <v/>
      </c>
      <c r="F613" s="352" t="str">
        <f t="shared" si="19"/>
        <v/>
      </c>
      <c r="G613" s="2" t="str">
        <f>IF(D613&lt;&gt;"",IF(VLOOKUP(VLOOKUP(E613,Beräkningshjälp!O$2:U$60,7,FALSE),Artuppgifter!$I$11:$P$22,8,FALSE)=TRUE,"Medelvikter!!","ALLA"),"")</f>
        <v/>
      </c>
      <c r="H613" s="2" t="str">
        <f>IF(D613&lt;&gt;"",VLOOKUP(ROW(H612),Beräkningshjälp!AC$2:AH$1082,COLUMN(Beräkningshjälp!AH$2)-COLUMN(Beräkningshjälp!AC$2)+1,FALSE),"")</f>
        <v/>
      </c>
      <c r="I613" s="116" t="str">
        <f>IF(D613&lt;&gt;"",VLOOKUP(ROW(E612),Beräkningshjälp!AC$2:AI$1082,COLUMN(Beräkningshjälp!AI$2)-COLUMN(Beräkningshjälp!AC$2)+1,FALSE),"")</f>
        <v/>
      </c>
    </row>
    <row r="614" spans="1:9" x14ac:dyDescent="0.25">
      <c r="A614" s="2" t="str">
        <f t="shared" si="18"/>
        <v/>
      </c>
      <c r="B614" s="136" t="str">
        <f>IF(D614&lt;&gt;"",'DATA TILL SLU'!$J$3,"")</f>
        <v/>
      </c>
      <c r="C614" s="146" t="str">
        <f>IF(D614&lt;&gt;"",'DATA TILL SLU'!$K$3,"")</f>
        <v/>
      </c>
      <c r="D614" s="2" t="str">
        <f>IF('DATA TILL SLU'!$D$7*1&lt;&gt;"",IF(COUNT(Beräkningshjälp!$AC$3:$AC$1082)&gt;=ROW(D613),'DATA TILL SLU'!$D$7*1,""),"")</f>
        <v/>
      </c>
      <c r="E614" s="136" t="str">
        <f>IF(D614&lt;&gt;"",VLOOKUP(ROW(E613),Beräkningshjälp!AC$2:AH$1082,COLUMN(Beräkningshjälp!AF$2)-COLUMN(Beräkningshjälp!AC$2)+1,FALSE),"")</f>
        <v/>
      </c>
      <c r="F614" s="352" t="str">
        <f t="shared" si="19"/>
        <v/>
      </c>
      <c r="G614" s="2" t="str">
        <f>IF(D614&lt;&gt;"",IF(VLOOKUP(VLOOKUP(E614,Beräkningshjälp!O$2:U$60,7,FALSE),Artuppgifter!$I$11:$P$22,8,FALSE)=TRUE,"Medelvikter!!","ALLA"),"")</f>
        <v/>
      </c>
      <c r="H614" s="2" t="str">
        <f>IF(D614&lt;&gt;"",VLOOKUP(ROW(H613),Beräkningshjälp!AC$2:AH$1082,COLUMN(Beräkningshjälp!AH$2)-COLUMN(Beräkningshjälp!AC$2)+1,FALSE),"")</f>
        <v/>
      </c>
      <c r="I614" s="116" t="str">
        <f>IF(D614&lt;&gt;"",VLOOKUP(ROW(E613),Beräkningshjälp!AC$2:AI$1082,COLUMN(Beräkningshjälp!AI$2)-COLUMN(Beräkningshjälp!AC$2)+1,FALSE),"")</f>
        <v/>
      </c>
    </row>
    <row r="615" spans="1:9" x14ac:dyDescent="0.25">
      <c r="A615" s="2" t="str">
        <f t="shared" si="18"/>
        <v/>
      </c>
      <c r="B615" s="136" t="str">
        <f>IF(D615&lt;&gt;"",'DATA TILL SLU'!$J$3,"")</f>
        <v/>
      </c>
      <c r="C615" s="146" t="str">
        <f>IF(D615&lt;&gt;"",'DATA TILL SLU'!$K$3,"")</f>
        <v/>
      </c>
      <c r="D615" s="2" t="str">
        <f>IF('DATA TILL SLU'!$D$7*1&lt;&gt;"",IF(COUNT(Beräkningshjälp!$AC$3:$AC$1082)&gt;=ROW(D614),'DATA TILL SLU'!$D$7*1,""),"")</f>
        <v/>
      </c>
      <c r="E615" s="136" t="str">
        <f>IF(D615&lt;&gt;"",VLOOKUP(ROW(E614),Beräkningshjälp!AC$2:AH$1082,COLUMN(Beräkningshjälp!AF$2)-COLUMN(Beräkningshjälp!AC$2)+1,FALSE),"")</f>
        <v/>
      </c>
      <c r="F615" s="352" t="str">
        <f t="shared" si="19"/>
        <v/>
      </c>
      <c r="G615" s="2" t="str">
        <f>IF(D615&lt;&gt;"",IF(VLOOKUP(VLOOKUP(E615,Beräkningshjälp!O$2:U$60,7,FALSE),Artuppgifter!$I$11:$P$22,8,FALSE)=TRUE,"Medelvikter!!","ALLA"),"")</f>
        <v/>
      </c>
      <c r="H615" s="2" t="str">
        <f>IF(D615&lt;&gt;"",VLOOKUP(ROW(H614),Beräkningshjälp!AC$2:AH$1082,COLUMN(Beräkningshjälp!AH$2)-COLUMN(Beräkningshjälp!AC$2)+1,FALSE),"")</f>
        <v/>
      </c>
      <c r="I615" s="116" t="str">
        <f>IF(D615&lt;&gt;"",VLOOKUP(ROW(E614),Beräkningshjälp!AC$2:AI$1082,COLUMN(Beräkningshjälp!AI$2)-COLUMN(Beräkningshjälp!AC$2)+1,FALSE),"")</f>
        <v/>
      </c>
    </row>
    <row r="616" spans="1:9" x14ac:dyDescent="0.25">
      <c r="A616" s="2" t="str">
        <f t="shared" si="18"/>
        <v/>
      </c>
      <c r="B616" s="136" t="str">
        <f>IF(D616&lt;&gt;"",'DATA TILL SLU'!$J$3,"")</f>
        <v/>
      </c>
      <c r="C616" s="146" t="str">
        <f>IF(D616&lt;&gt;"",'DATA TILL SLU'!$K$3,"")</f>
        <v/>
      </c>
      <c r="D616" s="2" t="str">
        <f>IF('DATA TILL SLU'!$D$7*1&lt;&gt;"",IF(COUNT(Beräkningshjälp!$AC$3:$AC$1082)&gt;=ROW(D615),'DATA TILL SLU'!$D$7*1,""),"")</f>
        <v/>
      </c>
      <c r="E616" s="136" t="str">
        <f>IF(D616&lt;&gt;"",VLOOKUP(ROW(E615),Beräkningshjälp!AC$2:AH$1082,COLUMN(Beräkningshjälp!AF$2)-COLUMN(Beräkningshjälp!AC$2)+1,FALSE),"")</f>
        <v/>
      </c>
      <c r="F616" s="352" t="str">
        <f t="shared" si="19"/>
        <v/>
      </c>
      <c r="G616" s="2" t="str">
        <f>IF(D616&lt;&gt;"",IF(VLOOKUP(VLOOKUP(E616,Beräkningshjälp!O$2:U$60,7,FALSE),Artuppgifter!$I$11:$P$22,8,FALSE)=TRUE,"Medelvikter!!","ALLA"),"")</f>
        <v/>
      </c>
      <c r="H616" s="2" t="str">
        <f>IF(D616&lt;&gt;"",VLOOKUP(ROW(H615),Beräkningshjälp!AC$2:AH$1082,COLUMN(Beräkningshjälp!AH$2)-COLUMN(Beräkningshjälp!AC$2)+1,FALSE),"")</f>
        <v/>
      </c>
      <c r="I616" s="116" t="str">
        <f>IF(D616&lt;&gt;"",VLOOKUP(ROW(E615),Beräkningshjälp!AC$2:AI$1082,COLUMN(Beräkningshjälp!AI$2)-COLUMN(Beräkningshjälp!AC$2)+1,FALSE),"")</f>
        <v/>
      </c>
    </row>
    <row r="617" spans="1:9" x14ac:dyDescent="0.25">
      <c r="A617" s="2" t="str">
        <f t="shared" si="18"/>
        <v/>
      </c>
      <c r="B617" s="136" t="str">
        <f>IF(D617&lt;&gt;"",'DATA TILL SLU'!$J$3,"")</f>
        <v/>
      </c>
      <c r="C617" s="146" t="str">
        <f>IF(D617&lt;&gt;"",'DATA TILL SLU'!$K$3,"")</f>
        <v/>
      </c>
      <c r="D617" s="2" t="str">
        <f>IF('DATA TILL SLU'!$D$7*1&lt;&gt;"",IF(COUNT(Beräkningshjälp!$AC$3:$AC$1082)&gt;=ROW(D616),'DATA TILL SLU'!$D$7*1,""),"")</f>
        <v/>
      </c>
      <c r="E617" s="136" t="str">
        <f>IF(D617&lt;&gt;"",VLOOKUP(ROW(E616),Beräkningshjälp!AC$2:AH$1082,COLUMN(Beräkningshjälp!AF$2)-COLUMN(Beräkningshjälp!AC$2)+1,FALSE),"")</f>
        <v/>
      </c>
      <c r="F617" s="352" t="str">
        <f t="shared" si="19"/>
        <v/>
      </c>
      <c r="G617" s="2" t="str">
        <f>IF(D617&lt;&gt;"",IF(VLOOKUP(VLOOKUP(E617,Beräkningshjälp!O$2:U$60,7,FALSE),Artuppgifter!$I$11:$P$22,8,FALSE)=TRUE,"Medelvikter!!","ALLA"),"")</f>
        <v/>
      </c>
      <c r="H617" s="2" t="str">
        <f>IF(D617&lt;&gt;"",VLOOKUP(ROW(H616),Beräkningshjälp!AC$2:AH$1082,COLUMN(Beräkningshjälp!AH$2)-COLUMN(Beräkningshjälp!AC$2)+1,FALSE),"")</f>
        <v/>
      </c>
      <c r="I617" s="116" t="str">
        <f>IF(D617&lt;&gt;"",VLOOKUP(ROW(E616),Beräkningshjälp!AC$2:AI$1082,COLUMN(Beräkningshjälp!AI$2)-COLUMN(Beräkningshjälp!AC$2)+1,FALSE),"")</f>
        <v/>
      </c>
    </row>
    <row r="618" spans="1:9" x14ac:dyDescent="0.25">
      <c r="A618" s="2" t="str">
        <f t="shared" si="18"/>
        <v/>
      </c>
      <c r="B618" s="136" t="str">
        <f>IF(D618&lt;&gt;"",'DATA TILL SLU'!$J$3,"")</f>
        <v/>
      </c>
      <c r="C618" s="146" t="str">
        <f>IF(D618&lt;&gt;"",'DATA TILL SLU'!$K$3,"")</f>
        <v/>
      </c>
      <c r="D618" s="2" t="str">
        <f>IF('DATA TILL SLU'!$D$7*1&lt;&gt;"",IF(COUNT(Beräkningshjälp!$AC$3:$AC$1082)&gt;=ROW(D617),'DATA TILL SLU'!$D$7*1,""),"")</f>
        <v/>
      </c>
      <c r="E618" s="136" t="str">
        <f>IF(D618&lt;&gt;"",VLOOKUP(ROW(E617),Beräkningshjälp!AC$2:AH$1082,COLUMN(Beräkningshjälp!AF$2)-COLUMN(Beräkningshjälp!AC$2)+1,FALSE),"")</f>
        <v/>
      </c>
      <c r="F618" s="352" t="str">
        <f t="shared" si="19"/>
        <v/>
      </c>
      <c r="G618" s="2" t="str">
        <f>IF(D618&lt;&gt;"",IF(VLOOKUP(VLOOKUP(E618,Beräkningshjälp!O$2:U$60,7,FALSE),Artuppgifter!$I$11:$P$22,8,FALSE)=TRUE,"Medelvikter!!","ALLA"),"")</f>
        <v/>
      </c>
      <c r="H618" s="2" t="str">
        <f>IF(D618&lt;&gt;"",VLOOKUP(ROW(H617),Beräkningshjälp!AC$2:AH$1082,COLUMN(Beräkningshjälp!AH$2)-COLUMN(Beräkningshjälp!AC$2)+1,FALSE),"")</f>
        <v/>
      </c>
      <c r="I618" s="116" t="str">
        <f>IF(D618&lt;&gt;"",VLOOKUP(ROW(E617),Beräkningshjälp!AC$2:AI$1082,COLUMN(Beräkningshjälp!AI$2)-COLUMN(Beräkningshjälp!AC$2)+1,FALSE),"")</f>
        <v/>
      </c>
    </row>
    <row r="619" spans="1:9" x14ac:dyDescent="0.25">
      <c r="A619" s="2" t="str">
        <f t="shared" si="18"/>
        <v/>
      </c>
      <c r="B619" s="136" t="str">
        <f>IF(D619&lt;&gt;"",'DATA TILL SLU'!$J$3,"")</f>
        <v/>
      </c>
      <c r="C619" s="146" t="str">
        <f>IF(D619&lt;&gt;"",'DATA TILL SLU'!$K$3,"")</f>
        <v/>
      </c>
      <c r="D619" s="2" t="str">
        <f>IF('DATA TILL SLU'!$D$7*1&lt;&gt;"",IF(COUNT(Beräkningshjälp!$AC$3:$AC$1082)&gt;=ROW(D618),'DATA TILL SLU'!$D$7*1,""),"")</f>
        <v/>
      </c>
      <c r="E619" s="136" t="str">
        <f>IF(D619&lt;&gt;"",VLOOKUP(ROW(E618),Beräkningshjälp!AC$2:AH$1082,COLUMN(Beräkningshjälp!AF$2)-COLUMN(Beräkningshjälp!AC$2)+1,FALSE),"")</f>
        <v/>
      </c>
      <c r="F619" s="352" t="str">
        <f t="shared" si="19"/>
        <v/>
      </c>
      <c r="G619" s="2" t="str">
        <f>IF(D619&lt;&gt;"",IF(VLOOKUP(VLOOKUP(E619,Beräkningshjälp!O$2:U$60,7,FALSE),Artuppgifter!$I$11:$P$22,8,FALSE)=TRUE,"Medelvikter!!","ALLA"),"")</f>
        <v/>
      </c>
      <c r="H619" s="2" t="str">
        <f>IF(D619&lt;&gt;"",VLOOKUP(ROW(H618),Beräkningshjälp!AC$2:AH$1082,COLUMN(Beräkningshjälp!AH$2)-COLUMN(Beräkningshjälp!AC$2)+1,FALSE),"")</f>
        <v/>
      </c>
      <c r="I619" s="116" t="str">
        <f>IF(D619&lt;&gt;"",VLOOKUP(ROW(E618),Beräkningshjälp!AC$2:AI$1082,COLUMN(Beräkningshjälp!AI$2)-COLUMN(Beräkningshjälp!AC$2)+1,FALSE),"")</f>
        <v/>
      </c>
    </row>
    <row r="620" spans="1:9" x14ac:dyDescent="0.25">
      <c r="A620" s="2" t="str">
        <f t="shared" si="18"/>
        <v/>
      </c>
      <c r="B620" s="136" t="str">
        <f>IF(D620&lt;&gt;"",'DATA TILL SLU'!$J$3,"")</f>
        <v/>
      </c>
      <c r="C620" s="146" t="str">
        <f>IF(D620&lt;&gt;"",'DATA TILL SLU'!$K$3,"")</f>
        <v/>
      </c>
      <c r="D620" s="2" t="str">
        <f>IF('DATA TILL SLU'!$D$7*1&lt;&gt;"",IF(COUNT(Beräkningshjälp!$AC$3:$AC$1082)&gt;=ROW(D619),'DATA TILL SLU'!$D$7*1,""),"")</f>
        <v/>
      </c>
      <c r="E620" s="136" t="str">
        <f>IF(D620&lt;&gt;"",VLOOKUP(ROW(E619),Beräkningshjälp!AC$2:AH$1082,COLUMN(Beräkningshjälp!AF$2)-COLUMN(Beräkningshjälp!AC$2)+1,FALSE),"")</f>
        <v/>
      </c>
      <c r="F620" s="352" t="str">
        <f t="shared" si="19"/>
        <v/>
      </c>
      <c r="G620" s="2" t="str">
        <f>IF(D620&lt;&gt;"",IF(VLOOKUP(VLOOKUP(E620,Beräkningshjälp!O$2:U$60,7,FALSE),Artuppgifter!$I$11:$P$22,8,FALSE)=TRUE,"Medelvikter!!","ALLA"),"")</f>
        <v/>
      </c>
      <c r="H620" s="2" t="str">
        <f>IF(D620&lt;&gt;"",VLOOKUP(ROW(H619),Beräkningshjälp!AC$2:AH$1082,COLUMN(Beräkningshjälp!AH$2)-COLUMN(Beräkningshjälp!AC$2)+1,FALSE),"")</f>
        <v/>
      </c>
      <c r="I620" s="116" t="str">
        <f>IF(D620&lt;&gt;"",VLOOKUP(ROW(E619),Beräkningshjälp!AC$2:AI$1082,COLUMN(Beräkningshjälp!AI$2)-COLUMN(Beräkningshjälp!AC$2)+1,FALSE),"")</f>
        <v/>
      </c>
    </row>
    <row r="621" spans="1:9" x14ac:dyDescent="0.25">
      <c r="A621" s="2" t="str">
        <f t="shared" si="18"/>
        <v/>
      </c>
      <c r="B621" s="136" t="str">
        <f>IF(D621&lt;&gt;"",'DATA TILL SLU'!$J$3,"")</f>
        <v/>
      </c>
      <c r="C621" s="146" t="str">
        <f>IF(D621&lt;&gt;"",'DATA TILL SLU'!$K$3,"")</f>
        <v/>
      </c>
      <c r="D621" s="2" t="str">
        <f>IF('DATA TILL SLU'!$D$7*1&lt;&gt;"",IF(COUNT(Beräkningshjälp!$AC$3:$AC$1082)&gt;=ROW(D620),'DATA TILL SLU'!$D$7*1,""),"")</f>
        <v/>
      </c>
      <c r="E621" s="136" t="str">
        <f>IF(D621&lt;&gt;"",VLOOKUP(ROW(E620),Beräkningshjälp!AC$2:AH$1082,COLUMN(Beräkningshjälp!AF$2)-COLUMN(Beräkningshjälp!AC$2)+1,FALSE),"")</f>
        <v/>
      </c>
      <c r="F621" s="352" t="str">
        <f t="shared" si="19"/>
        <v/>
      </c>
      <c r="G621" s="2" t="str">
        <f>IF(D621&lt;&gt;"",IF(VLOOKUP(VLOOKUP(E621,Beräkningshjälp!O$2:U$60,7,FALSE),Artuppgifter!$I$11:$P$22,8,FALSE)=TRUE,"Medelvikter!!","ALLA"),"")</f>
        <v/>
      </c>
      <c r="H621" s="2" t="str">
        <f>IF(D621&lt;&gt;"",VLOOKUP(ROW(H620),Beräkningshjälp!AC$2:AH$1082,COLUMN(Beräkningshjälp!AH$2)-COLUMN(Beräkningshjälp!AC$2)+1,FALSE),"")</f>
        <v/>
      </c>
      <c r="I621" s="116" t="str">
        <f>IF(D621&lt;&gt;"",VLOOKUP(ROW(E620),Beräkningshjälp!AC$2:AI$1082,COLUMN(Beräkningshjälp!AI$2)-COLUMN(Beräkningshjälp!AC$2)+1,FALSE),"")</f>
        <v/>
      </c>
    </row>
    <row r="622" spans="1:9" x14ac:dyDescent="0.25">
      <c r="A622" s="2" t="str">
        <f t="shared" si="18"/>
        <v/>
      </c>
      <c r="B622" s="136" t="str">
        <f>IF(D622&lt;&gt;"",'DATA TILL SLU'!$J$3,"")</f>
        <v/>
      </c>
      <c r="C622" s="146" t="str">
        <f>IF(D622&lt;&gt;"",'DATA TILL SLU'!$K$3,"")</f>
        <v/>
      </c>
      <c r="D622" s="2" t="str">
        <f>IF('DATA TILL SLU'!$D$7*1&lt;&gt;"",IF(COUNT(Beräkningshjälp!$AC$3:$AC$1082)&gt;=ROW(D621),'DATA TILL SLU'!$D$7*1,""),"")</f>
        <v/>
      </c>
      <c r="E622" s="136" t="str">
        <f>IF(D622&lt;&gt;"",VLOOKUP(ROW(E621),Beräkningshjälp!AC$2:AH$1082,COLUMN(Beräkningshjälp!AF$2)-COLUMN(Beräkningshjälp!AC$2)+1,FALSE),"")</f>
        <v/>
      </c>
      <c r="F622" s="352" t="str">
        <f t="shared" si="19"/>
        <v/>
      </c>
      <c r="G622" s="2" t="str">
        <f>IF(D622&lt;&gt;"",IF(VLOOKUP(VLOOKUP(E622,Beräkningshjälp!O$2:U$60,7,FALSE),Artuppgifter!$I$11:$P$22,8,FALSE)=TRUE,"Medelvikter!!","ALLA"),"")</f>
        <v/>
      </c>
      <c r="H622" s="2" t="str">
        <f>IF(D622&lt;&gt;"",VLOOKUP(ROW(H621),Beräkningshjälp!AC$2:AH$1082,COLUMN(Beräkningshjälp!AH$2)-COLUMN(Beräkningshjälp!AC$2)+1,FALSE),"")</f>
        <v/>
      </c>
      <c r="I622" s="116" t="str">
        <f>IF(D622&lt;&gt;"",VLOOKUP(ROW(E621),Beräkningshjälp!AC$2:AI$1082,COLUMN(Beräkningshjälp!AI$2)-COLUMN(Beräkningshjälp!AC$2)+1,FALSE),"")</f>
        <v/>
      </c>
    </row>
    <row r="623" spans="1:9" x14ac:dyDescent="0.25">
      <c r="A623" s="2" t="str">
        <f t="shared" si="18"/>
        <v/>
      </c>
      <c r="B623" s="136" t="str">
        <f>IF(D623&lt;&gt;"",'DATA TILL SLU'!$J$3,"")</f>
        <v/>
      </c>
      <c r="C623" s="146" t="str">
        <f>IF(D623&lt;&gt;"",'DATA TILL SLU'!$K$3,"")</f>
        <v/>
      </c>
      <c r="D623" s="2" t="str">
        <f>IF('DATA TILL SLU'!$D$7*1&lt;&gt;"",IF(COUNT(Beräkningshjälp!$AC$3:$AC$1082)&gt;=ROW(D622),'DATA TILL SLU'!$D$7*1,""),"")</f>
        <v/>
      </c>
      <c r="E623" s="136" t="str">
        <f>IF(D623&lt;&gt;"",VLOOKUP(ROW(E622),Beräkningshjälp!AC$2:AH$1082,COLUMN(Beräkningshjälp!AF$2)-COLUMN(Beräkningshjälp!AC$2)+1,FALSE),"")</f>
        <v/>
      </c>
      <c r="F623" s="352" t="str">
        <f t="shared" si="19"/>
        <v/>
      </c>
      <c r="G623" s="2" t="str">
        <f>IF(D623&lt;&gt;"",IF(VLOOKUP(VLOOKUP(E623,Beräkningshjälp!O$2:U$60,7,FALSE),Artuppgifter!$I$11:$P$22,8,FALSE)=TRUE,"Medelvikter!!","ALLA"),"")</f>
        <v/>
      </c>
      <c r="H623" s="2" t="str">
        <f>IF(D623&lt;&gt;"",VLOOKUP(ROW(H622),Beräkningshjälp!AC$2:AH$1082,COLUMN(Beräkningshjälp!AH$2)-COLUMN(Beräkningshjälp!AC$2)+1,FALSE),"")</f>
        <v/>
      </c>
      <c r="I623" s="116" t="str">
        <f>IF(D623&lt;&gt;"",VLOOKUP(ROW(E622),Beräkningshjälp!AC$2:AI$1082,COLUMN(Beräkningshjälp!AI$2)-COLUMN(Beräkningshjälp!AC$2)+1,FALSE),"")</f>
        <v/>
      </c>
    </row>
    <row r="624" spans="1:9" x14ac:dyDescent="0.25">
      <c r="A624" s="2" t="str">
        <f t="shared" si="18"/>
        <v/>
      </c>
      <c r="B624" s="136" t="str">
        <f>IF(D624&lt;&gt;"",'DATA TILL SLU'!$J$3,"")</f>
        <v/>
      </c>
      <c r="C624" s="146" t="str">
        <f>IF(D624&lt;&gt;"",'DATA TILL SLU'!$K$3,"")</f>
        <v/>
      </c>
      <c r="D624" s="2" t="str">
        <f>IF('DATA TILL SLU'!$D$7*1&lt;&gt;"",IF(COUNT(Beräkningshjälp!$AC$3:$AC$1082)&gt;=ROW(D623),'DATA TILL SLU'!$D$7*1,""),"")</f>
        <v/>
      </c>
      <c r="E624" s="136" t="str">
        <f>IF(D624&lt;&gt;"",VLOOKUP(ROW(E623),Beräkningshjälp!AC$2:AH$1082,COLUMN(Beräkningshjälp!AF$2)-COLUMN(Beräkningshjälp!AC$2)+1,FALSE),"")</f>
        <v/>
      </c>
      <c r="F624" s="352" t="str">
        <f t="shared" si="19"/>
        <v/>
      </c>
      <c r="G624" s="2" t="str">
        <f>IF(D624&lt;&gt;"",IF(VLOOKUP(VLOOKUP(E624,Beräkningshjälp!O$2:U$60,7,FALSE),Artuppgifter!$I$11:$P$22,8,FALSE)=TRUE,"Medelvikter!!","ALLA"),"")</f>
        <v/>
      </c>
      <c r="H624" s="2" t="str">
        <f>IF(D624&lt;&gt;"",VLOOKUP(ROW(H623),Beräkningshjälp!AC$2:AH$1082,COLUMN(Beräkningshjälp!AH$2)-COLUMN(Beräkningshjälp!AC$2)+1,FALSE),"")</f>
        <v/>
      </c>
      <c r="I624" s="116" t="str">
        <f>IF(D624&lt;&gt;"",VLOOKUP(ROW(E623),Beräkningshjälp!AC$2:AI$1082,COLUMN(Beräkningshjälp!AI$2)-COLUMN(Beräkningshjälp!AC$2)+1,FALSE),"")</f>
        <v/>
      </c>
    </row>
    <row r="625" spans="1:9" x14ac:dyDescent="0.25">
      <c r="A625" s="2" t="str">
        <f t="shared" si="18"/>
        <v/>
      </c>
      <c r="B625" s="136" t="str">
        <f>IF(D625&lt;&gt;"",'DATA TILL SLU'!$J$3,"")</f>
        <v/>
      </c>
      <c r="C625" s="146" t="str">
        <f>IF(D625&lt;&gt;"",'DATA TILL SLU'!$K$3,"")</f>
        <v/>
      </c>
      <c r="D625" s="2" t="str">
        <f>IF('DATA TILL SLU'!$D$7*1&lt;&gt;"",IF(COUNT(Beräkningshjälp!$AC$3:$AC$1082)&gt;=ROW(D624),'DATA TILL SLU'!$D$7*1,""),"")</f>
        <v/>
      </c>
      <c r="E625" s="136" t="str">
        <f>IF(D625&lt;&gt;"",VLOOKUP(ROW(E624),Beräkningshjälp!AC$2:AH$1082,COLUMN(Beräkningshjälp!AF$2)-COLUMN(Beräkningshjälp!AC$2)+1,FALSE),"")</f>
        <v/>
      </c>
      <c r="F625" s="352" t="str">
        <f t="shared" si="19"/>
        <v/>
      </c>
      <c r="G625" s="2" t="str">
        <f>IF(D625&lt;&gt;"",IF(VLOOKUP(VLOOKUP(E625,Beräkningshjälp!O$2:U$60,7,FALSE),Artuppgifter!$I$11:$P$22,8,FALSE)=TRUE,"Medelvikter!!","ALLA"),"")</f>
        <v/>
      </c>
      <c r="H625" s="2" t="str">
        <f>IF(D625&lt;&gt;"",VLOOKUP(ROW(H624),Beräkningshjälp!AC$2:AH$1082,COLUMN(Beräkningshjälp!AH$2)-COLUMN(Beräkningshjälp!AC$2)+1,FALSE),"")</f>
        <v/>
      </c>
      <c r="I625" s="116" t="str">
        <f>IF(D625&lt;&gt;"",VLOOKUP(ROW(E624),Beräkningshjälp!AC$2:AI$1082,COLUMN(Beräkningshjälp!AI$2)-COLUMN(Beräkningshjälp!AC$2)+1,FALSE),"")</f>
        <v/>
      </c>
    </row>
    <row r="626" spans="1:9" x14ac:dyDescent="0.25">
      <c r="A626" s="2" t="str">
        <f t="shared" si="18"/>
        <v/>
      </c>
      <c r="B626" s="136" t="str">
        <f>IF(D626&lt;&gt;"",'DATA TILL SLU'!$J$3,"")</f>
        <v/>
      </c>
      <c r="C626" s="146" t="str">
        <f>IF(D626&lt;&gt;"",'DATA TILL SLU'!$K$3,"")</f>
        <v/>
      </c>
      <c r="D626" s="2" t="str">
        <f>IF('DATA TILL SLU'!$D$7*1&lt;&gt;"",IF(COUNT(Beräkningshjälp!$AC$3:$AC$1082)&gt;=ROW(D625),'DATA TILL SLU'!$D$7*1,""),"")</f>
        <v/>
      </c>
      <c r="E626" s="136" t="str">
        <f>IF(D626&lt;&gt;"",VLOOKUP(ROW(E625),Beräkningshjälp!AC$2:AH$1082,COLUMN(Beräkningshjälp!AF$2)-COLUMN(Beräkningshjälp!AC$2)+1,FALSE),"")</f>
        <v/>
      </c>
      <c r="F626" s="352" t="str">
        <f t="shared" si="19"/>
        <v/>
      </c>
      <c r="G626" s="2" t="str">
        <f>IF(D626&lt;&gt;"",IF(VLOOKUP(VLOOKUP(E626,Beräkningshjälp!O$2:U$60,7,FALSE),Artuppgifter!$I$11:$P$22,8,FALSE)=TRUE,"Medelvikter!!","ALLA"),"")</f>
        <v/>
      </c>
      <c r="H626" s="2" t="str">
        <f>IF(D626&lt;&gt;"",VLOOKUP(ROW(H625),Beräkningshjälp!AC$2:AH$1082,COLUMN(Beräkningshjälp!AH$2)-COLUMN(Beräkningshjälp!AC$2)+1,FALSE),"")</f>
        <v/>
      </c>
      <c r="I626" s="116" t="str">
        <f>IF(D626&lt;&gt;"",VLOOKUP(ROW(E625),Beräkningshjälp!AC$2:AI$1082,COLUMN(Beräkningshjälp!AI$2)-COLUMN(Beräkningshjälp!AC$2)+1,FALSE),"")</f>
        <v/>
      </c>
    </row>
    <row r="627" spans="1:9" x14ac:dyDescent="0.25">
      <c r="A627" s="2" t="str">
        <f t="shared" si="18"/>
        <v/>
      </c>
      <c r="B627" s="136" t="str">
        <f>IF(D627&lt;&gt;"",'DATA TILL SLU'!$J$3,"")</f>
        <v/>
      </c>
      <c r="C627" s="146" t="str">
        <f>IF(D627&lt;&gt;"",'DATA TILL SLU'!$K$3,"")</f>
        <v/>
      </c>
      <c r="D627" s="2" t="str">
        <f>IF('DATA TILL SLU'!$D$7*1&lt;&gt;"",IF(COUNT(Beräkningshjälp!$AC$3:$AC$1082)&gt;=ROW(D626),'DATA TILL SLU'!$D$7*1,""),"")</f>
        <v/>
      </c>
      <c r="E627" s="136" t="str">
        <f>IF(D627&lt;&gt;"",VLOOKUP(ROW(E626),Beräkningshjälp!AC$2:AH$1082,COLUMN(Beräkningshjälp!AF$2)-COLUMN(Beräkningshjälp!AC$2)+1,FALSE),"")</f>
        <v/>
      </c>
      <c r="F627" s="352" t="str">
        <f t="shared" si="19"/>
        <v/>
      </c>
      <c r="G627" s="2" t="str">
        <f>IF(D627&lt;&gt;"",IF(VLOOKUP(VLOOKUP(E627,Beräkningshjälp!O$2:U$60,7,FALSE),Artuppgifter!$I$11:$P$22,8,FALSE)=TRUE,"Medelvikter!!","ALLA"),"")</f>
        <v/>
      </c>
      <c r="H627" s="2" t="str">
        <f>IF(D627&lt;&gt;"",VLOOKUP(ROW(H626),Beräkningshjälp!AC$2:AH$1082,COLUMN(Beräkningshjälp!AH$2)-COLUMN(Beräkningshjälp!AC$2)+1,FALSE),"")</f>
        <v/>
      </c>
      <c r="I627" s="116" t="str">
        <f>IF(D627&lt;&gt;"",VLOOKUP(ROW(E626),Beräkningshjälp!AC$2:AI$1082,COLUMN(Beräkningshjälp!AI$2)-COLUMN(Beräkningshjälp!AC$2)+1,FALSE),"")</f>
        <v/>
      </c>
    </row>
    <row r="628" spans="1:9" x14ac:dyDescent="0.25">
      <c r="A628" s="2" t="str">
        <f t="shared" si="18"/>
        <v/>
      </c>
      <c r="B628" s="136" t="str">
        <f>IF(D628&lt;&gt;"",'DATA TILL SLU'!$J$3,"")</f>
        <v/>
      </c>
      <c r="C628" s="146" t="str">
        <f>IF(D628&lt;&gt;"",'DATA TILL SLU'!$K$3,"")</f>
        <v/>
      </c>
      <c r="D628" s="2" t="str">
        <f>IF('DATA TILL SLU'!$D$7*1&lt;&gt;"",IF(COUNT(Beräkningshjälp!$AC$3:$AC$1082)&gt;=ROW(D627),'DATA TILL SLU'!$D$7*1,""),"")</f>
        <v/>
      </c>
      <c r="E628" s="136" t="str">
        <f>IF(D628&lt;&gt;"",VLOOKUP(ROW(E627),Beräkningshjälp!AC$2:AH$1082,COLUMN(Beräkningshjälp!AF$2)-COLUMN(Beräkningshjälp!AC$2)+1,FALSE),"")</f>
        <v/>
      </c>
      <c r="F628" s="352" t="str">
        <f t="shared" si="19"/>
        <v/>
      </c>
      <c r="G628" s="2" t="str">
        <f>IF(D628&lt;&gt;"",IF(VLOOKUP(VLOOKUP(E628,Beräkningshjälp!O$2:U$60,7,FALSE),Artuppgifter!$I$11:$P$22,8,FALSE)=TRUE,"Medelvikter!!","ALLA"),"")</f>
        <v/>
      </c>
      <c r="H628" s="2" t="str">
        <f>IF(D628&lt;&gt;"",VLOOKUP(ROW(H627),Beräkningshjälp!AC$2:AH$1082,COLUMN(Beräkningshjälp!AH$2)-COLUMN(Beräkningshjälp!AC$2)+1,FALSE),"")</f>
        <v/>
      </c>
      <c r="I628" s="116" t="str">
        <f>IF(D628&lt;&gt;"",VLOOKUP(ROW(E627),Beräkningshjälp!AC$2:AI$1082,COLUMN(Beräkningshjälp!AI$2)-COLUMN(Beräkningshjälp!AC$2)+1,FALSE),"")</f>
        <v/>
      </c>
    </row>
    <row r="629" spans="1:9" x14ac:dyDescent="0.25">
      <c r="A629" s="2" t="str">
        <f t="shared" si="18"/>
        <v/>
      </c>
      <c r="B629" s="136" t="str">
        <f>IF(D629&lt;&gt;"",'DATA TILL SLU'!$J$3,"")</f>
        <v/>
      </c>
      <c r="C629" s="146" t="str">
        <f>IF(D629&lt;&gt;"",'DATA TILL SLU'!$K$3,"")</f>
        <v/>
      </c>
      <c r="D629" s="2" t="str">
        <f>IF('DATA TILL SLU'!$D$7*1&lt;&gt;"",IF(COUNT(Beräkningshjälp!$AC$3:$AC$1082)&gt;=ROW(D628),'DATA TILL SLU'!$D$7*1,""),"")</f>
        <v/>
      </c>
      <c r="E629" s="136" t="str">
        <f>IF(D629&lt;&gt;"",VLOOKUP(ROW(E628),Beräkningshjälp!AC$2:AH$1082,COLUMN(Beräkningshjälp!AF$2)-COLUMN(Beräkningshjälp!AC$2)+1,FALSE),"")</f>
        <v/>
      </c>
      <c r="F629" s="352" t="str">
        <f t="shared" si="19"/>
        <v/>
      </c>
      <c r="G629" s="2" t="str">
        <f>IF(D629&lt;&gt;"",IF(VLOOKUP(VLOOKUP(E629,Beräkningshjälp!O$2:U$60,7,FALSE),Artuppgifter!$I$11:$P$22,8,FALSE)=TRUE,"Medelvikter!!","ALLA"),"")</f>
        <v/>
      </c>
      <c r="H629" s="2" t="str">
        <f>IF(D629&lt;&gt;"",VLOOKUP(ROW(H628),Beräkningshjälp!AC$2:AH$1082,COLUMN(Beräkningshjälp!AH$2)-COLUMN(Beräkningshjälp!AC$2)+1,FALSE),"")</f>
        <v/>
      </c>
      <c r="I629" s="116" t="str">
        <f>IF(D629&lt;&gt;"",VLOOKUP(ROW(E628),Beräkningshjälp!AC$2:AI$1082,COLUMN(Beräkningshjälp!AI$2)-COLUMN(Beräkningshjälp!AC$2)+1,FALSE),"")</f>
        <v/>
      </c>
    </row>
    <row r="630" spans="1:9" x14ac:dyDescent="0.25">
      <c r="A630" s="2" t="str">
        <f t="shared" si="18"/>
        <v/>
      </c>
      <c r="B630" s="136" t="str">
        <f>IF(D630&lt;&gt;"",'DATA TILL SLU'!$J$3,"")</f>
        <v/>
      </c>
      <c r="C630" s="146" t="str">
        <f>IF(D630&lt;&gt;"",'DATA TILL SLU'!$K$3,"")</f>
        <v/>
      </c>
      <c r="D630" s="2" t="str">
        <f>IF('DATA TILL SLU'!$D$7*1&lt;&gt;"",IF(COUNT(Beräkningshjälp!$AC$3:$AC$1082)&gt;=ROW(D629),'DATA TILL SLU'!$D$7*1,""),"")</f>
        <v/>
      </c>
      <c r="E630" s="136" t="str">
        <f>IF(D630&lt;&gt;"",VLOOKUP(ROW(E629),Beräkningshjälp!AC$2:AH$1082,COLUMN(Beräkningshjälp!AF$2)-COLUMN(Beräkningshjälp!AC$2)+1,FALSE),"")</f>
        <v/>
      </c>
      <c r="F630" s="352" t="str">
        <f t="shared" si="19"/>
        <v/>
      </c>
      <c r="G630" s="2" t="str">
        <f>IF(D630&lt;&gt;"",IF(VLOOKUP(VLOOKUP(E630,Beräkningshjälp!O$2:U$60,7,FALSE),Artuppgifter!$I$11:$P$22,8,FALSE)=TRUE,"Medelvikter!!","ALLA"),"")</f>
        <v/>
      </c>
      <c r="H630" s="2" t="str">
        <f>IF(D630&lt;&gt;"",VLOOKUP(ROW(H629),Beräkningshjälp!AC$2:AH$1082,COLUMN(Beräkningshjälp!AH$2)-COLUMN(Beräkningshjälp!AC$2)+1,FALSE),"")</f>
        <v/>
      </c>
      <c r="I630" s="116" t="str">
        <f>IF(D630&lt;&gt;"",VLOOKUP(ROW(E629),Beräkningshjälp!AC$2:AI$1082,COLUMN(Beräkningshjälp!AI$2)-COLUMN(Beräkningshjälp!AC$2)+1,FALSE),"")</f>
        <v/>
      </c>
    </row>
    <row r="631" spans="1:9" x14ac:dyDescent="0.25">
      <c r="A631" s="2" t="str">
        <f t="shared" si="18"/>
        <v/>
      </c>
      <c r="B631" s="136" t="str">
        <f>IF(D631&lt;&gt;"",'DATA TILL SLU'!$J$3,"")</f>
        <v/>
      </c>
      <c r="C631" s="146" t="str">
        <f>IF(D631&lt;&gt;"",'DATA TILL SLU'!$K$3,"")</f>
        <v/>
      </c>
      <c r="D631" s="2" t="str">
        <f>IF('DATA TILL SLU'!$D$7*1&lt;&gt;"",IF(COUNT(Beräkningshjälp!$AC$3:$AC$1082)&gt;=ROW(D630),'DATA TILL SLU'!$D$7*1,""),"")</f>
        <v/>
      </c>
      <c r="E631" s="136" t="str">
        <f>IF(D631&lt;&gt;"",VLOOKUP(ROW(E630),Beräkningshjälp!AC$2:AH$1082,COLUMN(Beräkningshjälp!AF$2)-COLUMN(Beräkningshjälp!AC$2)+1,FALSE),"")</f>
        <v/>
      </c>
      <c r="F631" s="352" t="str">
        <f t="shared" si="19"/>
        <v/>
      </c>
      <c r="G631" s="2" t="str">
        <f>IF(D631&lt;&gt;"",IF(VLOOKUP(VLOOKUP(E631,Beräkningshjälp!O$2:U$60,7,FALSE),Artuppgifter!$I$11:$P$22,8,FALSE)=TRUE,"Medelvikter!!","ALLA"),"")</f>
        <v/>
      </c>
      <c r="H631" s="2" t="str">
        <f>IF(D631&lt;&gt;"",VLOOKUP(ROW(H630),Beräkningshjälp!AC$2:AH$1082,COLUMN(Beräkningshjälp!AH$2)-COLUMN(Beräkningshjälp!AC$2)+1,FALSE),"")</f>
        <v/>
      </c>
      <c r="I631" s="116" t="str">
        <f>IF(D631&lt;&gt;"",VLOOKUP(ROW(E630),Beräkningshjälp!AC$2:AI$1082,COLUMN(Beräkningshjälp!AI$2)-COLUMN(Beräkningshjälp!AC$2)+1,FALSE),"")</f>
        <v/>
      </c>
    </row>
    <row r="632" spans="1:9" x14ac:dyDescent="0.25">
      <c r="A632" s="2" t="str">
        <f t="shared" si="18"/>
        <v/>
      </c>
      <c r="B632" s="136" t="str">
        <f>IF(D632&lt;&gt;"",'DATA TILL SLU'!$J$3,"")</f>
        <v/>
      </c>
      <c r="C632" s="146" t="str">
        <f>IF(D632&lt;&gt;"",'DATA TILL SLU'!$K$3,"")</f>
        <v/>
      </c>
      <c r="D632" s="2" t="str">
        <f>IF('DATA TILL SLU'!$D$7*1&lt;&gt;"",IF(COUNT(Beräkningshjälp!$AC$3:$AC$1082)&gt;=ROW(D631),'DATA TILL SLU'!$D$7*1,""),"")</f>
        <v/>
      </c>
      <c r="E632" s="136" t="str">
        <f>IF(D632&lt;&gt;"",VLOOKUP(ROW(E631),Beräkningshjälp!AC$2:AH$1082,COLUMN(Beräkningshjälp!AF$2)-COLUMN(Beräkningshjälp!AC$2)+1,FALSE),"")</f>
        <v/>
      </c>
      <c r="F632" s="352" t="str">
        <f t="shared" si="19"/>
        <v/>
      </c>
      <c r="G632" s="2" t="str">
        <f>IF(D632&lt;&gt;"",IF(VLOOKUP(VLOOKUP(E632,Beräkningshjälp!O$2:U$60,7,FALSE),Artuppgifter!$I$11:$P$22,8,FALSE)=TRUE,"Medelvikter!!","ALLA"),"")</f>
        <v/>
      </c>
      <c r="H632" s="2" t="str">
        <f>IF(D632&lt;&gt;"",VLOOKUP(ROW(H631),Beräkningshjälp!AC$2:AH$1082,COLUMN(Beräkningshjälp!AH$2)-COLUMN(Beräkningshjälp!AC$2)+1,FALSE),"")</f>
        <v/>
      </c>
      <c r="I632" s="116" t="str">
        <f>IF(D632&lt;&gt;"",VLOOKUP(ROW(E631),Beräkningshjälp!AC$2:AI$1082,COLUMN(Beräkningshjälp!AI$2)-COLUMN(Beräkningshjälp!AC$2)+1,FALSE),"")</f>
        <v/>
      </c>
    </row>
    <row r="633" spans="1:9" x14ac:dyDescent="0.25">
      <c r="A633" s="2" t="str">
        <f t="shared" si="18"/>
        <v/>
      </c>
      <c r="B633" s="136" t="str">
        <f>IF(D633&lt;&gt;"",'DATA TILL SLU'!$J$3,"")</f>
        <v/>
      </c>
      <c r="C633" s="146" t="str">
        <f>IF(D633&lt;&gt;"",'DATA TILL SLU'!$K$3,"")</f>
        <v/>
      </c>
      <c r="D633" s="2" t="str">
        <f>IF('DATA TILL SLU'!$D$7*1&lt;&gt;"",IF(COUNT(Beräkningshjälp!$AC$3:$AC$1082)&gt;=ROW(D632),'DATA TILL SLU'!$D$7*1,""),"")</f>
        <v/>
      </c>
      <c r="E633" s="136" t="str">
        <f>IF(D633&lt;&gt;"",VLOOKUP(ROW(E632),Beräkningshjälp!AC$2:AH$1082,COLUMN(Beräkningshjälp!AF$2)-COLUMN(Beräkningshjälp!AC$2)+1,FALSE),"")</f>
        <v/>
      </c>
      <c r="F633" s="352" t="str">
        <f t="shared" si="19"/>
        <v/>
      </c>
      <c r="G633" s="2" t="str">
        <f>IF(D633&lt;&gt;"",IF(VLOOKUP(VLOOKUP(E633,Beräkningshjälp!O$2:U$60,7,FALSE),Artuppgifter!$I$11:$P$22,8,FALSE)=TRUE,"Medelvikter!!","ALLA"),"")</f>
        <v/>
      </c>
      <c r="H633" s="2" t="str">
        <f>IF(D633&lt;&gt;"",VLOOKUP(ROW(H632),Beräkningshjälp!AC$2:AH$1082,COLUMN(Beräkningshjälp!AH$2)-COLUMN(Beräkningshjälp!AC$2)+1,FALSE),"")</f>
        <v/>
      </c>
      <c r="I633" s="116" t="str">
        <f>IF(D633&lt;&gt;"",VLOOKUP(ROW(E632),Beräkningshjälp!AC$2:AI$1082,COLUMN(Beräkningshjälp!AI$2)-COLUMN(Beräkningshjälp!AC$2)+1,FALSE),"")</f>
        <v/>
      </c>
    </row>
    <row r="634" spans="1:9" x14ac:dyDescent="0.25">
      <c r="A634" s="2" t="str">
        <f t="shared" si="18"/>
        <v/>
      </c>
      <c r="B634" s="136" t="str">
        <f>IF(D634&lt;&gt;"",'DATA TILL SLU'!$J$3,"")</f>
        <v/>
      </c>
      <c r="C634" s="146" t="str">
        <f>IF(D634&lt;&gt;"",'DATA TILL SLU'!$K$3,"")</f>
        <v/>
      </c>
      <c r="D634" s="2" t="str">
        <f>IF('DATA TILL SLU'!$D$7*1&lt;&gt;"",IF(COUNT(Beräkningshjälp!$AC$3:$AC$1082)&gt;=ROW(D633),'DATA TILL SLU'!$D$7*1,""),"")</f>
        <v/>
      </c>
      <c r="E634" s="136" t="str">
        <f>IF(D634&lt;&gt;"",VLOOKUP(ROW(E633),Beräkningshjälp!AC$2:AH$1082,COLUMN(Beräkningshjälp!AF$2)-COLUMN(Beräkningshjälp!AC$2)+1,FALSE),"")</f>
        <v/>
      </c>
      <c r="F634" s="352" t="str">
        <f t="shared" si="19"/>
        <v/>
      </c>
      <c r="G634" s="2" t="str">
        <f>IF(D634&lt;&gt;"",IF(VLOOKUP(VLOOKUP(E634,Beräkningshjälp!O$2:U$60,7,FALSE),Artuppgifter!$I$11:$P$22,8,FALSE)=TRUE,"Medelvikter!!","ALLA"),"")</f>
        <v/>
      </c>
      <c r="H634" s="2" t="str">
        <f>IF(D634&lt;&gt;"",VLOOKUP(ROW(H633),Beräkningshjälp!AC$2:AH$1082,COLUMN(Beräkningshjälp!AH$2)-COLUMN(Beräkningshjälp!AC$2)+1,FALSE),"")</f>
        <v/>
      </c>
      <c r="I634" s="116" t="str">
        <f>IF(D634&lt;&gt;"",VLOOKUP(ROW(E633),Beräkningshjälp!AC$2:AI$1082,COLUMN(Beräkningshjälp!AI$2)-COLUMN(Beräkningshjälp!AC$2)+1,FALSE),"")</f>
        <v/>
      </c>
    </row>
    <row r="635" spans="1:9" x14ac:dyDescent="0.25">
      <c r="A635" s="2" t="str">
        <f t="shared" si="18"/>
        <v/>
      </c>
      <c r="B635" s="136" t="str">
        <f>IF(D635&lt;&gt;"",'DATA TILL SLU'!$J$3,"")</f>
        <v/>
      </c>
      <c r="C635" s="146" t="str">
        <f>IF(D635&lt;&gt;"",'DATA TILL SLU'!$K$3,"")</f>
        <v/>
      </c>
      <c r="D635" s="2" t="str">
        <f>IF('DATA TILL SLU'!$D$7*1&lt;&gt;"",IF(COUNT(Beräkningshjälp!$AC$3:$AC$1082)&gt;=ROW(D634),'DATA TILL SLU'!$D$7*1,""),"")</f>
        <v/>
      </c>
      <c r="E635" s="136" t="str">
        <f>IF(D635&lt;&gt;"",VLOOKUP(ROW(E634),Beräkningshjälp!AC$2:AH$1082,COLUMN(Beräkningshjälp!AF$2)-COLUMN(Beräkningshjälp!AC$2)+1,FALSE),"")</f>
        <v/>
      </c>
      <c r="F635" s="352" t="str">
        <f t="shared" si="19"/>
        <v/>
      </c>
      <c r="G635" s="2" t="str">
        <f>IF(D635&lt;&gt;"",IF(VLOOKUP(VLOOKUP(E635,Beräkningshjälp!O$2:U$60,7,FALSE),Artuppgifter!$I$11:$P$22,8,FALSE)=TRUE,"Medelvikter!!","ALLA"),"")</f>
        <v/>
      </c>
      <c r="H635" s="2" t="str">
        <f>IF(D635&lt;&gt;"",VLOOKUP(ROW(H634),Beräkningshjälp!AC$2:AH$1082,COLUMN(Beräkningshjälp!AH$2)-COLUMN(Beräkningshjälp!AC$2)+1,FALSE),"")</f>
        <v/>
      </c>
      <c r="I635" s="116" t="str">
        <f>IF(D635&lt;&gt;"",VLOOKUP(ROW(E634),Beräkningshjälp!AC$2:AI$1082,COLUMN(Beräkningshjälp!AI$2)-COLUMN(Beräkningshjälp!AC$2)+1,FALSE),"")</f>
        <v/>
      </c>
    </row>
    <row r="636" spans="1:9" x14ac:dyDescent="0.25">
      <c r="A636" s="2" t="str">
        <f t="shared" si="18"/>
        <v/>
      </c>
      <c r="B636" s="136" t="str">
        <f>IF(D636&lt;&gt;"",'DATA TILL SLU'!$J$3,"")</f>
        <v/>
      </c>
      <c r="C636" s="146" t="str">
        <f>IF(D636&lt;&gt;"",'DATA TILL SLU'!$K$3,"")</f>
        <v/>
      </c>
      <c r="D636" s="2" t="str">
        <f>IF('DATA TILL SLU'!$D$7*1&lt;&gt;"",IF(COUNT(Beräkningshjälp!$AC$3:$AC$1082)&gt;=ROW(D635),'DATA TILL SLU'!$D$7*1,""),"")</f>
        <v/>
      </c>
      <c r="E636" s="136" t="str">
        <f>IF(D636&lt;&gt;"",VLOOKUP(ROW(E635),Beräkningshjälp!AC$2:AH$1082,COLUMN(Beräkningshjälp!AF$2)-COLUMN(Beräkningshjälp!AC$2)+1,FALSE),"")</f>
        <v/>
      </c>
      <c r="F636" s="352" t="str">
        <f t="shared" si="19"/>
        <v/>
      </c>
      <c r="G636" s="2" t="str">
        <f>IF(D636&lt;&gt;"",IF(VLOOKUP(VLOOKUP(E636,Beräkningshjälp!O$2:U$60,7,FALSE),Artuppgifter!$I$11:$P$22,8,FALSE)=TRUE,"Medelvikter!!","ALLA"),"")</f>
        <v/>
      </c>
      <c r="H636" s="2" t="str">
        <f>IF(D636&lt;&gt;"",VLOOKUP(ROW(H635),Beräkningshjälp!AC$2:AH$1082,COLUMN(Beräkningshjälp!AH$2)-COLUMN(Beräkningshjälp!AC$2)+1,FALSE),"")</f>
        <v/>
      </c>
      <c r="I636" s="116" t="str">
        <f>IF(D636&lt;&gt;"",VLOOKUP(ROW(E635),Beräkningshjälp!AC$2:AI$1082,COLUMN(Beräkningshjälp!AI$2)-COLUMN(Beräkningshjälp!AC$2)+1,FALSE),"")</f>
        <v/>
      </c>
    </row>
    <row r="637" spans="1:9" x14ac:dyDescent="0.25">
      <c r="A637" s="2" t="str">
        <f t="shared" si="18"/>
        <v/>
      </c>
      <c r="B637" s="136" t="str">
        <f>IF(D637&lt;&gt;"",'DATA TILL SLU'!$J$3,"")</f>
        <v/>
      </c>
      <c r="C637" s="146" t="str">
        <f>IF(D637&lt;&gt;"",'DATA TILL SLU'!$K$3,"")</f>
        <v/>
      </c>
      <c r="D637" s="2" t="str">
        <f>IF('DATA TILL SLU'!$D$7*1&lt;&gt;"",IF(COUNT(Beräkningshjälp!$AC$3:$AC$1082)&gt;=ROW(D636),'DATA TILL SLU'!$D$7*1,""),"")</f>
        <v/>
      </c>
      <c r="E637" s="136" t="str">
        <f>IF(D637&lt;&gt;"",VLOOKUP(ROW(E636),Beräkningshjälp!AC$2:AH$1082,COLUMN(Beräkningshjälp!AF$2)-COLUMN(Beräkningshjälp!AC$2)+1,FALSE),"")</f>
        <v/>
      </c>
      <c r="F637" s="352" t="str">
        <f t="shared" si="19"/>
        <v/>
      </c>
      <c r="G637" s="2" t="str">
        <f>IF(D637&lt;&gt;"",IF(VLOOKUP(VLOOKUP(E637,Beräkningshjälp!O$2:U$60,7,FALSE),Artuppgifter!$I$11:$P$22,8,FALSE)=TRUE,"Medelvikter!!","ALLA"),"")</f>
        <v/>
      </c>
      <c r="H637" s="2" t="str">
        <f>IF(D637&lt;&gt;"",VLOOKUP(ROW(H636),Beräkningshjälp!AC$2:AH$1082,COLUMN(Beräkningshjälp!AH$2)-COLUMN(Beräkningshjälp!AC$2)+1,FALSE),"")</f>
        <v/>
      </c>
      <c r="I637" s="116" t="str">
        <f>IF(D637&lt;&gt;"",VLOOKUP(ROW(E636),Beräkningshjälp!AC$2:AI$1082,COLUMN(Beräkningshjälp!AI$2)-COLUMN(Beräkningshjälp!AC$2)+1,FALSE),"")</f>
        <v/>
      </c>
    </row>
    <row r="638" spans="1:9" x14ac:dyDescent="0.25">
      <c r="A638" s="2" t="str">
        <f t="shared" si="18"/>
        <v/>
      </c>
      <c r="B638" s="136" t="str">
        <f>IF(D638&lt;&gt;"",'DATA TILL SLU'!$J$3,"")</f>
        <v/>
      </c>
      <c r="C638" s="146" t="str">
        <f>IF(D638&lt;&gt;"",'DATA TILL SLU'!$K$3,"")</f>
        <v/>
      </c>
      <c r="D638" s="2" t="str">
        <f>IF('DATA TILL SLU'!$D$7*1&lt;&gt;"",IF(COUNT(Beräkningshjälp!$AC$3:$AC$1082)&gt;=ROW(D637),'DATA TILL SLU'!$D$7*1,""),"")</f>
        <v/>
      </c>
      <c r="E638" s="136" t="str">
        <f>IF(D638&lt;&gt;"",VLOOKUP(ROW(E637),Beräkningshjälp!AC$2:AH$1082,COLUMN(Beräkningshjälp!AF$2)-COLUMN(Beräkningshjälp!AC$2)+1,FALSE),"")</f>
        <v/>
      </c>
      <c r="F638" s="352" t="str">
        <f t="shared" si="19"/>
        <v/>
      </c>
      <c r="G638" s="2" t="str">
        <f>IF(D638&lt;&gt;"",IF(VLOOKUP(VLOOKUP(E638,Beräkningshjälp!O$2:U$60,7,FALSE),Artuppgifter!$I$11:$P$22,8,FALSE)=TRUE,"Medelvikter!!","ALLA"),"")</f>
        <v/>
      </c>
      <c r="H638" s="2" t="str">
        <f>IF(D638&lt;&gt;"",VLOOKUP(ROW(H637),Beräkningshjälp!AC$2:AH$1082,COLUMN(Beräkningshjälp!AH$2)-COLUMN(Beräkningshjälp!AC$2)+1,FALSE),"")</f>
        <v/>
      </c>
      <c r="I638" s="116" t="str">
        <f>IF(D638&lt;&gt;"",VLOOKUP(ROW(E637),Beräkningshjälp!AC$2:AI$1082,COLUMN(Beräkningshjälp!AI$2)-COLUMN(Beräkningshjälp!AC$2)+1,FALSE),"")</f>
        <v/>
      </c>
    </row>
    <row r="639" spans="1:9" x14ac:dyDescent="0.25">
      <c r="A639" s="2" t="str">
        <f t="shared" si="18"/>
        <v/>
      </c>
      <c r="B639" s="136" t="str">
        <f>IF(D639&lt;&gt;"",'DATA TILL SLU'!$J$3,"")</f>
        <v/>
      </c>
      <c r="C639" s="146" t="str">
        <f>IF(D639&lt;&gt;"",'DATA TILL SLU'!$K$3,"")</f>
        <v/>
      </c>
      <c r="D639" s="2" t="str">
        <f>IF('DATA TILL SLU'!$D$7*1&lt;&gt;"",IF(COUNT(Beräkningshjälp!$AC$3:$AC$1082)&gt;=ROW(D638),'DATA TILL SLU'!$D$7*1,""),"")</f>
        <v/>
      </c>
      <c r="E639" s="136" t="str">
        <f>IF(D639&lt;&gt;"",VLOOKUP(ROW(E638),Beräkningshjälp!AC$2:AH$1082,COLUMN(Beräkningshjälp!AF$2)-COLUMN(Beräkningshjälp!AC$2)+1,FALSE),"")</f>
        <v/>
      </c>
      <c r="F639" s="352" t="str">
        <f t="shared" si="19"/>
        <v/>
      </c>
      <c r="G639" s="2" t="str">
        <f>IF(D639&lt;&gt;"",IF(VLOOKUP(VLOOKUP(E639,Beräkningshjälp!O$2:U$60,7,FALSE),Artuppgifter!$I$11:$P$22,8,FALSE)=TRUE,"Medelvikter!!","ALLA"),"")</f>
        <v/>
      </c>
      <c r="H639" s="2" t="str">
        <f>IF(D639&lt;&gt;"",VLOOKUP(ROW(H638),Beräkningshjälp!AC$2:AH$1082,COLUMN(Beräkningshjälp!AH$2)-COLUMN(Beräkningshjälp!AC$2)+1,FALSE),"")</f>
        <v/>
      </c>
      <c r="I639" s="116" t="str">
        <f>IF(D639&lt;&gt;"",VLOOKUP(ROW(E638),Beräkningshjälp!AC$2:AI$1082,COLUMN(Beräkningshjälp!AI$2)-COLUMN(Beräkningshjälp!AC$2)+1,FALSE),"")</f>
        <v/>
      </c>
    </row>
    <row r="640" spans="1:9" x14ac:dyDescent="0.25">
      <c r="A640" s="2" t="str">
        <f t="shared" si="18"/>
        <v/>
      </c>
      <c r="B640" s="136" t="str">
        <f>IF(D640&lt;&gt;"",'DATA TILL SLU'!$J$3,"")</f>
        <v/>
      </c>
      <c r="C640" s="146" t="str">
        <f>IF(D640&lt;&gt;"",'DATA TILL SLU'!$K$3,"")</f>
        <v/>
      </c>
      <c r="D640" s="2" t="str">
        <f>IF('DATA TILL SLU'!$D$7*1&lt;&gt;"",IF(COUNT(Beräkningshjälp!$AC$3:$AC$1082)&gt;=ROW(D639),'DATA TILL SLU'!$D$7*1,""),"")</f>
        <v/>
      </c>
      <c r="E640" s="136" t="str">
        <f>IF(D640&lt;&gt;"",VLOOKUP(ROW(E639),Beräkningshjälp!AC$2:AH$1082,COLUMN(Beräkningshjälp!AF$2)-COLUMN(Beräkningshjälp!AC$2)+1,FALSE),"")</f>
        <v/>
      </c>
      <c r="F640" s="352" t="str">
        <f t="shared" si="19"/>
        <v/>
      </c>
      <c r="G640" s="2" t="str">
        <f>IF(D640&lt;&gt;"",IF(VLOOKUP(VLOOKUP(E640,Beräkningshjälp!O$2:U$60,7,FALSE),Artuppgifter!$I$11:$P$22,8,FALSE)=TRUE,"Medelvikter!!","ALLA"),"")</f>
        <v/>
      </c>
      <c r="H640" s="2" t="str">
        <f>IF(D640&lt;&gt;"",VLOOKUP(ROW(H639),Beräkningshjälp!AC$2:AH$1082,COLUMN(Beräkningshjälp!AH$2)-COLUMN(Beräkningshjälp!AC$2)+1,FALSE),"")</f>
        <v/>
      </c>
      <c r="I640" s="116" t="str">
        <f>IF(D640&lt;&gt;"",VLOOKUP(ROW(E639),Beräkningshjälp!AC$2:AI$1082,COLUMN(Beräkningshjälp!AI$2)-COLUMN(Beräkningshjälp!AC$2)+1,FALSE),"")</f>
        <v/>
      </c>
    </row>
    <row r="641" spans="1:9" x14ac:dyDescent="0.25">
      <c r="A641" s="2" t="str">
        <f t="shared" si="18"/>
        <v/>
      </c>
      <c r="B641" s="136" t="str">
        <f>IF(D641&lt;&gt;"",'DATA TILL SLU'!$J$3,"")</f>
        <v/>
      </c>
      <c r="C641" s="146" t="str">
        <f>IF(D641&lt;&gt;"",'DATA TILL SLU'!$K$3,"")</f>
        <v/>
      </c>
      <c r="D641" s="2" t="str">
        <f>IF('DATA TILL SLU'!$D$7*1&lt;&gt;"",IF(COUNT(Beräkningshjälp!$AC$3:$AC$1082)&gt;=ROW(D640),'DATA TILL SLU'!$D$7*1,""),"")</f>
        <v/>
      </c>
      <c r="E641" s="136" t="str">
        <f>IF(D641&lt;&gt;"",VLOOKUP(ROW(E640),Beräkningshjälp!AC$2:AH$1082,COLUMN(Beräkningshjälp!AF$2)-COLUMN(Beräkningshjälp!AC$2)+1,FALSE),"")</f>
        <v/>
      </c>
      <c r="F641" s="352" t="str">
        <f t="shared" si="19"/>
        <v/>
      </c>
      <c r="G641" s="2" t="str">
        <f>IF(D641&lt;&gt;"",IF(VLOOKUP(VLOOKUP(E641,Beräkningshjälp!O$2:U$60,7,FALSE),Artuppgifter!$I$11:$P$22,8,FALSE)=TRUE,"Medelvikter!!","ALLA"),"")</f>
        <v/>
      </c>
      <c r="H641" s="2" t="str">
        <f>IF(D641&lt;&gt;"",VLOOKUP(ROW(H640),Beräkningshjälp!AC$2:AH$1082,COLUMN(Beräkningshjälp!AH$2)-COLUMN(Beräkningshjälp!AC$2)+1,FALSE),"")</f>
        <v/>
      </c>
      <c r="I641" s="116" t="str">
        <f>IF(D641&lt;&gt;"",VLOOKUP(ROW(E640),Beräkningshjälp!AC$2:AI$1082,COLUMN(Beräkningshjälp!AI$2)-COLUMN(Beräkningshjälp!AC$2)+1,FALSE),"")</f>
        <v/>
      </c>
    </row>
    <row r="642" spans="1:9" x14ac:dyDescent="0.25">
      <c r="A642" s="2" t="str">
        <f t="shared" si="18"/>
        <v/>
      </c>
      <c r="B642" s="136" t="str">
        <f>IF(D642&lt;&gt;"",'DATA TILL SLU'!$J$3,"")</f>
        <v/>
      </c>
      <c r="C642" s="146" t="str">
        <f>IF(D642&lt;&gt;"",'DATA TILL SLU'!$K$3,"")</f>
        <v/>
      </c>
      <c r="D642" s="2" t="str">
        <f>IF('DATA TILL SLU'!$D$7*1&lt;&gt;"",IF(COUNT(Beräkningshjälp!$AC$3:$AC$1082)&gt;=ROW(D641),'DATA TILL SLU'!$D$7*1,""),"")</f>
        <v/>
      </c>
      <c r="E642" s="136" t="str">
        <f>IF(D642&lt;&gt;"",VLOOKUP(ROW(E641),Beräkningshjälp!AC$2:AH$1082,COLUMN(Beräkningshjälp!AF$2)-COLUMN(Beräkningshjälp!AC$2)+1,FALSE),"")</f>
        <v/>
      </c>
      <c r="F642" s="352" t="str">
        <f t="shared" si="19"/>
        <v/>
      </c>
      <c r="G642" s="2" t="str">
        <f>IF(D642&lt;&gt;"",IF(VLOOKUP(VLOOKUP(E642,Beräkningshjälp!O$2:U$60,7,FALSE),Artuppgifter!$I$11:$P$22,8,FALSE)=TRUE,"Medelvikter!!","ALLA"),"")</f>
        <v/>
      </c>
      <c r="H642" s="2" t="str">
        <f>IF(D642&lt;&gt;"",VLOOKUP(ROW(H641),Beräkningshjälp!AC$2:AH$1082,COLUMN(Beräkningshjälp!AH$2)-COLUMN(Beräkningshjälp!AC$2)+1,FALSE),"")</f>
        <v/>
      </c>
      <c r="I642" s="116" t="str">
        <f>IF(D642&lt;&gt;"",VLOOKUP(ROW(E641),Beräkningshjälp!AC$2:AI$1082,COLUMN(Beräkningshjälp!AI$2)-COLUMN(Beräkningshjälp!AC$2)+1,FALSE),"")</f>
        <v/>
      </c>
    </row>
    <row r="643" spans="1:9" x14ac:dyDescent="0.25">
      <c r="A643" s="2" t="str">
        <f t="shared" ref="A643:A706" si="20">IF(D643&lt;&gt;"","LANGDVIKTER","")</f>
        <v/>
      </c>
      <c r="B643" s="136" t="str">
        <f>IF(D643&lt;&gt;"",'DATA TILL SLU'!$J$3,"")</f>
        <v/>
      </c>
      <c r="C643" s="146" t="str">
        <f>IF(D643&lt;&gt;"",'DATA TILL SLU'!$K$3,"")</f>
        <v/>
      </c>
      <c r="D643" s="2" t="str">
        <f>IF('DATA TILL SLU'!$D$7*1&lt;&gt;"",IF(COUNT(Beräkningshjälp!$AC$3:$AC$1082)&gt;=ROW(D642),'DATA TILL SLU'!$D$7*1,""),"")</f>
        <v/>
      </c>
      <c r="E643" s="136" t="str">
        <f>IF(D643&lt;&gt;"",VLOOKUP(ROW(E642),Beräkningshjälp!AC$2:AH$1082,COLUMN(Beräkningshjälp!AF$2)-COLUMN(Beräkningshjälp!AC$2)+1,FALSE),"")</f>
        <v/>
      </c>
      <c r="F643" s="352" t="str">
        <f t="shared" ref="F643:F706" si="21">IF(D643&lt;&gt;"","IND","")</f>
        <v/>
      </c>
      <c r="G643" s="2" t="str">
        <f>IF(D643&lt;&gt;"",IF(VLOOKUP(VLOOKUP(E643,Beräkningshjälp!O$2:U$60,7,FALSE),Artuppgifter!$I$11:$P$22,8,FALSE)=TRUE,"Medelvikter!!","ALLA"),"")</f>
        <v/>
      </c>
      <c r="H643" s="2" t="str">
        <f>IF(D643&lt;&gt;"",VLOOKUP(ROW(H642),Beräkningshjälp!AC$2:AH$1082,COLUMN(Beräkningshjälp!AH$2)-COLUMN(Beräkningshjälp!AC$2)+1,FALSE),"")</f>
        <v/>
      </c>
      <c r="I643" s="116" t="str">
        <f>IF(D643&lt;&gt;"",VLOOKUP(ROW(E642),Beräkningshjälp!AC$2:AI$1082,COLUMN(Beräkningshjälp!AI$2)-COLUMN(Beräkningshjälp!AC$2)+1,FALSE),"")</f>
        <v/>
      </c>
    </row>
    <row r="644" spans="1:9" x14ac:dyDescent="0.25">
      <c r="A644" s="2" t="str">
        <f t="shared" si="20"/>
        <v/>
      </c>
      <c r="B644" s="136" t="str">
        <f>IF(D644&lt;&gt;"",'DATA TILL SLU'!$J$3,"")</f>
        <v/>
      </c>
      <c r="C644" s="146" t="str">
        <f>IF(D644&lt;&gt;"",'DATA TILL SLU'!$K$3,"")</f>
        <v/>
      </c>
      <c r="D644" s="2" t="str">
        <f>IF('DATA TILL SLU'!$D$7*1&lt;&gt;"",IF(COUNT(Beräkningshjälp!$AC$3:$AC$1082)&gt;=ROW(D643),'DATA TILL SLU'!$D$7*1,""),"")</f>
        <v/>
      </c>
      <c r="E644" s="136" t="str">
        <f>IF(D644&lt;&gt;"",VLOOKUP(ROW(E643),Beräkningshjälp!AC$2:AH$1082,COLUMN(Beräkningshjälp!AF$2)-COLUMN(Beräkningshjälp!AC$2)+1,FALSE),"")</f>
        <v/>
      </c>
      <c r="F644" s="352" t="str">
        <f t="shared" si="21"/>
        <v/>
      </c>
      <c r="G644" s="2" t="str">
        <f>IF(D644&lt;&gt;"",IF(VLOOKUP(VLOOKUP(E644,Beräkningshjälp!O$2:U$60,7,FALSE),Artuppgifter!$I$11:$P$22,8,FALSE)=TRUE,"Medelvikter!!","ALLA"),"")</f>
        <v/>
      </c>
      <c r="H644" s="2" t="str">
        <f>IF(D644&lt;&gt;"",VLOOKUP(ROW(H643),Beräkningshjälp!AC$2:AH$1082,COLUMN(Beräkningshjälp!AH$2)-COLUMN(Beräkningshjälp!AC$2)+1,FALSE),"")</f>
        <v/>
      </c>
      <c r="I644" s="116" t="str">
        <f>IF(D644&lt;&gt;"",VLOOKUP(ROW(E643),Beräkningshjälp!AC$2:AI$1082,COLUMN(Beräkningshjälp!AI$2)-COLUMN(Beräkningshjälp!AC$2)+1,FALSE),"")</f>
        <v/>
      </c>
    </row>
    <row r="645" spans="1:9" x14ac:dyDescent="0.25">
      <c r="A645" s="2" t="str">
        <f t="shared" si="20"/>
        <v/>
      </c>
      <c r="B645" s="136" t="str">
        <f>IF(D645&lt;&gt;"",'DATA TILL SLU'!$J$3,"")</f>
        <v/>
      </c>
      <c r="C645" s="146" t="str">
        <f>IF(D645&lt;&gt;"",'DATA TILL SLU'!$K$3,"")</f>
        <v/>
      </c>
      <c r="D645" s="2" t="str">
        <f>IF('DATA TILL SLU'!$D$7*1&lt;&gt;"",IF(COUNT(Beräkningshjälp!$AC$3:$AC$1082)&gt;=ROW(D644),'DATA TILL SLU'!$D$7*1,""),"")</f>
        <v/>
      </c>
      <c r="E645" s="136" t="str">
        <f>IF(D645&lt;&gt;"",VLOOKUP(ROW(E644),Beräkningshjälp!AC$2:AH$1082,COLUMN(Beräkningshjälp!AF$2)-COLUMN(Beräkningshjälp!AC$2)+1,FALSE),"")</f>
        <v/>
      </c>
      <c r="F645" s="352" t="str">
        <f t="shared" si="21"/>
        <v/>
      </c>
      <c r="G645" s="2" t="str">
        <f>IF(D645&lt;&gt;"",IF(VLOOKUP(VLOOKUP(E645,Beräkningshjälp!O$2:U$60,7,FALSE),Artuppgifter!$I$11:$P$22,8,FALSE)=TRUE,"Medelvikter!!","ALLA"),"")</f>
        <v/>
      </c>
      <c r="H645" s="2" t="str">
        <f>IF(D645&lt;&gt;"",VLOOKUP(ROW(H644),Beräkningshjälp!AC$2:AH$1082,COLUMN(Beräkningshjälp!AH$2)-COLUMN(Beräkningshjälp!AC$2)+1,FALSE),"")</f>
        <v/>
      </c>
      <c r="I645" s="116" t="str">
        <f>IF(D645&lt;&gt;"",VLOOKUP(ROW(E644),Beräkningshjälp!AC$2:AI$1082,COLUMN(Beräkningshjälp!AI$2)-COLUMN(Beräkningshjälp!AC$2)+1,FALSE),"")</f>
        <v/>
      </c>
    </row>
    <row r="646" spans="1:9" x14ac:dyDescent="0.25">
      <c r="A646" s="2" t="str">
        <f t="shared" si="20"/>
        <v/>
      </c>
      <c r="B646" s="136" t="str">
        <f>IF(D646&lt;&gt;"",'DATA TILL SLU'!$J$3,"")</f>
        <v/>
      </c>
      <c r="C646" s="146" t="str">
        <f>IF(D646&lt;&gt;"",'DATA TILL SLU'!$K$3,"")</f>
        <v/>
      </c>
      <c r="D646" s="2" t="str">
        <f>IF('DATA TILL SLU'!$D$7*1&lt;&gt;"",IF(COUNT(Beräkningshjälp!$AC$3:$AC$1082)&gt;=ROW(D645),'DATA TILL SLU'!$D$7*1,""),"")</f>
        <v/>
      </c>
      <c r="E646" s="136" t="str">
        <f>IF(D646&lt;&gt;"",VLOOKUP(ROW(E645),Beräkningshjälp!AC$2:AH$1082,COLUMN(Beräkningshjälp!AF$2)-COLUMN(Beräkningshjälp!AC$2)+1,FALSE),"")</f>
        <v/>
      </c>
      <c r="F646" s="352" t="str">
        <f t="shared" si="21"/>
        <v/>
      </c>
      <c r="G646" s="2" t="str">
        <f>IF(D646&lt;&gt;"",IF(VLOOKUP(VLOOKUP(E646,Beräkningshjälp!O$2:U$60,7,FALSE),Artuppgifter!$I$11:$P$22,8,FALSE)=TRUE,"Medelvikter!!","ALLA"),"")</f>
        <v/>
      </c>
      <c r="H646" s="2" t="str">
        <f>IF(D646&lt;&gt;"",VLOOKUP(ROW(H645),Beräkningshjälp!AC$2:AH$1082,COLUMN(Beräkningshjälp!AH$2)-COLUMN(Beräkningshjälp!AC$2)+1,FALSE),"")</f>
        <v/>
      </c>
      <c r="I646" s="116" t="str">
        <f>IF(D646&lt;&gt;"",VLOOKUP(ROW(E645),Beräkningshjälp!AC$2:AI$1082,COLUMN(Beräkningshjälp!AI$2)-COLUMN(Beräkningshjälp!AC$2)+1,FALSE),"")</f>
        <v/>
      </c>
    </row>
    <row r="647" spans="1:9" x14ac:dyDescent="0.25">
      <c r="A647" s="2" t="str">
        <f t="shared" si="20"/>
        <v/>
      </c>
      <c r="B647" s="136" t="str">
        <f>IF(D647&lt;&gt;"",'DATA TILL SLU'!$J$3,"")</f>
        <v/>
      </c>
      <c r="C647" s="146" t="str">
        <f>IF(D647&lt;&gt;"",'DATA TILL SLU'!$K$3,"")</f>
        <v/>
      </c>
      <c r="D647" s="2" t="str">
        <f>IF('DATA TILL SLU'!$D$7*1&lt;&gt;"",IF(COUNT(Beräkningshjälp!$AC$3:$AC$1082)&gt;=ROW(D646),'DATA TILL SLU'!$D$7*1,""),"")</f>
        <v/>
      </c>
      <c r="E647" s="136" t="str">
        <f>IF(D647&lt;&gt;"",VLOOKUP(ROW(E646),Beräkningshjälp!AC$2:AH$1082,COLUMN(Beräkningshjälp!AF$2)-COLUMN(Beräkningshjälp!AC$2)+1,FALSE),"")</f>
        <v/>
      </c>
      <c r="F647" s="352" t="str">
        <f t="shared" si="21"/>
        <v/>
      </c>
      <c r="G647" s="2" t="str">
        <f>IF(D647&lt;&gt;"",IF(VLOOKUP(VLOOKUP(E647,Beräkningshjälp!O$2:U$60,7,FALSE),Artuppgifter!$I$11:$P$22,8,FALSE)=TRUE,"Medelvikter!!","ALLA"),"")</f>
        <v/>
      </c>
      <c r="H647" s="2" t="str">
        <f>IF(D647&lt;&gt;"",VLOOKUP(ROW(H646),Beräkningshjälp!AC$2:AH$1082,COLUMN(Beräkningshjälp!AH$2)-COLUMN(Beräkningshjälp!AC$2)+1,FALSE),"")</f>
        <v/>
      </c>
      <c r="I647" s="116" t="str">
        <f>IF(D647&lt;&gt;"",VLOOKUP(ROW(E646),Beräkningshjälp!AC$2:AI$1082,COLUMN(Beräkningshjälp!AI$2)-COLUMN(Beräkningshjälp!AC$2)+1,FALSE),"")</f>
        <v/>
      </c>
    </row>
    <row r="648" spans="1:9" x14ac:dyDescent="0.25">
      <c r="A648" s="2" t="str">
        <f t="shared" si="20"/>
        <v/>
      </c>
      <c r="B648" s="136" t="str">
        <f>IF(D648&lt;&gt;"",'DATA TILL SLU'!$J$3,"")</f>
        <v/>
      </c>
      <c r="C648" s="146" t="str">
        <f>IF(D648&lt;&gt;"",'DATA TILL SLU'!$K$3,"")</f>
        <v/>
      </c>
      <c r="D648" s="2" t="str">
        <f>IF('DATA TILL SLU'!$D$7*1&lt;&gt;"",IF(COUNT(Beräkningshjälp!$AC$3:$AC$1082)&gt;=ROW(D647),'DATA TILL SLU'!$D$7*1,""),"")</f>
        <v/>
      </c>
      <c r="E648" s="136" t="str">
        <f>IF(D648&lt;&gt;"",VLOOKUP(ROW(E647),Beräkningshjälp!AC$2:AH$1082,COLUMN(Beräkningshjälp!AF$2)-COLUMN(Beräkningshjälp!AC$2)+1,FALSE),"")</f>
        <v/>
      </c>
      <c r="F648" s="352" t="str">
        <f t="shared" si="21"/>
        <v/>
      </c>
      <c r="G648" s="2" t="str">
        <f>IF(D648&lt;&gt;"",IF(VLOOKUP(VLOOKUP(E648,Beräkningshjälp!O$2:U$60,7,FALSE),Artuppgifter!$I$11:$P$22,8,FALSE)=TRUE,"Medelvikter!!","ALLA"),"")</f>
        <v/>
      </c>
      <c r="H648" s="2" t="str">
        <f>IF(D648&lt;&gt;"",VLOOKUP(ROW(H647),Beräkningshjälp!AC$2:AH$1082,COLUMN(Beräkningshjälp!AH$2)-COLUMN(Beräkningshjälp!AC$2)+1,FALSE),"")</f>
        <v/>
      </c>
      <c r="I648" s="116" t="str">
        <f>IF(D648&lt;&gt;"",VLOOKUP(ROW(E647),Beräkningshjälp!AC$2:AI$1082,COLUMN(Beräkningshjälp!AI$2)-COLUMN(Beräkningshjälp!AC$2)+1,FALSE),"")</f>
        <v/>
      </c>
    </row>
    <row r="649" spans="1:9" x14ac:dyDescent="0.25">
      <c r="A649" s="2" t="str">
        <f t="shared" si="20"/>
        <v/>
      </c>
      <c r="B649" s="136" t="str">
        <f>IF(D649&lt;&gt;"",'DATA TILL SLU'!$J$3,"")</f>
        <v/>
      </c>
      <c r="C649" s="146" t="str">
        <f>IF(D649&lt;&gt;"",'DATA TILL SLU'!$K$3,"")</f>
        <v/>
      </c>
      <c r="D649" s="2" t="str">
        <f>IF('DATA TILL SLU'!$D$7*1&lt;&gt;"",IF(COUNT(Beräkningshjälp!$AC$3:$AC$1082)&gt;=ROW(D648),'DATA TILL SLU'!$D$7*1,""),"")</f>
        <v/>
      </c>
      <c r="E649" s="136" t="str">
        <f>IF(D649&lt;&gt;"",VLOOKUP(ROW(E648),Beräkningshjälp!AC$2:AH$1082,COLUMN(Beräkningshjälp!AF$2)-COLUMN(Beräkningshjälp!AC$2)+1,FALSE),"")</f>
        <v/>
      </c>
      <c r="F649" s="352" t="str">
        <f t="shared" si="21"/>
        <v/>
      </c>
      <c r="G649" s="2" t="str">
        <f>IF(D649&lt;&gt;"",IF(VLOOKUP(VLOOKUP(E649,Beräkningshjälp!O$2:U$60,7,FALSE),Artuppgifter!$I$11:$P$22,8,FALSE)=TRUE,"Medelvikter!!","ALLA"),"")</f>
        <v/>
      </c>
      <c r="H649" s="2" t="str">
        <f>IF(D649&lt;&gt;"",VLOOKUP(ROW(H648),Beräkningshjälp!AC$2:AH$1082,COLUMN(Beräkningshjälp!AH$2)-COLUMN(Beräkningshjälp!AC$2)+1,FALSE),"")</f>
        <v/>
      </c>
      <c r="I649" s="116" t="str">
        <f>IF(D649&lt;&gt;"",VLOOKUP(ROW(E648),Beräkningshjälp!AC$2:AI$1082,COLUMN(Beräkningshjälp!AI$2)-COLUMN(Beräkningshjälp!AC$2)+1,FALSE),"")</f>
        <v/>
      </c>
    </row>
    <row r="650" spans="1:9" x14ac:dyDescent="0.25">
      <c r="A650" s="2" t="str">
        <f t="shared" si="20"/>
        <v/>
      </c>
      <c r="B650" s="136" t="str">
        <f>IF(D650&lt;&gt;"",'DATA TILL SLU'!$J$3,"")</f>
        <v/>
      </c>
      <c r="C650" s="146" t="str">
        <f>IF(D650&lt;&gt;"",'DATA TILL SLU'!$K$3,"")</f>
        <v/>
      </c>
      <c r="D650" s="2" t="str">
        <f>IF('DATA TILL SLU'!$D$7*1&lt;&gt;"",IF(COUNT(Beräkningshjälp!$AC$3:$AC$1082)&gt;=ROW(D649),'DATA TILL SLU'!$D$7*1,""),"")</f>
        <v/>
      </c>
      <c r="E650" s="136" t="str">
        <f>IF(D650&lt;&gt;"",VLOOKUP(ROW(E649),Beräkningshjälp!AC$2:AH$1082,COLUMN(Beräkningshjälp!AF$2)-COLUMN(Beräkningshjälp!AC$2)+1,FALSE),"")</f>
        <v/>
      </c>
      <c r="F650" s="352" t="str">
        <f t="shared" si="21"/>
        <v/>
      </c>
      <c r="G650" s="2" t="str">
        <f>IF(D650&lt;&gt;"",IF(VLOOKUP(VLOOKUP(E650,Beräkningshjälp!O$2:U$60,7,FALSE),Artuppgifter!$I$11:$P$22,8,FALSE)=TRUE,"Medelvikter!!","ALLA"),"")</f>
        <v/>
      </c>
      <c r="H650" s="2" t="str">
        <f>IF(D650&lt;&gt;"",VLOOKUP(ROW(H649),Beräkningshjälp!AC$2:AH$1082,COLUMN(Beräkningshjälp!AH$2)-COLUMN(Beräkningshjälp!AC$2)+1,FALSE),"")</f>
        <v/>
      </c>
      <c r="I650" s="116" t="str">
        <f>IF(D650&lt;&gt;"",VLOOKUP(ROW(E649),Beräkningshjälp!AC$2:AI$1082,COLUMN(Beräkningshjälp!AI$2)-COLUMN(Beräkningshjälp!AC$2)+1,FALSE),"")</f>
        <v/>
      </c>
    </row>
    <row r="651" spans="1:9" x14ac:dyDescent="0.25">
      <c r="A651" s="2" t="str">
        <f t="shared" si="20"/>
        <v/>
      </c>
      <c r="B651" s="136" t="str">
        <f>IF(D651&lt;&gt;"",'DATA TILL SLU'!$J$3,"")</f>
        <v/>
      </c>
      <c r="C651" s="146" t="str">
        <f>IF(D651&lt;&gt;"",'DATA TILL SLU'!$K$3,"")</f>
        <v/>
      </c>
      <c r="D651" s="2" t="str">
        <f>IF('DATA TILL SLU'!$D$7*1&lt;&gt;"",IF(COUNT(Beräkningshjälp!$AC$3:$AC$1082)&gt;=ROW(D650),'DATA TILL SLU'!$D$7*1,""),"")</f>
        <v/>
      </c>
      <c r="E651" s="136" t="str">
        <f>IF(D651&lt;&gt;"",VLOOKUP(ROW(E650),Beräkningshjälp!AC$2:AH$1082,COLUMN(Beräkningshjälp!AF$2)-COLUMN(Beräkningshjälp!AC$2)+1,FALSE),"")</f>
        <v/>
      </c>
      <c r="F651" s="352" t="str">
        <f t="shared" si="21"/>
        <v/>
      </c>
      <c r="G651" s="2" t="str">
        <f>IF(D651&lt;&gt;"",IF(VLOOKUP(VLOOKUP(E651,Beräkningshjälp!O$2:U$60,7,FALSE),Artuppgifter!$I$11:$P$22,8,FALSE)=TRUE,"Medelvikter!!","ALLA"),"")</f>
        <v/>
      </c>
      <c r="H651" s="2" t="str">
        <f>IF(D651&lt;&gt;"",VLOOKUP(ROW(H650),Beräkningshjälp!AC$2:AH$1082,COLUMN(Beräkningshjälp!AH$2)-COLUMN(Beräkningshjälp!AC$2)+1,FALSE),"")</f>
        <v/>
      </c>
      <c r="I651" s="116" t="str">
        <f>IF(D651&lt;&gt;"",VLOOKUP(ROW(E650),Beräkningshjälp!AC$2:AI$1082,COLUMN(Beräkningshjälp!AI$2)-COLUMN(Beräkningshjälp!AC$2)+1,FALSE),"")</f>
        <v/>
      </c>
    </row>
    <row r="652" spans="1:9" x14ac:dyDescent="0.25">
      <c r="A652" s="2" t="str">
        <f t="shared" si="20"/>
        <v/>
      </c>
      <c r="B652" s="136" t="str">
        <f>IF(D652&lt;&gt;"",'DATA TILL SLU'!$J$3,"")</f>
        <v/>
      </c>
      <c r="C652" s="146" t="str">
        <f>IF(D652&lt;&gt;"",'DATA TILL SLU'!$K$3,"")</f>
        <v/>
      </c>
      <c r="D652" s="2" t="str">
        <f>IF('DATA TILL SLU'!$D$7*1&lt;&gt;"",IF(COUNT(Beräkningshjälp!$AC$3:$AC$1082)&gt;=ROW(D651),'DATA TILL SLU'!$D$7*1,""),"")</f>
        <v/>
      </c>
      <c r="E652" s="136" t="str">
        <f>IF(D652&lt;&gt;"",VLOOKUP(ROW(E651),Beräkningshjälp!AC$2:AH$1082,COLUMN(Beräkningshjälp!AF$2)-COLUMN(Beräkningshjälp!AC$2)+1,FALSE),"")</f>
        <v/>
      </c>
      <c r="F652" s="352" t="str">
        <f t="shared" si="21"/>
        <v/>
      </c>
      <c r="G652" s="2" t="str">
        <f>IF(D652&lt;&gt;"",IF(VLOOKUP(VLOOKUP(E652,Beräkningshjälp!O$2:U$60,7,FALSE),Artuppgifter!$I$11:$P$22,8,FALSE)=TRUE,"Medelvikter!!","ALLA"),"")</f>
        <v/>
      </c>
      <c r="H652" s="2" t="str">
        <f>IF(D652&lt;&gt;"",VLOOKUP(ROW(H651),Beräkningshjälp!AC$2:AH$1082,COLUMN(Beräkningshjälp!AH$2)-COLUMN(Beräkningshjälp!AC$2)+1,FALSE),"")</f>
        <v/>
      </c>
      <c r="I652" s="116" t="str">
        <f>IF(D652&lt;&gt;"",VLOOKUP(ROW(E651),Beräkningshjälp!AC$2:AI$1082,COLUMN(Beräkningshjälp!AI$2)-COLUMN(Beräkningshjälp!AC$2)+1,FALSE),"")</f>
        <v/>
      </c>
    </row>
    <row r="653" spans="1:9" x14ac:dyDescent="0.25">
      <c r="A653" s="2" t="str">
        <f t="shared" si="20"/>
        <v/>
      </c>
      <c r="B653" s="136" t="str">
        <f>IF(D653&lt;&gt;"",'DATA TILL SLU'!$J$3,"")</f>
        <v/>
      </c>
      <c r="C653" s="146" t="str">
        <f>IF(D653&lt;&gt;"",'DATA TILL SLU'!$K$3,"")</f>
        <v/>
      </c>
      <c r="D653" s="2" t="str">
        <f>IF('DATA TILL SLU'!$D$7*1&lt;&gt;"",IF(COUNT(Beräkningshjälp!$AC$3:$AC$1082)&gt;=ROW(D652),'DATA TILL SLU'!$D$7*1,""),"")</f>
        <v/>
      </c>
      <c r="E653" s="136" t="str">
        <f>IF(D653&lt;&gt;"",VLOOKUP(ROW(E652),Beräkningshjälp!AC$2:AH$1082,COLUMN(Beräkningshjälp!AF$2)-COLUMN(Beräkningshjälp!AC$2)+1,FALSE),"")</f>
        <v/>
      </c>
      <c r="F653" s="352" t="str">
        <f t="shared" si="21"/>
        <v/>
      </c>
      <c r="G653" s="2" t="str">
        <f>IF(D653&lt;&gt;"",IF(VLOOKUP(VLOOKUP(E653,Beräkningshjälp!O$2:U$60,7,FALSE),Artuppgifter!$I$11:$P$22,8,FALSE)=TRUE,"Medelvikter!!","ALLA"),"")</f>
        <v/>
      </c>
      <c r="H653" s="2" t="str">
        <f>IF(D653&lt;&gt;"",VLOOKUP(ROW(H652),Beräkningshjälp!AC$2:AH$1082,COLUMN(Beräkningshjälp!AH$2)-COLUMN(Beräkningshjälp!AC$2)+1,FALSE),"")</f>
        <v/>
      </c>
      <c r="I653" s="116" t="str">
        <f>IF(D653&lt;&gt;"",VLOOKUP(ROW(E652),Beräkningshjälp!AC$2:AI$1082,COLUMN(Beräkningshjälp!AI$2)-COLUMN(Beräkningshjälp!AC$2)+1,FALSE),"")</f>
        <v/>
      </c>
    </row>
    <row r="654" spans="1:9" x14ac:dyDescent="0.25">
      <c r="A654" s="2" t="str">
        <f t="shared" si="20"/>
        <v/>
      </c>
      <c r="B654" s="136" t="str">
        <f>IF(D654&lt;&gt;"",'DATA TILL SLU'!$J$3,"")</f>
        <v/>
      </c>
      <c r="C654" s="146" t="str">
        <f>IF(D654&lt;&gt;"",'DATA TILL SLU'!$K$3,"")</f>
        <v/>
      </c>
      <c r="D654" s="2" t="str">
        <f>IF('DATA TILL SLU'!$D$7*1&lt;&gt;"",IF(COUNT(Beräkningshjälp!$AC$3:$AC$1082)&gt;=ROW(D653),'DATA TILL SLU'!$D$7*1,""),"")</f>
        <v/>
      </c>
      <c r="E654" s="136" t="str">
        <f>IF(D654&lt;&gt;"",VLOOKUP(ROW(E653),Beräkningshjälp!AC$2:AH$1082,COLUMN(Beräkningshjälp!AF$2)-COLUMN(Beräkningshjälp!AC$2)+1,FALSE),"")</f>
        <v/>
      </c>
      <c r="F654" s="352" t="str">
        <f t="shared" si="21"/>
        <v/>
      </c>
      <c r="G654" s="2" t="str">
        <f>IF(D654&lt;&gt;"",IF(VLOOKUP(VLOOKUP(E654,Beräkningshjälp!O$2:U$60,7,FALSE),Artuppgifter!$I$11:$P$22,8,FALSE)=TRUE,"Medelvikter!!","ALLA"),"")</f>
        <v/>
      </c>
      <c r="H654" s="2" t="str">
        <f>IF(D654&lt;&gt;"",VLOOKUP(ROW(H653),Beräkningshjälp!AC$2:AH$1082,COLUMN(Beräkningshjälp!AH$2)-COLUMN(Beräkningshjälp!AC$2)+1,FALSE),"")</f>
        <v/>
      </c>
      <c r="I654" s="116" t="str">
        <f>IF(D654&lt;&gt;"",VLOOKUP(ROW(E653),Beräkningshjälp!AC$2:AI$1082,COLUMN(Beräkningshjälp!AI$2)-COLUMN(Beräkningshjälp!AC$2)+1,FALSE),"")</f>
        <v/>
      </c>
    </row>
    <row r="655" spans="1:9" x14ac:dyDescent="0.25">
      <c r="A655" s="2" t="str">
        <f t="shared" si="20"/>
        <v/>
      </c>
      <c r="B655" s="136" t="str">
        <f>IF(D655&lt;&gt;"",'DATA TILL SLU'!$J$3,"")</f>
        <v/>
      </c>
      <c r="C655" s="146" t="str">
        <f>IF(D655&lt;&gt;"",'DATA TILL SLU'!$K$3,"")</f>
        <v/>
      </c>
      <c r="D655" s="2" t="str">
        <f>IF('DATA TILL SLU'!$D$7*1&lt;&gt;"",IF(COUNT(Beräkningshjälp!$AC$3:$AC$1082)&gt;=ROW(D654),'DATA TILL SLU'!$D$7*1,""),"")</f>
        <v/>
      </c>
      <c r="E655" s="136" t="str">
        <f>IF(D655&lt;&gt;"",VLOOKUP(ROW(E654),Beräkningshjälp!AC$2:AH$1082,COLUMN(Beräkningshjälp!AF$2)-COLUMN(Beräkningshjälp!AC$2)+1,FALSE),"")</f>
        <v/>
      </c>
      <c r="F655" s="352" t="str">
        <f t="shared" si="21"/>
        <v/>
      </c>
      <c r="G655" s="2" t="str">
        <f>IF(D655&lt;&gt;"",IF(VLOOKUP(VLOOKUP(E655,Beräkningshjälp!O$2:U$60,7,FALSE),Artuppgifter!$I$11:$P$22,8,FALSE)=TRUE,"Medelvikter!!","ALLA"),"")</f>
        <v/>
      </c>
      <c r="H655" s="2" t="str">
        <f>IF(D655&lt;&gt;"",VLOOKUP(ROW(H654),Beräkningshjälp!AC$2:AH$1082,COLUMN(Beräkningshjälp!AH$2)-COLUMN(Beräkningshjälp!AC$2)+1,FALSE),"")</f>
        <v/>
      </c>
      <c r="I655" s="116" t="str">
        <f>IF(D655&lt;&gt;"",VLOOKUP(ROW(E654),Beräkningshjälp!AC$2:AI$1082,COLUMN(Beräkningshjälp!AI$2)-COLUMN(Beräkningshjälp!AC$2)+1,FALSE),"")</f>
        <v/>
      </c>
    </row>
    <row r="656" spans="1:9" x14ac:dyDescent="0.25">
      <c r="A656" s="2" t="str">
        <f t="shared" si="20"/>
        <v/>
      </c>
      <c r="B656" s="136" t="str">
        <f>IF(D656&lt;&gt;"",'DATA TILL SLU'!$J$3,"")</f>
        <v/>
      </c>
      <c r="C656" s="146" t="str">
        <f>IF(D656&lt;&gt;"",'DATA TILL SLU'!$K$3,"")</f>
        <v/>
      </c>
      <c r="D656" s="2" t="str">
        <f>IF('DATA TILL SLU'!$D$7*1&lt;&gt;"",IF(COUNT(Beräkningshjälp!$AC$3:$AC$1082)&gt;=ROW(D655),'DATA TILL SLU'!$D$7*1,""),"")</f>
        <v/>
      </c>
      <c r="E656" s="136" t="str">
        <f>IF(D656&lt;&gt;"",VLOOKUP(ROW(E655),Beräkningshjälp!AC$2:AH$1082,COLUMN(Beräkningshjälp!AF$2)-COLUMN(Beräkningshjälp!AC$2)+1,FALSE),"")</f>
        <v/>
      </c>
      <c r="F656" s="352" t="str">
        <f t="shared" si="21"/>
        <v/>
      </c>
      <c r="G656" s="2" t="str">
        <f>IF(D656&lt;&gt;"",IF(VLOOKUP(VLOOKUP(E656,Beräkningshjälp!O$2:U$60,7,FALSE),Artuppgifter!$I$11:$P$22,8,FALSE)=TRUE,"Medelvikter!!","ALLA"),"")</f>
        <v/>
      </c>
      <c r="H656" s="2" t="str">
        <f>IF(D656&lt;&gt;"",VLOOKUP(ROW(H655),Beräkningshjälp!AC$2:AH$1082,COLUMN(Beräkningshjälp!AH$2)-COLUMN(Beräkningshjälp!AC$2)+1,FALSE),"")</f>
        <v/>
      </c>
      <c r="I656" s="116" t="str">
        <f>IF(D656&lt;&gt;"",VLOOKUP(ROW(E655),Beräkningshjälp!AC$2:AI$1082,COLUMN(Beräkningshjälp!AI$2)-COLUMN(Beräkningshjälp!AC$2)+1,FALSE),"")</f>
        <v/>
      </c>
    </row>
    <row r="657" spans="1:9" x14ac:dyDescent="0.25">
      <c r="A657" s="2" t="str">
        <f t="shared" si="20"/>
        <v/>
      </c>
      <c r="B657" s="136" t="str">
        <f>IF(D657&lt;&gt;"",'DATA TILL SLU'!$J$3,"")</f>
        <v/>
      </c>
      <c r="C657" s="146" t="str">
        <f>IF(D657&lt;&gt;"",'DATA TILL SLU'!$K$3,"")</f>
        <v/>
      </c>
      <c r="D657" s="2" t="str">
        <f>IF('DATA TILL SLU'!$D$7*1&lt;&gt;"",IF(COUNT(Beräkningshjälp!$AC$3:$AC$1082)&gt;=ROW(D656),'DATA TILL SLU'!$D$7*1,""),"")</f>
        <v/>
      </c>
      <c r="E657" s="136" t="str">
        <f>IF(D657&lt;&gt;"",VLOOKUP(ROW(E656),Beräkningshjälp!AC$2:AH$1082,COLUMN(Beräkningshjälp!AF$2)-COLUMN(Beräkningshjälp!AC$2)+1,FALSE),"")</f>
        <v/>
      </c>
      <c r="F657" s="352" t="str">
        <f t="shared" si="21"/>
        <v/>
      </c>
      <c r="G657" s="2" t="str">
        <f>IF(D657&lt;&gt;"",IF(VLOOKUP(VLOOKUP(E657,Beräkningshjälp!O$2:U$60,7,FALSE),Artuppgifter!$I$11:$P$22,8,FALSE)=TRUE,"Medelvikter!!","ALLA"),"")</f>
        <v/>
      </c>
      <c r="H657" s="2" t="str">
        <f>IF(D657&lt;&gt;"",VLOOKUP(ROW(H656),Beräkningshjälp!AC$2:AH$1082,COLUMN(Beräkningshjälp!AH$2)-COLUMN(Beräkningshjälp!AC$2)+1,FALSE),"")</f>
        <v/>
      </c>
      <c r="I657" s="116" t="str">
        <f>IF(D657&lt;&gt;"",VLOOKUP(ROW(E656),Beräkningshjälp!AC$2:AI$1082,COLUMN(Beräkningshjälp!AI$2)-COLUMN(Beräkningshjälp!AC$2)+1,FALSE),"")</f>
        <v/>
      </c>
    </row>
    <row r="658" spans="1:9" x14ac:dyDescent="0.25">
      <c r="A658" s="2" t="str">
        <f t="shared" si="20"/>
        <v/>
      </c>
      <c r="B658" s="136" t="str">
        <f>IF(D658&lt;&gt;"",'DATA TILL SLU'!$J$3,"")</f>
        <v/>
      </c>
      <c r="C658" s="146" t="str">
        <f>IF(D658&lt;&gt;"",'DATA TILL SLU'!$K$3,"")</f>
        <v/>
      </c>
      <c r="D658" s="2" t="str">
        <f>IF('DATA TILL SLU'!$D$7*1&lt;&gt;"",IF(COUNT(Beräkningshjälp!$AC$3:$AC$1082)&gt;=ROW(D657),'DATA TILL SLU'!$D$7*1,""),"")</f>
        <v/>
      </c>
      <c r="E658" s="136" t="str">
        <f>IF(D658&lt;&gt;"",VLOOKUP(ROW(E657),Beräkningshjälp!AC$2:AH$1082,COLUMN(Beräkningshjälp!AF$2)-COLUMN(Beräkningshjälp!AC$2)+1,FALSE),"")</f>
        <v/>
      </c>
      <c r="F658" s="352" t="str">
        <f t="shared" si="21"/>
        <v/>
      </c>
      <c r="G658" s="2" t="str">
        <f>IF(D658&lt;&gt;"",IF(VLOOKUP(VLOOKUP(E658,Beräkningshjälp!O$2:U$60,7,FALSE),Artuppgifter!$I$11:$P$22,8,FALSE)=TRUE,"Medelvikter!!","ALLA"),"")</f>
        <v/>
      </c>
      <c r="H658" s="2" t="str">
        <f>IF(D658&lt;&gt;"",VLOOKUP(ROW(H657),Beräkningshjälp!AC$2:AH$1082,COLUMN(Beräkningshjälp!AH$2)-COLUMN(Beräkningshjälp!AC$2)+1,FALSE),"")</f>
        <v/>
      </c>
      <c r="I658" s="116" t="str">
        <f>IF(D658&lt;&gt;"",VLOOKUP(ROW(E657),Beräkningshjälp!AC$2:AI$1082,COLUMN(Beräkningshjälp!AI$2)-COLUMN(Beräkningshjälp!AC$2)+1,FALSE),"")</f>
        <v/>
      </c>
    </row>
    <row r="659" spans="1:9" x14ac:dyDescent="0.25">
      <c r="A659" s="2" t="str">
        <f t="shared" si="20"/>
        <v/>
      </c>
      <c r="B659" s="136" t="str">
        <f>IF(D659&lt;&gt;"",'DATA TILL SLU'!$J$3,"")</f>
        <v/>
      </c>
      <c r="C659" s="146" t="str">
        <f>IF(D659&lt;&gt;"",'DATA TILL SLU'!$K$3,"")</f>
        <v/>
      </c>
      <c r="D659" s="2" t="str">
        <f>IF('DATA TILL SLU'!$D$7*1&lt;&gt;"",IF(COUNT(Beräkningshjälp!$AC$3:$AC$1082)&gt;=ROW(D658),'DATA TILL SLU'!$D$7*1,""),"")</f>
        <v/>
      </c>
      <c r="E659" s="136" t="str">
        <f>IF(D659&lt;&gt;"",VLOOKUP(ROW(E658),Beräkningshjälp!AC$2:AH$1082,COLUMN(Beräkningshjälp!AF$2)-COLUMN(Beräkningshjälp!AC$2)+1,FALSE),"")</f>
        <v/>
      </c>
      <c r="F659" s="352" t="str">
        <f t="shared" si="21"/>
        <v/>
      </c>
      <c r="G659" s="2" t="str">
        <f>IF(D659&lt;&gt;"",IF(VLOOKUP(VLOOKUP(E659,Beräkningshjälp!O$2:U$60,7,FALSE),Artuppgifter!$I$11:$P$22,8,FALSE)=TRUE,"Medelvikter!!","ALLA"),"")</f>
        <v/>
      </c>
      <c r="H659" s="2" t="str">
        <f>IF(D659&lt;&gt;"",VLOOKUP(ROW(H658),Beräkningshjälp!AC$2:AH$1082,COLUMN(Beräkningshjälp!AH$2)-COLUMN(Beräkningshjälp!AC$2)+1,FALSE),"")</f>
        <v/>
      </c>
      <c r="I659" s="116" t="str">
        <f>IF(D659&lt;&gt;"",VLOOKUP(ROW(E658),Beräkningshjälp!AC$2:AI$1082,COLUMN(Beräkningshjälp!AI$2)-COLUMN(Beräkningshjälp!AC$2)+1,FALSE),"")</f>
        <v/>
      </c>
    </row>
    <row r="660" spans="1:9" x14ac:dyDescent="0.25">
      <c r="A660" s="2" t="str">
        <f t="shared" si="20"/>
        <v/>
      </c>
      <c r="B660" s="136" t="str">
        <f>IF(D660&lt;&gt;"",'DATA TILL SLU'!$J$3,"")</f>
        <v/>
      </c>
      <c r="C660" s="146" t="str">
        <f>IF(D660&lt;&gt;"",'DATA TILL SLU'!$K$3,"")</f>
        <v/>
      </c>
      <c r="D660" s="2" t="str">
        <f>IF('DATA TILL SLU'!$D$7*1&lt;&gt;"",IF(COUNT(Beräkningshjälp!$AC$3:$AC$1082)&gt;=ROW(D659),'DATA TILL SLU'!$D$7*1,""),"")</f>
        <v/>
      </c>
      <c r="E660" s="136" t="str">
        <f>IF(D660&lt;&gt;"",VLOOKUP(ROW(E659),Beräkningshjälp!AC$2:AH$1082,COLUMN(Beräkningshjälp!AF$2)-COLUMN(Beräkningshjälp!AC$2)+1,FALSE),"")</f>
        <v/>
      </c>
      <c r="F660" s="352" t="str">
        <f t="shared" si="21"/>
        <v/>
      </c>
      <c r="G660" s="2" t="str">
        <f>IF(D660&lt;&gt;"",IF(VLOOKUP(VLOOKUP(E660,Beräkningshjälp!O$2:U$60,7,FALSE),Artuppgifter!$I$11:$P$22,8,FALSE)=TRUE,"Medelvikter!!","ALLA"),"")</f>
        <v/>
      </c>
      <c r="H660" s="2" t="str">
        <f>IF(D660&lt;&gt;"",VLOOKUP(ROW(H659),Beräkningshjälp!AC$2:AH$1082,COLUMN(Beräkningshjälp!AH$2)-COLUMN(Beräkningshjälp!AC$2)+1,FALSE),"")</f>
        <v/>
      </c>
      <c r="I660" s="116" t="str">
        <f>IF(D660&lt;&gt;"",VLOOKUP(ROW(E659),Beräkningshjälp!AC$2:AI$1082,COLUMN(Beräkningshjälp!AI$2)-COLUMN(Beräkningshjälp!AC$2)+1,FALSE),"")</f>
        <v/>
      </c>
    </row>
    <row r="661" spans="1:9" x14ac:dyDescent="0.25">
      <c r="A661" s="2" t="str">
        <f t="shared" si="20"/>
        <v/>
      </c>
      <c r="B661" s="136" t="str">
        <f>IF(D661&lt;&gt;"",'DATA TILL SLU'!$J$3,"")</f>
        <v/>
      </c>
      <c r="C661" s="146" t="str">
        <f>IF(D661&lt;&gt;"",'DATA TILL SLU'!$K$3,"")</f>
        <v/>
      </c>
      <c r="D661" s="2" t="str">
        <f>IF('DATA TILL SLU'!$D$7*1&lt;&gt;"",IF(COUNT(Beräkningshjälp!$AC$3:$AC$1082)&gt;=ROW(D660),'DATA TILL SLU'!$D$7*1,""),"")</f>
        <v/>
      </c>
      <c r="E661" s="136" t="str">
        <f>IF(D661&lt;&gt;"",VLOOKUP(ROW(E660),Beräkningshjälp!AC$2:AH$1082,COLUMN(Beräkningshjälp!AF$2)-COLUMN(Beräkningshjälp!AC$2)+1,FALSE),"")</f>
        <v/>
      </c>
      <c r="F661" s="352" t="str">
        <f t="shared" si="21"/>
        <v/>
      </c>
      <c r="G661" s="2" t="str">
        <f>IF(D661&lt;&gt;"",IF(VLOOKUP(VLOOKUP(E661,Beräkningshjälp!O$2:U$60,7,FALSE),Artuppgifter!$I$11:$P$22,8,FALSE)=TRUE,"Medelvikter!!","ALLA"),"")</f>
        <v/>
      </c>
      <c r="H661" s="2" t="str">
        <f>IF(D661&lt;&gt;"",VLOOKUP(ROW(H660),Beräkningshjälp!AC$2:AH$1082,COLUMN(Beräkningshjälp!AH$2)-COLUMN(Beräkningshjälp!AC$2)+1,FALSE),"")</f>
        <v/>
      </c>
      <c r="I661" s="116" t="str">
        <f>IF(D661&lt;&gt;"",VLOOKUP(ROW(E660),Beräkningshjälp!AC$2:AI$1082,COLUMN(Beräkningshjälp!AI$2)-COLUMN(Beräkningshjälp!AC$2)+1,FALSE),"")</f>
        <v/>
      </c>
    </row>
    <row r="662" spans="1:9" x14ac:dyDescent="0.25">
      <c r="A662" s="2" t="str">
        <f t="shared" si="20"/>
        <v/>
      </c>
      <c r="B662" s="136" t="str">
        <f>IF(D662&lt;&gt;"",'DATA TILL SLU'!$J$3,"")</f>
        <v/>
      </c>
      <c r="C662" s="146" t="str">
        <f>IF(D662&lt;&gt;"",'DATA TILL SLU'!$K$3,"")</f>
        <v/>
      </c>
      <c r="D662" s="2" t="str">
        <f>IF('DATA TILL SLU'!$D$7*1&lt;&gt;"",IF(COUNT(Beräkningshjälp!$AC$3:$AC$1082)&gt;=ROW(D661),'DATA TILL SLU'!$D$7*1,""),"")</f>
        <v/>
      </c>
      <c r="E662" s="136" t="str">
        <f>IF(D662&lt;&gt;"",VLOOKUP(ROW(E661),Beräkningshjälp!AC$2:AH$1082,COLUMN(Beräkningshjälp!AF$2)-COLUMN(Beräkningshjälp!AC$2)+1,FALSE),"")</f>
        <v/>
      </c>
      <c r="F662" s="352" t="str">
        <f t="shared" si="21"/>
        <v/>
      </c>
      <c r="G662" s="2" t="str">
        <f>IF(D662&lt;&gt;"",IF(VLOOKUP(VLOOKUP(E662,Beräkningshjälp!O$2:U$60,7,FALSE),Artuppgifter!$I$11:$P$22,8,FALSE)=TRUE,"Medelvikter!!","ALLA"),"")</f>
        <v/>
      </c>
      <c r="H662" s="2" t="str">
        <f>IF(D662&lt;&gt;"",VLOOKUP(ROW(H661),Beräkningshjälp!AC$2:AH$1082,COLUMN(Beräkningshjälp!AH$2)-COLUMN(Beräkningshjälp!AC$2)+1,FALSE),"")</f>
        <v/>
      </c>
      <c r="I662" s="116" t="str">
        <f>IF(D662&lt;&gt;"",VLOOKUP(ROW(E661),Beräkningshjälp!AC$2:AI$1082,COLUMN(Beräkningshjälp!AI$2)-COLUMN(Beräkningshjälp!AC$2)+1,FALSE),"")</f>
        <v/>
      </c>
    </row>
    <row r="663" spans="1:9" x14ac:dyDescent="0.25">
      <c r="A663" s="2" t="str">
        <f t="shared" si="20"/>
        <v/>
      </c>
      <c r="B663" s="136" t="str">
        <f>IF(D663&lt;&gt;"",'DATA TILL SLU'!$J$3,"")</f>
        <v/>
      </c>
      <c r="C663" s="146" t="str">
        <f>IF(D663&lt;&gt;"",'DATA TILL SLU'!$K$3,"")</f>
        <v/>
      </c>
      <c r="D663" s="2" t="str">
        <f>IF('DATA TILL SLU'!$D$7*1&lt;&gt;"",IF(COUNT(Beräkningshjälp!$AC$3:$AC$1082)&gt;=ROW(D662),'DATA TILL SLU'!$D$7*1,""),"")</f>
        <v/>
      </c>
      <c r="E663" s="136" t="str">
        <f>IF(D663&lt;&gt;"",VLOOKUP(ROW(E662),Beräkningshjälp!AC$2:AH$1082,COLUMN(Beräkningshjälp!AF$2)-COLUMN(Beräkningshjälp!AC$2)+1,FALSE),"")</f>
        <v/>
      </c>
      <c r="F663" s="352" t="str">
        <f t="shared" si="21"/>
        <v/>
      </c>
      <c r="G663" s="2" t="str">
        <f>IF(D663&lt;&gt;"",IF(VLOOKUP(VLOOKUP(E663,Beräkningshjälp!O$2:U$60,7,FALSE),Artuppgifter!$I$11:$P$22,8,FALSE)=TRUE,"Medelvikter!!","ALLA"),"")</f>
        <v/>
      </c>
      <c r="H663" s="2" t="str">
        <f>IF(D663&lt;&gt;"",VLOOKUP(ROW(H662),Beräkningshjälp!AC$2:AH$1082,COLUMN(Beräkningshjälp!AH$2)-COLUMN(Beräkningshjälp!AC$2)+1,FALSE),"")</f>
        <v/>
      </c>
      <c r="I663" s="116" t="str">
        <f>IF(D663&lt;&gt;"",VLOOKUP(ROW(E662),Beräkningshjälp!AC$2:AI$1082,COLUMN(Beräkningshjälp!AI$2)-COLUMN(Beräkningshjälp!AC$2)+1,FALSE),"")</f>
        <v/>
      </c>
    </row>
    <row r="664" spans="1:9" x14ac:dyDescent="0.25">
      <c r="A664" s="2" t="str">
        <f t="shared" si="20"/>
        <v/>
      </c>
      <c r="B664" s="136" t="str">
        <f>IF(D664&lt;&gt;"",'DATA TILL SLU'!$J$3,"")</f>
        <v/>
      </c>
      <c r="C664" s="146" t="str">
        <f>IF(D664&lt;&gt;"",'DATA TILL SLU'!$K$3,"")</f>
        <v/>
      </c>
      <c r="D664" s="2" t="str">
        <f>IF('DATA TILL SLU'!$D$7*1&lt;&gt;"",IF(COUNT(Beräkningshjälp!$AC$3:$AC$1082)&gt;=ROW(D663),'DATA TILL SLU'!$D$7*1,""),"")</f>
        <v/>
      </c>
      <c r="E664" s="136" t="str">
        <f>IF(D664&lt;&gt;"",VLOOKUP(ROW(E663),Beräkningshjälp!AC$2:AH$1082,COLUMN(Beräkningshjälp!AF$2)-COLUMN(Beräkningshjälp!AC$2)+1,FALSE),"")</f>
        <v/>
      </c>
      <c r="F664" s="352" t="str">
        <f t="shared" si="21"/>
        <v/>
      </c>
      <c r="G664" s="2" t="str">
        <f>IF(D664&lt;&gt;"",IF(VLOOKUP(VLOOKUP(E664,Beräkningshjälp!O$2:U$60,7,FALSE),Artuppgifter!$I$11:$P$22,8,FALSE)=TRUE,"Medelvikter!!","ALLA"),"")</f>
        <v/>
      </c>
      <c r="H664" s="2" t="str">
        <f>IF(D664&lt;&gt;"",VLOOKUP(ROW(H663),Beräkningshjälp!AC$2:AH$1082,COLUMN(Beräkningshjälp!AH$2)-COLUMN(Beräkningshjälp!AC$2)+1,FALSE),"")</f>
        <v/>
      </c>
      <c r="I664" s="116" t="str">
        <f>IF(D664&lt;&gt;"",VLOOKUP(ROW(E663),Beräkningshjälp!AC$2:AI$1082,COLUMN(Beräkningshjälp!AI$2)-COLUMN(Beräkningshjälp!AC$2)+1,FALSE),"")</f>
        <v/>
      </c>
    </row>
    <row r="665" spans="1:9" x14ac:dyDescent="0.25">
      <c r="A665" s="2" t="str">
        <f t="shared" si="20"/>
        <v/>
      </c>
      <c r="B665" s="136" t="str">
        <f>IF(D665&lt;&gt;"",'DATA TILL SLU'!$J$3,"")</f>
        <v/>
      </c>
      <c r="C665" s="146" t="str">
        <f>IF(D665&lt;&gt;"",'DATA TILL SLU'!$K$3,"")</f>
        <v/>
      </c>
      <c r="D665" s="2" t="str">
        <f>IF('DATA TILL SLU'!$D$7*1&lt;&gt;"",IF(COUNT(Beräkningshjälp!$AC$3:$AC$1082)&gt;=ROW(D664),'DATA TILL SLU'!$D$7*1,""),"")</f>
        <v/>
      </c>
      <c r="E665" s="136" t="str">
        <f>IF(D665&lt;&gt;"",VLOOKUP(ROW(E664),Beräkningshjälp!AC$2:AH$1082,COLUMN(Beräkningshjälp!AF$2)-COLUMN(Beräkningshjälp!AC$2)+1,FALSE),"")</f>
        <v/>
      </c>
      <c r="F665" s="352" t="str">
        <f t="shared" si="21"/>
        <v/>
      </c>
      <c r="G665" s="2" t="str">
        <f>IF(D665&lt;&gt;"",IF(VLOOKUP(VLOOKUP(E665,Beräkningshjälp!O$2:U$60,7,FALSE),Artuppgifter!$I$11:$P$22,8,FALSE)=TRUE,"Medelvikter!!","ALLA"),"")</f>
        <v/>
      </c>
      <c r="H665" s="2" t="str">
        <f>IF(D665&lt;&gt;"",VLOOKUP(ROW(H664),Beräkningshjälp!AC$2:AH$1082,COLUMN(Beräkningshjälp!AH$2)-COLUMN(Beräkningshjälp!AC$2)+1,FALSE),"")</f>
        <v/>
      </c>
      <c r="I665" s="116" t="str">
        <f>IF(D665&lt;&gt;"",VLOOKUP(ROW(E664),Beräkningshjälp!AC$2:AI$1082,COLUMN(Beräkningshjälp!AI$2)-COLUMN(Beräkningshjälp!AC$2)+1,FALSE),"")</f>
        <v/>
      </c>
    </row>
    <row r="666" spans="1:9" x14ac:dyDescent="0.25">
      <c r="A666" s="2" t="str">
        <f t="shared" si="20"/>
        <v/>
      </c>
      <c r="B666" s="136" t="str">
        <f>IF(D666&lt;&gt;"",'DATA TILL SLU'!$J$3,"")</f>
        <v/>
      </c>
      <c r="C666" s="146" t="str">
        <f>IF(D666&lt;&gt;"",'DATA TILL SLU'!$K$3,"")</f>
        <v/>
      </c>
      <c r="D666" s="2" t="str">
        <f>IF('DATA TILL SLU'!$D$7*1&lt;&gt;"",IF(COUNT(Beräkningshjälp!$AC$3:$AC$1082)&gt;=ROW(D665),'DATA TILL SLU'!$D$7*1,""),"")</f>
        <v/>
      </c>
      <c r="E666" s="136" t="str">
        <f>IF(D666&lt;&gt;"",VLOOKUP(ROW(E665),Beräkningshjälp!AC$2:AH$1082,COLUMN(Beräkningshjälp!AF$2)-COLUMN(Beräkningshjälp!AC$2)+1,FALSE),"")</f>
        <v/>
      </c>
      <c r="F666" s="352" t="str">
        <f t="shared" si="21"/>
        <v/>
      </c>
      <c r="G666" s="2" t="str">
        <f>IF(D666&lt;&gt;"",IF(VLOOKUP(VLOOKUP(E666,Beräkningshjälp!O$2:U$60,7,FALSE),Artuppgifter!$I$11:$P$22,8,FALSE)=TRUE,"Medelvikter!!","ALLA"),"")</f>
        <v/>
      </c>
      <c r="H666" s="2" t="str">
        <f>IF(D666&lt;&gt;"",VLOOKUP(ROW(H665),Beräkningshjälp!AC$2:AH$1082,COLUMN(Beräkningshjälp!AH$2)-COLUMN(Beräkningshjälp!AC$2)+1,FALSE),"")</f>
        <v/>
      </c>
      <c r="I666" s="116" t="str">
        <f>IF(D666&lt;&gt;"",VLOOKUP(ROW(E665),Beräkningshjälp!AC$2:AI$1082,COLUMN(Beräkningshjälp!AI$2)-COLUMN(Beräkningshjälp!AC$2)+1,FALSE),"")</f>
        <v/>
      </c>
    </row>
    <row r="667" spans="1:9" x14ac:dyDescent="0.25">
      <c r="A667" s="2" t="str">
        <f t="shared" si="20"/>
        <v/>
      </c>
      <c r="B667" s="136" t="str">
        <f>IF(D667&lt;&gt;"",'DATA TILL SLU'!$J$3,"")</f>
        <v/>
      </c>
      <c r="C667" s="146" t="str">
        <f>IF(D667&lt;&gt;"",'DATA TILL SLU'!$K$3,"")</f>
        <v/>
      </c>
      <c r="D667" s="2" t="str">
        <f>IF('DATA TILL SLU'!$D$7*1&lt;&gt;"",IF(COUNT(Beräkningshjälp!$AC$3:$AC$1082)&gt;=ROW(D666),'DATA TILL SLU'!$D$7*1,""),"")</f>
        <v/>
      </c>
      <c r="E667" s="136" t="str">
        <f>IF(D667&lt;&gt;"",VLOOKUP(ROW(E666),Beräkningshjälp!AC$2:AH$1082,COLUMN(Beräkningshjälp!AF$2)-COLUMN(Beräkningshjälp!AC$2)+1,FALSE),"")</f>
        <v/>
      </c>
      <c r="F667" s="352" t="str">
        <f t="shared" si="21"/>
        <v/>
      </c>
      <c r="G667" s="2" t="str">
        <f>IF(D667&lt;&gt;"",IF(VLOOKUP(VLOOKUP(E667,Beräkningshjälp!O$2:U$60,7,FALSE),Artuppgifter!$I$11:$P$22,8,FALSE)=TRUE,"Medelvikter!!","ALLA"),"")</f>
        <v/>
      </c>
      <c r="H667" s="2" t="str">
        <f>IF(D667&lt;&gt;"",VLOOKUP(ROW(H666),Beräkningshjälp!AC$2:AH$1082,COLUMN(Beräkningshjälp!AH$2)-COLUMN(Beräkningshjälp!AC$2)+1,FALSE),"")</f>
        <v/>
      </c>
      <c r="I667" s="116" t="str">
        <f>IF(D667&lt;&gt;"",VLOOKUP(ROW(E666),Beräkningshjälp!AC$2:AI$1082,COLUMN(Beräkningshjälp!AI$2)-COLUMN(Beräkningshjälp!AC$2)+1,FALSE),"")</f>
        <v/>
      </c>
    </row>
    <row r="668" spans="1:9" x14ac:dyDescent="0.25">
      <c r="A668" s="2" t="str">
        <f t="shared" si="20"/>
        <v/>
      </c>
      <c r="B668" s="136" t="str">
        <f>IF(D668&lt;&gt;"",'DATA TILL SLU'!$J$3,"")</f>
        <v/>
      </c>
      <c r="C668" s="146" t="str">
        <f>IF(D668&lt;&gt;"",'DATA TILL SLU'!$K$3,"")</f>
        <v/>
      </c>
      <c r="D668" s="2" t="str">
        <f>IF('DATA TILL SLU'!$D$7*1&lt;&gt;"",IF(COUNT(Beräkningshjälp!$AC$3:$AC$1082)&gt;=ROW(D667),'DATA TILL SLU'!$D$7*1,""),"")</f>
        <v/>
      </c>
      <c r="E668" s="136" t="str">
        <f>IF(D668&lt;&gt;"",VLOOKUP(ROW(E667),Beräkningshjälp!AC$2:AH$1082,COLUMN(Beräkningshjälp!AF$2)-COLUMN(Beräkningshjälp!AC$2)+1,FALSE),"")</f>
        <v/>
      </c>
      <c r="F668" s="352" t="str">
        <f t="shared" si="21"/>
        <v/>
      </c>
      <c r="G668" s="2" t="str">
        <f>IF(D668&lt;&gt;"",IF(VLOOKUP(VLOOKUP(E668,Beräkningshjälp!O$2:U$60,7,FALSE),Artuppgifter!$I$11:$P$22,8,FALSE)=TRUE,"Medelvikter!!","ALLA"),"")</f>
        <v/>
      </c>
      <c r="H668" s="2" t="str">
        <f>IF(D668&lt;&gt;"",VLOOKUP(ROW(H667),Beräkningshjälp!AC$2:AH$1082,COLUMN(Beräkningshjälp!AH$2)-COLUMN(Beräkningshjälp!AC$2)+1,FALSE),"")</f>
        <v/>
      </c>
      <c r="I668" s="116" t="str">
        <f>IF(D668&lt;&gt;"",VLOOKUP(ROW(E667),Beräkningshjälp!AC$2:AI$1082,COLUMN(Beräkningshjälp!AI$2)-COLUMN(Beräkningshjälp!AC$2)+1,FALSE),"")</f>
        <v/>
      </c>
    </row>
    <row r="669" spans="1:9" x14ac:dyDescent="0.25">
      <c r="A669" s="2" t="str">
        <f t="shared" si="20"/>
        <v/>
      </c>
      <c r="B669" s="136" t="str">
        <f>IF(D669&lt;&gt;"",'DATA TILL SLU'!$J$3,"")</f>
        <v/>
      </c>
      <c r="C669" s="146" t="str">
        <f>IF(D669&lt;&gt;"",'DATA TILL SLU'!$K$3,"")</f>
        <v/>
      </c>
      <c r="D669" s="2" t="str">
        <f>IF('DATA TILL SLU'!$D$7*1&lt;&gt;"",IF(COUNT(Beräkningshjälp!$AC$3:$AC$1082)&gt;=ROW(D668),'DATA TILL SLU'!$D$7*1,""),"")</f>
        <v/>
      </c>
      <c r="E669" s="136" t="str">
        <f>IF(D669&lt;&gt;"",VLOOKUP(ROW(E668),Beräkningshjälp!AC$2:AH$1082,COLUMN(Beräkningshjälp!AF$2)-COLUMN(Beräkningshjälp!AC$2)+1,FALSE),"")</f>
        <v/>
      </c>
      <c r="F669" s="352" t="str">
        <f t="shared" si="21"/>
        <v/>
      </c>
      <c r="G669" s="2" t="str">
        <f>IF(D669&lt;&gt;"",IF(VLOOKUP(VLOOKUP(E669,Beräkningshjälp!O$2:U$60,7,FALSE),Artuppgifter!$I$11:$P$22,8,FALSE)=TRUE,"Medelvikter!!","ALLA"),"")</f>
        <v/>
      </c>
      <c r="H669" s="2" t="str">
        <f>IF(D669&lt;&gt;"",VLOOKUP(ROW(H668),Beräkningshjälp!AC$2:AH$1082,COLUMN(Beräkningshjälp!AH$2)-COLUMN(Beräkningshjälp!AC$2)+1,FALSE),"")</f>
        <v/>
      </c>
      <c r="I669" s="116" t="str">
        <f>IF(D669&lt;&gt;"",VLOOKUP(ROW(E668),Beräkningshjälp!AC$2:AI$1082,COLUMN(Beräkningshjälp!AI$2)-COLUMN(Beräkningshjälp!AC$2)+1,FALSE),"")</f>
        <v/>
      </c>
    </row>
    <row r="670" spans="1:9" x14ac:dyDescent="0.25">
      <c r="A670" s="2" t="str">
        <f t="shared" si="20"/>
        <v/>
      </c>
      <c r="B670" s="136" t="str">
        <f>IF(D670&lt;&gt;"",'DATA TILL SLU'!$J$3,"")</f>
        <v/>
      </c>
      <c r="C670" s="146" t="str">
        <f>IF(D670&lt;&gt;"",'DATA TILL SLU'!$K$3,"")</f>
        <v/>
      </c>
      <c r="D670" s="2" t="str">
        <f>IF('DATA TILL SLU'!$D$7*1&lt;&gt;"",IF(COUNT(Beräkningshjälp!$AC$3:$AC$1082)&gt;=ROW(D669),'DATA TILL SLU'!$D$7*1,""),"")</f>
        <v/>
      </c>
      <c r="E670" s="136" t="str">
        <f>IF(D670&lt;&gt;"",VLOOKUP(ROW(E669),Beräkningshjälp!AC$2:AH$1082,COLUMN(Beräkningshjälp!AF$2)-COLUMN(Beräkningshjälp!AC$2)+1,FALSE),"")</f>
        <v/>
      </c>
      <c r="F670" s="352" t="str">
        <f t="shared" si="21"/>
        <v/>
      </c>
      <c r="G670" s="2" t="str">
        <f>IF(D670&lt;&gt;"",IF(VLOOKUP(VLOOKUP(E670,Beräkningshjälp!O$2:U$60,7,FALSE),Artuppgifter!$I$11:$P$22,8,FALSE)=TRUE,"Medelvikter!!","ALLA"),"")</f>
        <v/>
      </c>
      <c r="H670" s="2" t="str">
        <f>IF(D670&lt;&gt;"",VLOOKUP(ROW(H669),Beräkningshjälp!AC$2:AH$1082,COLUMN(Beräkningshjälp!AH$2)-COLUMN(Beräkningshjälp!AC$2)+1,FALSE),"")</f>
        <v/>
      </c>
      <c r="I670" s="116" t="str">
        <f>IF(D670&lt;&gt;"",VLOOKUP(ROW(E669),Beräkningshjälp!AC$2:AI$1082,COLUMN(Beräkningshjälp!AI$2)-COLUMN(Beräkningshjälp!AC$2)+1,FALSE),"")</f>
        <v/>
      </c>
    </row>
    <row r="671" spans="1:9" x14ac:dyDescent="0.25">
      <c r="A671" s="2" t="str">
        <f t="shared" si="20"/>
        <v/>
      </c>
      <c r="B671" s="136" t="str">
        <f>IF(D671&lt;&gt;"",'DATA TILL SLU'!$J$3,"")</f>
        <v/>
      </c>
      <c r="C671" s="146" t="str">
        <f>IF(D671&lt;&gt;"",'DATA TILL SLU'!$K$3,"")</f>
        <v/>
      </c>
      <c r="D671" s="2" t="str">
        <f>IF('DATA TILL SLU'!$D$7*1&lt;&gt;"",IF(COUNT(Beräkningshjälp!$AC$3:$AC$1082)&gt;=ROW(D670),'DATA TILL SLU'!$D$7*1,""),"")</f>
        <v/>
      </c>
      <c r="E671" s="136" t="str">
        <f>IF(D671&lt;&gt;"",VLOOKUP(ROW(E670),Beräkningshjälp!AC$2:AH$1082,COLUMN(Beräkningshjälp!AF$2)-COLUMN(Beräkningshjälp!AC$2)+1,FALSE),"")</f>
        <v/>
      </c>
      <c r="F671" s="352" t="str">
        <f t="shared" si="21"/>
        <v/>
      </c>
      <c r="G671" s="2" t="str">
        <f>IF(D671&lt;&gt;"",IF(VLOOKUP(VLOOKUP(E671,Beräkningshjälp!O$2:U$60,7,FALSE),Artuppgifter!$I$11:$P$22,8,FALSE)=TRUE,"Medelvikter!!","ALLA"),"")</f>
        <v/>
      </c>
      <c r="H671" s="2" t="str">
        <f>IF(D671&lt;&gt;"",VLOOKUP(ROW(H670),Beräkningshjälp!AC$2:AH$1082,COLUMN(Beräkningshjälp!AH$2)-COLUMN(Beräkningshjälp!AC$2)+1,FALSE),"")</f>
        <v/>
      </c>
      <c r="I671" s="116" t="str">
        <f>IF(D671&lt;&gt;"",VLOOKUP(ROW(E670),Beräkningshjälp!AC$2:AI$1082,COLUMN(Beräkningshjälp!AI$2)-COLUMN(Beräkningshjälp!AC$2)+1,FALSE),"")</f>
        <v/>
      </c>
    </row>
    <row r="672" spans="1:9" x14ac:dyDescent="0.25">
      <c r="A672" s="2" t="str">
        <f t="shared" si="20"/>
        <v/>
      </c>
      <c r="B672" s="136" t="str">
        <f>IF(D672&lt;&gt;"",'DATA TILL SLU'!$J$3,"")</f>
        <v/>
      </c>
      <c r="C672" s="146" t="str">
        <f>IF(D672&lt;&gt;"",'DATA TILL SLU'!$K$3,"")</f>
        <v/>
      </c>
      <c r="D672" s="2" t="str">
        <f>IF('DATA TILL SLU'!$D$7*1&lt;&gt;"",IF(COUNT(Beräkningshjälp!$AC$3:$AC$1082)&gt;=ROW(D671),'DATA TILL SLU'!$D$7*1,""),"")</f>
        <v/>
      </c>
      <c r="E672" s="136" t="str">
        <f>IF(D672&lt;&gt;"",VLOOKUP(ROW(E671),Beräkningshjälp!AC$2:AH$1082,COLUMN(Beräkningshjälp!AF$2)-COLUMN(Beräkningshjälp!AC$2)+1,FALSE),"")</f>
        <v/>
      </c>
      <c r="F672" s="352" t="str">
        <f t="shared" si="21"/>
        <v/>
      </c>
      <c r="G672" s="2" t="str">
        <f>IF(D672&lt;&gt;"",IF(VLOOKUP(VLOOKUP(E672,Beräkningshjälp!O$2:U$60,7,FALSE),Artuppgifter!$I$11:$P$22,8,FALSE)=TRUE,"Medelvikter!!","ALLA"),"")</f>
        <v/>
      </c>
      <c r="H672" s="2" t="str">
        <f>IF(D672&lt;&gt;"",VLOOKUP(ROW(H671),Beräkningshjälp!AC$2:AH$1082,COLUMN(Beräkningshjälp!AH$2)-COLUMN(Beräkningshjälp!AC$2)+1,FALSE),"")</f>
        <v/>
      </c>
      <c r="I672" s="116" t="str">
        <f>IF(D672&lt;&gt;"",VLOOKUP(ROW(E671),Beräkningshjälp!AC$2:AI$1082,COLUMN(Beräkningshjälp!AI$2)-COLUMN(Beräkningshjälp!AC$2)+1,FALSE),"")</f>
        <v/>
      </c>
    </row>
    <row r="673" spans="1:9" x14ac:dyDescent="0.25">
      <c r="A673" s="2" t="str">
        <f t="shared" si="20"/>
        <v/>
      </c>
      <c r="B673" s="136" t="str">
        <f>IF(D673&lt;&gt;"",'DATA TILL SLU'!$J$3,"")</f>
        <v/>
      </c>
      <c r="C673" s="146" t="str">
        <f>IF(D673&lt;&gt;"",'DATA TILL SLU'!$K$3,"")</f>
        <v/>
      </c>
      <c r="D673" s="2" t="str">
        <f>IF('DATA TILL SLU'!$D$7*1&lt;&gt;"",IF(COUNT(Beräkningshjälp!$AC$3:$AC$1082)&gt;=ROW(D672),'DATA TILL SLU'!$D$7*1,""),"")</f>
        <v/>
      </c>
      <c r="E673" s="136" t="str">
        <f>IF(D673&lt;&gt;"",VLOOKUP(ROW(E672),Beräkningshjälp!AC$2:AH$1082,COLUMN(Beräkningshjälp!AF$2)-COLUMN(Beräkningshjälp!AC$2)+1,FALSE),"")</f>
        <v/>
      </c>
      <c r="F673" s="352" t="str">
        <f t="shared" si="21"/>
        <v/>
      </c>
      <c r="G673" s="2" t="str">
        <f>IF(D673&lt;&gt;"",IF(VLOOKUP(VLOOKUP(E673,Beräkningshjälp!O$2:U$60,7,FALSE),Artuppgifter!$I$11:$P$22,8,FALSE)=TRUE,"Medelvikter!!","ALLA"),"")</f>
        <v/>
      </c>
      <c r="H673" s="2" t="str">
        <f>IF(D673&lt;&gt;"",VLOOKUP(ROW(H672),Beräkningshjälp!AC$2:AH$1082,COLUMN(Beräkningshjälp!AH$2)-COLUMN(Beräkningshjälp!AC$2)+1,FALSE),"")</f>
        <v/>
      </c>
      <c r="I673" s="116" t="str">
        <f>IF(D673&lt;&gt;"",VLOOKUP(ROW(E672),Beräkningshjälp!AC$2:AI$1082,COLUMN(Beräkningshjälp!AI$2)-COLUMN(Beräkningshjälp!AC$2)+1,FALSE),"")</f>
        <v/>
      </c>
    </row>
    <row r="674" spans="1:9" x14ac:dyDescent="0.25">
      <c r="A674" s="2" t="str">
        <f t="shared" si="20"/>
        <v/>
      </c>
      <c r="B674" s="136" t="str">
        <f>IF(D674&lt;&gt;"",'DATA TILL SLU'!$J$3,"")</f>
        <v/>
      </c>
      <c r="C674" s="146" t="str">
        <f>IF(D674&lt;&gt;"",'DATA TILL SLU'!$K$3,"")</f>
        <v/>
      </c>
      <c r="D674" s="2" t="str">
        <f>IF('DATA TILL SLU'!$D$7*1&lt;&gt;"",IF(COUNT(Beräkningshjälp!$AC$3:$AC$1082)&gt;=ROW(D673),'DATA TILL SLU'!$D$7*1,""),"")</f>
        <v/>
      </c>
      <c r="E674" s="136" t="str">
        <f>IF(D674&lt;&gt;"",VLOOKUP(ROW(E673),Beräkningshjälp!AC$2:AH$1082,COLUMN(Beräkningshjälp!AF$2)-COLUMN(Beräkningshjälp!AC$2)+1,FALSE),"")</f>
        <v/>
      </c>
      <c r="F674" s="352" t="str">
        <f t="shared" si="21"/>
        <v/>
      </c>
      <c r="G674" s="2" t="str">
        <f>IF(D674&lt;&gt;"",IF(VLOOKUP(VLOOKUP(E674,Beräkningshjälp!O$2:U$60,7,FALSE),Artuppgifter!$I$11:$P$22,8,FALSE)=TRUE,"Medelvikter!!","ALLA"),"")</f>
        <v/>
      </c>
      <c r="H674" s="2" t="str">
        <f>IF(D674&lt;&gt;"",VLOOKUP(ROW(H673),Beräkningshjälp!AC$2:AH$1082,COLUMN(Beräkningshjälp!AH$2)-COLUMN(Beräkningshjälp!AC$2)+1,FALSE),"")</f>
        <v/>
      </c>
      <c r="I674" s="116" t="str">
        <f>IF(D674&lt;&gt;"",VLOOKUP(ROW(E673),Beräkningshjälp!AC$2:AI$1082,COLUMN(Beräkningshjälp!AI$2)-COLUMN(Beräkningshjälp!AC$2)+1,FALSE),"")</f>
        <v/>
      </c>
    </row>
    <row r="675" spans="1:9" x14ac:dyDescent="0.25">
      <c r="A675" s="2" t="str">
        <f t="shared" si="20"/>
        <v/>
      </c>
      <c r="B675" s="136" t="str">
        <f>IF(D675&lt;&gt;"",'DATA TILL SLU'!$J$3,"")</f>
        <v/>
      </c>
      <c r="C675" s="146" t="str">
        <f>IF(D675&lt;&gt;"",'DATA TILL SLU'!$K$3,"")</f>
        <v/>
      </c>
      <c r="D675" s="2" t="str">
        <f>IF('DATA TILL SLU'!$D$7*1&lt;&gt;"",IF(COUNT(Beräkningshjälp!$AC$3:$AC$1082)&gt;=ROW(D674),'DATA TILL SLU'!$D$7*1,""),"")</f>
        <v/>
      </c>
      <c r="E675" s="136" t="str">
        <f>IF(D675&lt;&gt;"",VLOOKUP(ROW(E674),Beräkningshjälp!AC$2:AH$1082,COLUMN(Beräkningshjälp!AF$2)-COLUMN(Beräkningshjälp!AC$2)+1,FALSE),"")</f>
        <v/>
      </c>
      <c r="F675" s="352" t="str">
        <f t="shared" si="21"/>
        <v/>
      </c>
      <c r="G675" s="2" t="str">
        <f>IF(D675&lt;&gt;"",IF(VLOOKUP(VLOOKUP(E675,Beräkningshjälp!O$2:U$60,7,FALSE),Artuppgifter!$I$11:$P$22,8,FALSE)=TRUE,"Medelvikter!!","ALLA"),"")</f>
        <v/>
      </c>
      <c r="H675" s="2" t="str">
        <f>IF(D675&lt;&gt;"",VLOOKUP(ROW(H674),Beräkningshjälp!AC$2:AH$1082,COLUMN(Beräkningshjälp!AH$2)-COLUMN(Beräkningshjälp!AC$2)+1,FALSE),"")</f>
        <v/>
      </c>
      <c r="I675" s="116" t="str">
        <f>IF(D675&lt;&gt;"",VLOOKUP(ROW(E674),Beräkningshjälp!AC$2:AI$1082,COLUMN(Beräkningshjälp!AI$2)-COLUMN(Beräkningshjälp!AC$2)+1,FALSE),"")</f>
        <v/>
      </c>
    </row>
    <row r="676" spans="1:9" x14ac:dyDescent="0.25">
      <c r="A676" s="2" t="str">
        <f t="shared" si="20"/>
        <v/>
      </c>
      <c r="B676" s="136" t="str">
        <f>IF(D676&lt;&gt;"",'DATA TILL SLU'!$J$3,"")</f>
        <v/>
      </c>
      <c r="C676" s="146" t="str">
        <f>IF(D676&lt;&gt;"",'DATA TILL SLU'!$K$3,"")</f>
        <v/>
      </c>
      <c r="D676" s="2" t="str">
        <f>IF('DATA TILL SLU'!$D$7*1&lt;&gt;"",IF(COUNT(Beräkningshjälp!$AC$3:$AC$1082)&gt;=ROW(D675),'DATA TILL SLU'!$D$7*1,""),"")</f>
        <v/>
      </c>
      <c r="E676" s="136" t="str">
        <f>IF(D676&lt;&gt;"",VLOOKUP(ROW(E675),Beräkningshjälp!AC$2:AH$1082,COLUMN(Beräkningshjälp!AF$2)-COLUMN(Beräkningshjälp!AC$2)+1,FALSE),"")</f>
        <v/>
      </c>
      <c r="F676" s="352" t="str">
        <f t="shared" si="21"/>
        <v/>
      </c>
      <c r="G676" s="2" t="str">
        <f>IF(D676&lt;&gt;"",IF(VLOOKUP(VLOOKUP(E676,Beräkningshjälp!O$2:U$60,7,FALSE),Artuppgifter!$I$11:$P$22,8,FALSE)=TRUE,"Medelvikter!!","ALLA"),"")</f>
        <v/>
      </c>
      <c r="H676" s="2" t="str">
        <f>IF(D676&lt;&gt;"",VLOOKUP(ROW(H675),Beräkningshjälp!AC$2:AH$1082,COLUMN(Beräkningshjälp!AH$2)-COLUMN(Beräkningshjälp!AC$2)+1,FALSE),"")</f>
        <v/>
      </c>
      <c r="I676" s="116" t="str">
        <f>IF(D676&lt;&gt;"",VLOOKUP(ROW(E675),Beräkningshjälp!AC$2:AI$1082,COLUMN(Beräkningshjälp!AI$2)-COLUMN(Beräkningshjälp!AC$2)+1,FALSE),"")</f>
        <v/>
      </c>
    </row>
    <row r="677" spans="1:9" x14ac:dyDescent="0.25">
      <c r="A677" s="2" t="str">
        <f t="shared" si="20"/>
        <v/>
      </c>
      <c r="B677" s="136" t="str">
        <f>IF(D677&lt;&gt;"",'DATA TILL SLU'!$J$3,"")</f>
        <v/>
      </c>
      <c r="C677" s="146" t="str">
        <f>IF(D677&lt;&gt;"",'DATA TILL SLU'!$K$3,"")</f>
        <v/>
      </c>
      <c r="D677" s="2" t="str">
        <f>IF('DATA TILL SLU'!$D$7*1&lt;&gt;"",IF(COUNT(Beräkningshjälp!$AC$3:$AC$1082)&gt;=ROW(D676),'DATA TILL SLU'!$D$7*1,""),"")</f>
        <v/>
      </c>
      <c r="E677" s="136" t="str">
        <f>IF(D677&lt;&gt;"",VLOOKUP(ROW(E676),Beräkningshjälp!AC$2:AH$1082,COLUMN(Beräkningshjälp!AF$2)-COLUMN(Beräkningshjälp!AC$2)+1,FALSE),"")</f>
        <v/>
      </c>
      <c r="F677" s="352" t="str">
        <f t="shared" si="21"/>
        <v/>
      </c>
      <c r="G677" s="2" t="str">
        <f>IF(D677&lt;&gt;"",IF(VLOOKUP(VLOOKUP(E677,Beräkningshjälp!O$2:U$60,7,FALSE),Artuppgifter!$I$11:$P$22,8,FALSE)=TRUE,"Medelvikter!!","ALLA"),"")</f>
        <v/>
      </c>
      <c r="H677" s="2" t="str">
        <f>IF(D677&lt;&gt;"",VLOOKUP(ROW(H676),Beräkningshjälp!AC$2:AH$1082,COLUMN(Beräkningshjälp!AH$2)-COLUMN(Beräkningshjälp!AC$2)+1,FALSE),"")</f>
        <v/>
      </c>
      <c r="I677" s="116" t="str">
        <f>IF(D677&lt;&gt;"",VLOOKUP(ROW(E676),Beräkningshjälp!AC$2:AI$1082,COLUMN(Beräkningshjälp!AI$2)-COLUMN(Beräkningshjälp!AC$2)+1,FALSE),"")</f>
        <v/>
      </c>
    </row>
    <row r="678" spans="1:9" x14ac:dyDescent="0.25">
      <c r="A678" s="2" t="str">
        <f t="shared" si="20"/>
        <v/>
      </c>
      <c r="B678" s="136" t="str">
        <f>IF(D678&lt;&gt;"",'DATA TILL SLU'!$J$3,"")</f>
        <v/>
      </c>
      <c r="C678" s="146" t="str">
        <f>IF(D678&lt;&gt;"",'DATA TILL SLU'!$K$3,"")</f>
        <v/>
      </c>
      <c r="D678" s="2" t="str">
        <f>IF('DATA TILL SLU'!$D$7*1&lt;&gt;"",IF(COUNT(Beräkningshjälp!$AC$3:$AC$1082)&gt;=ROW(D677),'DATA TILL SLU'!$D$7*1,""),"")</f>
        <v/>
      </c>
      <c r="E678" s="136" t="str">
        <f>IF(D678&lt;&gt;"",VLOOKUP(ROW(E677),Beräkningshjälp!AC$2:AH$1082,COLUMN(Beräkningshjälp!AF$2)-COLUMN(Beräkningshjälp!AC$2)+1,FALSE),"")</f>
        <v/>
      </c>
      <c r="F678" s="352" t="str">
        <f t="shared" si="21"/>
        <v/>
      </c>
      <c r="G678" s="2" t="str">
        <f>IF(D678&lt;&gt;"",IF(VLOOKUP(VLOOKUP(E678,Beräkningshjälp!O$2:U$60,7,FALSE),Artuppgifter!$I$11:$P$22,8,FALSE)=TRUE,"Medelvikter!!","ALLA"),"")</f>
        <v/>
      </c>
      <c r="H678" s="2" t="str">
        <f>IF(D678&lt;&gt;"",VLOOKUP(ROW(H677),Beräkningshjälp!AC$2:AH$1082,COLUMN(Beräkningshjälp!AH$2)-COLUMN(Beräkningshjälp!AC$2)+1,FALSE),"")</f>
        <v/>
      </c>
      <c r="I678" s="116" t="str">
        <f>IF(D678&lt;&gt;"",VLOOKUP(ROW(E677),Beräkningshjälp!AC$2:AI$1082,COLUMN(Beräkningshjälp!AI$2)-COLUMN(Beräkningshjälp!AC$2)+1,FALSE),"")</f>
        <v/>
      </c>
    </row>
    <row r="679" spans="1:9" x14ac:dyDescent="0.25">
      <c r="A679" s="2" t="str">
        <f t="shared" si="20"/>
        <v/>
      </c>
      <c r="B679" s="136" t="str">
        <f>IF(D679&lt;&gt;"",'DATA TILL SLU'!$J$3,"")</f>
        <v/>
      </c>
      <c r="C679" s="146" t="str">
        <f>IF(D679&lt;&gt;"",'DATA TILL SLU'!$K$3,"")</f>
        <v/>
      </c>
      <c r="D679" s="2" t="str">
        <f>IF('DATA TILL SLU'!$D$7*1&lt;&gt;"",IF(COUNT(Beräkningshjälp!$AC$3:$AC$1082)&gt;=ROW(D678),'DATA TILL SLU'!$D$7*1,""),"")</f>
        <v/>
      </c>
      <c r="E679" s="136" t="str">
        <f>IF(D679&lt;&gt;"",VLOOKUP(ROW(E678),Beräkningshjälp!AC$2:AH$1082,COLUMN(Beräkningshjälp!AF$2)-COLUMN(Beräkningshjälp!AC$2)+1,FALSE),"")</f>
        <v/>
      </c>
      <c r="F679" s="352" t="str">
        <f t="shared" si="21"/>
        <v/>
      </c>
      <c r="G679" s="2" t="str">
        <f>IF(D679&lt;&gt;"",IF(VLOOKUP(VLOOKUP(E679,Beräkningshjälp!O$2:U$60,7,FALSE),Artuppgifter!$I$11:$P$22,8,FALSE)=TRUE,"Medelvikter!!","ALLA"),"")</f>
        <v/>
      </c>
      <c r="H679" s="2" t="str">
        <f>IF(D679&lt;&gt;"",VLOOKUP(ROW(H678),Beräkningshjälp!AC$2:AH$1082,COLUMN(Beräkningshjälp!AH$2)-COLUMN(Beräkningshjälp!AC$2)+1,FALSE),"")</f>
        <v/>
      </c>
      <c r="I679" s="116" t="str">
        <f>IF(D679&lt;&gt;"",VLOOKUP(ROW(E678),Beräkningshjälp!AC$2:AI$1082,COLUMN(Beräkningshjälp!AI$2)-COLUMN(Beräkningshjälp!AC$2)+1,FALSE),"")</f>
        <v/>
      </c>
    </row>
    <row r="680" spans="1:9" x14ac:dyDescent="0.25">
      <c r="A680" s="2" t="str">
        <f t="shared" si="20"/>
        <v/>
      </c>
      <c r="B680" s="136" t="str">
        <f>IF(D680&lt;&gt;"",'DATA TILL SLU'!$J$3,"")</f>
        <v/>
      </c>
      <c r="C680" s="146" t="str">
        <f>IF(D680&lt;&gt;"",'DATA TILL SLU'!$K$3,"")</f>
        <v/>
      </c>
      <c r="D680" s="2" t="str">
        <f>IF('DATA TILL SLU'!$D$7*1&lt;&gt;"",IF(COUNT(Beräkningshjälp!$AC$3:$AC$1082)&gt;=ROW(D679),'DATA TILL SLU'!$D$7*1,""),"")</f>
        <v/>
      </c>
      <c r="E680" s="136" t="str">
        <f>IF(D680&lt;&gt;"",VLOOKUP(ROW(E679),Beräkningshjälp!AC$2:AH$1082,COLUMN(Beräkningshjälp!AF$2)-COLUMN(Beräkningshjälp!AC$2)+1,FALSE),"")</f>
        <v/>
      </c>
      <c r="F680" s="352" t="str">
        <f t="shared" si="21"/>
        <v/>
      </c>
      <c r="G680" s="2" t="str">
        <f>IF(D680&lt;&gt;"",IF(VLOOKUP(VLOOKUP(E680,Beräkningshjälp!O$2:U$60,7,FALSE),Artuppgifter!$I$11:$P$22,8,FALSE)=TRUE,"Medelvikter!!","ALLA"),"")</f>
        <v/>
      </c>
      <c r="H680" s="2" t="str">
        <f>IF(D680&lt;&gt;"",VLOOKUP(ROW(H679),Beräkningshjälp!AC$2:AH$1082,COLUMN(Beräkningshjälp!AH$2)-COLUMN(Beräkningshjälp!AC$2)+1,FALSE),"")</f>
        <v/>
      </c>
      <c r="I680" s="116" t="str">
        <f>IF(D680&lt;&gt;"",VLOOKUP(ROW(E679),Beräkningshjälp!AC$2:AI$1082,COLUMN(Beräkningshjälp!AI$2)-COLUMN(Beräkningshjälp!AC$2)+1,FALSE),"")</f>
        <v/>
      </c>
    </row>
    <row r="681" spans="1:9" x14ac:dyDescent="0.25">
      <c r="A681" s="2" t="str">
        <f t="shared" si="20"/>
        <v/>
      </c>
      <c r="B681" s="136" t="str">
        <f>IF(D681&lt;&gt;"",'DATA TILL SLU'!$J$3,"")</f>
        <v/>
      </c>
      <c r="C681" s="146" t="str">
        <f>IF(D681&lt;&gt;"",'DATA TILL SLU'!$K$3,"")</f>
        <v/>
      </c>
      <c r="D681" s="2" t="str">
        <f>IF('DATA TILL SLU'!$D$7*1&lt;&gt;"",IF(COUNT(Beräkningshjälp!$AC$3:$AC$1082)&gt;=ROW(D680),'DATA TILL SLU'!$D$7*1,""),"")</f>
        <v/>
      </c>
      <c r="E681" s="136" t="str">
        <f>IF(D681&lt;&gt;"",VLOOKUP(ROW(E680),Beräkningshjälp!AC$2:AH$1082,COLUMN(Beräkningshjälp!AF$2)-COLUMN(Beräkningshjälp!AC$2)+1,FALSE),"")</f>
        <v/>
      </c>
      <c r="F681" s="352" t="str">
        <f t="shared" si="21"/>
        <v/>
      </c>
      <c r="G681" s="2" t="str">
        <f>IF(D681&lt;&gt;"",IF(VLOOKUP(VLOOKUP(E681,Beräkningshjälp!O$2:U$60,7,FALSE),Artuppgifter!$I$11:$P$22,8,FALSE)=TRUE,"Medelvikter!!","ALLA"),"")</f>
        <v/>
      </c>
      <c r="H681" s="2" t="str">
        <f>IF(D681&lt;&gt;"",VLOOKUP(ROW(H680),Beräkningshjälp!AC$2:AH$1082,COLUMN(Beräkningshjälp!AH$2)-COLUMN(Beräkningshjälp!AC$2)+1,FALSE),"")</f>
        <v/>
      </c>
      <c r="I681" s="116" t="str">
        <f>IF(D681&lt;&gt;"",VLOOKUP(ROW(E680),Beräkningshjälp!AC$2:AI$1082,COLUMN(Beräkningshjälp!AI$2)-COLUMN(Beräkningshjälp!AC$2)+1,FALSE),"")</f>
        <v/>
      </c>
    </row>
    <row r="682" spans="1:9" x14ac:dyDescent="0.25">
      <c r="A682" s="2" t="str">
        <f t="shared" si="20"/>
        <v/>
      </c>
      <c r="B682" s="136" t="str">
        <f>IF(D682&lt;&gt;"",'DATA TILL SLU'!$J$3,"")</f>
        <v/>
      </c>
      <c r="C682" s="146" t="str">
        <f>IF(D682&lt;&gt;"",'DATA TILL SLU'!$K$3,"")</f>
        <v/>
      </c>
      <c r="D682" s="2" t="str">
        <f>IF('DATA TILL SLU'!$D$7*1&lt;&gt;"",IF(COUNT(Beräkningshjälp!$AC$3:$AC$1082)&gt;=ROW(D681),'DATA TILL SLU'!$D$7*1,""),"")</f>
        <v/>
      </c>
      <c r="E682" s="136" t="str">
        <f>IF(D682&lt;&gt;"",VLOOKUP(ROW(E681),Beräkningshjälp!AC$2:AH$1082,COLUMN(Beräkningshjälp!AF$2)-COLUMN(Beräkningshjälp!AC$2)+1,FALSE),"")</f>
        <v/>
      </c>
      <c r="F682" s="352" t="str">
        <f t="shared" si="21"/>
        <v/>
      </c>
      <c r="G682" s="2" t="str">
        <f>IF(D682&lt;&gt;"",IF(VLOOKUP(VLOOKUP(E682,Beräkningshjälp!O$2:U$60,7,FALSE),Artuppgifter!$I$11:$P$22,8,FALSE)=TRUE,"Medelvikter!!","ALLA"),"")</f>
        <v/>
      </c>
      <c r="H682" s="2" t="str">
        <f>IF(D682&lt;&gt;"",VLOOKUP(ROW(H681),Beräkningshjälp!AC$2:AH$1082,COLUMN(Beräkningshjälp!AH$2)-COLUMN(Beräkningshjälp!AC$2)+1,FALSE),"")</f>
        <v/>
      </c>
      <c r="I682" s="116" t="str">
        <f>IF(D682&lt;&gt;"",VLOOKUP(ROW(E681),Beräkningshjälp!AC$2:AI$1082,COLUMN(Beräkningshjälp!AI$2)-COLUMN(Beräkningshjälp!AC$2)+1,FALSE),"")</f>
        <v/>
      </c>
    </row>
    <row r="683" spans="1:9" x14ac:dyDescent="0.25">
      <c r="A683" s="2" t="str">
        <f t="shared" si="20"/>
        <v/>
      </c>
      <c r="B683" s="136" t="str">
        <f>IF(D683&lt;&gt;"",'DATA TILL SLU'!$J$3,"")</f>
        <v/>
      </c>
      <c r="C683" s="146" t="str">
        <f>IF(D683&lt;&gt;"",'DATA TILL SLU'!$K$3,"")</f>
        <v/>
      </c>
      <c r="D683" s="2" t="str">
        <f>IF('DATA TILL SLU'!$D$7*1&lt;&gt;"",IF(COUNT(Beräkningshjälp!$AC$3:$AC$1082)&gt;=ROW(D682),'DATA TILL SLU'!$D$7*1,""),"")</f>
        <v/>
      </c>
      <c r="E683" s="136" t="str">
        <f>IF(D683&lt;&gt;"",VLOOKUP(ROW(E682),Beräkningshjälp!AC$2:AH$1082,COLUMN(Beräkningshjälp!AF$2)-COLUMN(Beräkningshjälp!AC$2)+1,FALSE),"")</f>
        <v/>
      </c>
      <c r="F683" s="352" t="str">
        <f t="shared" si="21"/>
        <v/>
      </c>
      <c r="G683" s="2" t="str">
        <f>IF(D683&lt;&gt;"",IF(VLOOKUP(VLOOKUP(E683,Beräkningshjälp!O$2:U$60,7,FALSE),Artuppgifter!$I$11:$P$22,8,FALSE)=TRUE,"Medelvikter!!","ALLA"),"")</f>
        <v/>
      </c>
      <c r="H683" s="2" t="str">
        <f>IF(D683&lt;&gt;"",VLOOKUP(ROW(H682),Beräkningshjälp!AC$2:AH$1082,COLUMN(Beräkningshjälp!AH$2)-COLUMN(Beräkningshjälp!AC$2)+1,FALSE),"")</f>
        <v/>
      </c>
      <c r="I683" s="116" t="str">
        <f>IF(D683&lt;&gt;"",VLOOKUP(ROW(E682),Beräkningshjälp!AC$2:AI$1082,COLUMN(Beräkningshjälp!AI$2)-COLUMN(Beräkningshjälp!AC$2)+1,FALSE),"")</f>
        <v/>
      </c>
    </row>
    <row r="684" spans="1:9" x14ac:dyDescent="0.25">
      <c r="A684" s="2" t="str">
        <f t="shared" si="20"/>
        <v/>
      </c>
      <c r="B684" s="136" t="str">
        <f>IF(D684&lt;&gt;"",'DATA TILL SLU'!$J$3,"")</f>
        <v/>
      </c>
      <c r="C684" s="146" t="str">
        <f>IF(D684&lt;&gt;"",'DATA TILL SLU'!$K$3,"")</f>
        <v/>
      </c>
      <c r="D684" s="2" t="str">
        <f>IF('DATA TILL SLU'!$D$7*1&lt;&gt;"",IF(COUNT(Beräkningshjälp!$AC$3:$AC$1082)&gt;=ROW(D683),'DATA TILL SLU'!$D$7*1,""),"")</f>
        <v/>
      </c>
      <c r="E684" s="136" t="str">
        <f>IF(D684&lt;&gt;"",VLOOKUP(ROW(E683),Beräkningshjälp!AC$2:AH$1082,COLUMN(Beräkningshjälp!AF$2)-COLUMN(Beräkningshjälp!AC$2)+1,FALSE),"")</f>
        <v/>
      </c>
      <c r="F684" s="352" t="str">
        <f t="shared" si="21"/>
        <v/>
      </c>
      <c r="G684" s="2" t="str">
        <f>IF(D684&lt;&gt;"",IF(VLOOKUP(VLOOKUP(E684,Beräkningshjälp!O$2:U$60,7,FALSE),Artuppgifter!$I$11:$P$22,8,FALSE)=TRUE,"Medelvikter!!","ALLA"),"")</f>
        <v/>
      </c>
      <c r="H684" s="2" t="str">
        <f>IF(D684&lt;&gt;"",VLOOKUP(ROW(H683),Beräkningshjälp!AC$2:AH$1082,COLUMN(Beräkningshjälp!AH$2)-COLUMN(Beräkningshjälp!AC$2)+1,FALSE),"")</f>
        <v/>
      </c>
      <c r="I684" s="116" t="str">
        <f>IF(D684&lt;&gt;"",VLOOKUP(ROW(E683),Beräkningshjälp!AC$2:AI$1082,COLUMN(Beräkningshjälp!AI$2)-COLUMN(Beräkningshjälp!AC$2)+1,FALSE),"")</f>
        <v/>
      </c>
    </row>
    <row r="685" spans="1:9" x14ac:dyDescent="0.25">
      <c r="A685" s="2" t="str">
        <f t="shared" si="20"/>
        <v/>
      </c>
      <c r="B685" s="136" t="str">
        <f>IF(D685&lt;&gt;"",'DATA TILL SLU'!$J$3,"")</f>
        <v/>
      </c>
      <c r="C685" s="146" t="str">
        <f>IF(D685&lt;&gt;"",'DATA TILL SLU'!$K$3,"")</f>
        <v/>
      </c>
      <c r="D685" s="2" t="str">
        <f>IF('DATA TILL SLU'!$D$7*1&lt;&gt;"",IF(COUNT(Beräkningshjälp!$AC$3:$AC$1082)&gt;=ROW(D684),'DATA TILL SLU'!$D$7*1,""),"")</f>
        <v/>
      </c>
      <c r="E685" s="136" t="str">
        <f>IF(D685&lt;&gt;"",VLOOKUP(ROW(E684),Beräkningshjälp!AC$2:AH$1082,COLUMN(Beräkningshjälp!AF$2)-COLUMN(Beräkningshjälp!AC$2)+1,FALSE),"")</f>
        <v/>
      </c>
      <c r="F685" s="352" t="str">
        <f t="shared" si="21"/>
        <v/>
      </c>
      <c r="G685" s="2" t="str">
        <f>IF(D685&lt;&gt;"",IF(VLOOKUP(VLOOKUP(E685,Beräkningshjälp!O$2:U$60,7,FALSE),Artuppgifter!$I$11:$P$22,8,FALSE)=TRUE,"Medelvikter!!","ALLA"),"")</f>
        <v/>
      </c>
      <c r="H685" s="2" t="str">
        <f>IF(D685&lt;&gt;"",VLOOKUP(ROW(H684),Beräkningshjälp!AC$2:AH$1082,COLUMN(Beräkningshjälp!AH$2)-COLUMN(Beräkningshjälp!AC$2)+1,FALSE),"")</f>
        <v/>
      </c>
      <c r="I685" s="116" t="str">
        <f>IF(D685&lt;&gt;"",VLOOKUP(ROW(E684),Beräkningshjälp!AC$2:AI$1082,COLUMN(Beräkningshjälp!AI$2)-COLUMN(Beräkningshjälp!AC$2)+1,FALSE),"")</f>
        <v/>
      </c>
    </row>
    <row r="686" spans="1:9" x14ac:dyDescent="0.25">
      <c r="A686" s="2" t="str">
        <f t="shared" si="20"/>
        <v/>
      </c>
      <c r="B686" s="136" t="str">
        <f>IF(D686&lt;&gt;"",'DATA TILL SLU'!$J$3,"")</f>
        <v/>
      </c>
      <c r="C686" s="146" t="str">
        <f>IF(D686&lt;&gt;"",'DATA TILL SLU'!$K$3,"")</f>
        <v/>
      </c>
      <c r="D686" s="2" t="str">
        <f>IF('DATA TILL SLU'!$D$7*1&lt;&gt;"",IF(COUNT(Beräkningshjälp!$AC$3:$AC$1082)&gt;=ROW(D685),'DATA TILL SLU'!$D$7*1,""),"")</f>
        <v/>
      </c>
      <c r="E686" s="136" t="str">
        <f>IF(D686&lt;&gt;"",VLOOKUP(ROW(E685),Beräkningshjälp!AC$2:AH$1082,COLUMN(Beräkningshjälp!AF$2)-COLUMN(Beräkningshjälp!AC$2)+1,FALSE),"")</f>
        <v/>
      </c>
      <c r="F686" s="352" t="str">
        <f t="shared" si="21"/>
        <v/>
      </c>
      <c r="G686" s="2" t="str">
        <f>IF(D686&lt;&gt;"",IF(VLOOKUP(VLOOKUP(E686,Beräkningshjälp!O$2:U$60,7,FALSE),Artuppgifter!$I$11:$P$22,8,FALSE)=TRUE,"Medelvikter!!","ALLA"),"")</f>
        <v/>
      </c>
      <c r="H686" s="2" t="str">
        <f>IF(D686&lt;&gt;"",VLOOKUP(ROW(H685),Beräkningshjälp!AC$2:AH$1082,COLUMN(Beräkningshjälp!AH$2)-COLUMN(Beräkningshjälp!AC$2)+1,FALSE),"")</f>
        <v/>
      </c>
      <c r="I686" s="116" t="str">
        <f>IF(D686&lt;&gt;"",VLOOKUP(ROW(E685),Beräkningshjälp!AC$2:AI$1082,COLUMN(Beräkningshjälp!AI$2)-COLUMN(Beräkningshjälp!AC$2)+1,FALSE),"")</f>
        <v/>
      </c>
    </row>
    <row r="687" spans="1:9" x14ac:dyDescent="0.25">
      <c r="A687" s="2" t="str">
        <f t="shared" si="20"/>
        <v/>
      </c>
      <c r="B687" s="136" t="str">
        <f>IF(D687&lt;&gt;"",'DATA TILL SLU'!$J$3,"")</f>
        <v/>
      </c>
      <c r="C687" s="146" t="str">
        <f>IF(D687&lt;&gt;"",'DATA TILL SLU'!$K$3,"")</f>
        <v/>
      </c>
      <c r="D687" s="2" t="str">
        <f>IF('DATA TILL SLU'!$D$7*1&lt;&gt;"",IF(COUNT(Beräkningshjälp!$AC$3:$AC$1082)&gt;=ROW(D686),'DATA TILL SLU'!$D$7*1,""),"")</f>
        <v/>
      </c>
      <c r="E687" s="136" t="str">
        <f>IF(D687&lt;&gt;"",VLOOKUP(ROW(E686),Beräkningshjälp!AC$2:AH$1082,COLUMN(Beräkningshjälp!AF$2)-COLUMN(Beräkningshjälp!AC$2)+1,FALSE),"")</f>
        <v/>
      </c>
      <c r="F687" s="352" t="str">
        <f t="shared" si="21"/>
        <v/>
      </c>
      <c r="G687" s="2" t="str">
        <f>IF(D687&lt;&gt;"",IF(VLOOKUP(VLOOKUP(E687,Beräkningshjälp!O$2:U$60,7,FALSE),Artuppgifter!$I$11:$P$22,8,FALSE)=TRUE,"Medelvikter!!","ALLA"),"")</f>
        <v/>
      </c>
      <c r="H687" s="2" t="str">
        <f>IF(D687&lt;&gt;"",VLOOKUP(ROW(H686),Beräkningshjälp!AC$2:AH$1082,COLUMN(Beräkningshjälp!AH$2)-COLUMN(Beräkningshjälp!AC$2)+1,FALSE),"")</f>
        <v/>
      </c>
      <c r="I687" s="116" t="str">
        <f>IF(D687&lt;&gt;"",VLOOKUP(ROW(E686),Beräkningshjälp!AC$2:AI$1082,COLUMN(Beräkningshjälp!AI$2)-COLUMN(Beräkningshjälp!AC$2)+1,FALSE),"")</f>
        <v/>
      </c>
    </row>
    <row r="688" spans="1:9" x14ac:dyDescent="0.25">
      <c r="A688" s="2" t="str">
        <f t="shared" si="20"/>
        <v/>
      </c>
      <c r="B688" s="136" t="str">
        <f>IF(D688&lt;&gt;"",'DATA TILL SLU'!$J$3,"")</f>
        <v/>
      </c>
      <c r="C688" s="146" t="str">
        <f>IF(D688&lt;&gt;"",'DATA TILL SLU'!$K$3,"")</f>
        <v/>
      </c>
      <c r="D688" s="2" t="str">
        <f>IF('DATA TILL SLU'!$D$7*1&lt;&gt;"",IF(COUNT(Beräkningshjälp!$AC$3:$AC$1082)&gt;=ROW(D687),'DATA TILL SLU'!$D$7*1,""),"")</f>
        <v/>
      </c>
      <c r="E688" s="136" t="str">
        <f>IF(D688&lt;&gt;"",VLOOKUP(ROW(E687),Beräkningshjälp!AC$2:AH$1082,COLUMN(Beräkningshjälp!AF$2)-COLUMN(Beräkningshjälp!AC$2)+1,FALSE),"")</f>
        <v/>
      </c>
      <c r="F688" s="352" t="str">
        <f t="shared" si="21"/>
        <v/>
      </c>
      <c r="G688" s="2" t="str">
        <f>IF(D688&lt;&gt;"",IF(VLOOKUP(VLOOKUP(E688,Beräkningshjälp!O$2:U$60,7,FALSE),Artuppgifter!$I$11:$P$22,8,FALSE)=TRUE,"Medelvikter!!","ALLA"),"")</f>
        <v/>
      </c>
      <c r="H688" s="2" t="str">
        <f>IF(D688&lt;&gt;"",VLOOKUP(ROW(H687),Beräkningshjälp!AC$2:AH$1082,COLUMN(Beräkningshjälp!AH$2)-COLUMN(Beräkningshjälp!AC$2)+1,FALSE),"")</f>
        <v/>
      </c>
      <c r="I688" s="116" t="str">
        <f>IF(D688&lt;&gt;"",VLOOKUP(ROW(E687),Beräkningshjälp!AC$2:AI$1082,COLUMN(Beräkningshjälp!AI$2)-COLUMN(Beräkningshjälp!AC$2)+1,FALSE),"")</f>
        <v/>
      </c>
    </row>
    <row r="689" spans="1:9" x14ac:dyDescent="0.25">
      <c r="A689" s="2" t="str">
        <f t="shared" si="20"/>
        <v/>
      </c>
      <c r="B689" s="136" t="str">
        <f>IF(D689&lt;&gt;"",'DATA TILL SLU'!$J$3,"")</f>
        <v/>
      </c>
      <c r="C689" s="146" t="str">
        <f>IF(D689&lt;&gt;"",'DATA TILL SLU'!$K$3,"")</f>
        <v/>
      </c>
      <c r="D689" s="2" t="str">
        <f>IF('DATA TILL SLU'!$D$7*1&lt;&gt;"",IF(COUNT(Beräkningshjälp!$AC$3:$AC$1082)&gt;=ROW(D688),'DATA TILL SLU'!$D$7*1,""),"")</f>
        <v/>
      </c>
      <c r="E689" s="136" t="str">
        <f>IF(D689&lt;&gt;"",VLOOKUP(ROW(E688),Beräkningshjälp!AC$2:AH$1082,COLUMN(Beräkningshjälp!AF$2)-COLUMN(Beräkningshjälp!AC$2)+1,FALSE),"")</f>
        <v/>
      </c>
      <c r="F689" s="352" t="str">
        <f t="shared" si="21"/>
        <v/>
      </c>
      <c r="G689" s="2" t="str">
        <f>IF(D689&lt;&gt;"",IF(VLOOKUP(VLOOKUP(E689,Beräkningshjälp!O$2:U$60,7,FALSE),Artuppgifter!$I$11:$P$22,8,FALSE)=TRUE,"Medelvikter!!","ALLA"),"")</f>
        <v/>
      </c>
      <c r="H689" s="2" t="str">
        <f>IF(D689&lt;&gt;"",VLOOKUP(ROW(H688),Beräkningshjälp!AC$2:AH$1082,COLUMN(Beräkningshjälp!AH$2)-COLUMN(Beräkningshjälp!AC$2)+1,FALSE),"")</f>
        <v/>
      </c>
      <c r="I689" s="116" t="str">
        <f>IF(D689&lt;&gt;"",VLOOKUP(ROW(E688),Beräkningshjälp!AC$2:AI$1082,COLUMN(Beräkningshjälp!AI$2)-COLUMN(Beräkningshjälp!AC$2)+1,FALSE),"")</f>
        <v/>
      </c>
    </row>
    <row r="690" spans="1:9" x14ac:dyDescent="0.25">
      <c r="A690" s="2" t="str">
        <f t="shared" si="20"/>
        <v/>
      </c>
      <c r="B690" s="136" t="str">
        <f>IF(D690&lt;&gt;"",'DATA TILL SLU'!$J$3,"")</f>
        <v/>
      </c>
      <c r="C690" s="146" t="str">
        <f>IF(D690&lt;&gt;"",'DATA TILL SLU'!$K$3,"")</f>
        <v/>
      </c>
      <c r="D690" s="2" t="str">
        <f>IF('DATA TILL SLU'!$D$7*1&lt;&gt;"",IF(COUNT(Beräkningshjälp!$AC$3:$AC$1082)&gt;=ROW(D689),'DATA TILL SLU'!$D$7*1,""),"")</f>
        <v/>
      </c>
      <c r="E690" s="136" t="str">
        <f>IF(D690&lt;&gt;"",VLOOKUP(ROW(E689),Beräkningshjälp!AC$2:AH$1082,COLUMN(Beräkningshjälp!AF$2)-COLUMN(Beräkningshjälp!AC$2)+1,FALSE),"")</f>
        <v/>
      </c>
      <c r="F690" s="352" t="str">
        <f t="shared" si="21"/>
        <v/>
      </c>
      <c r="G690" s="2" t="str">
        <f>IF(D690&lt;&gt;"",IF(VLOOKUP(VLOOKUP(E690,Beräkningshjälp!O$2:U$60,7,FALSE),Artuppgifter!$I$11:$P$22,8,FALSE)=TRUE,"Medelvikter!!","ALLA"),"")</f>
        <v/>
      </c>
      <c r="H690" s="2" t="str">
        <f>IF(D690&lt;&gt;"",VLOOKUP(ROW(H689),Beräkningshjälp!AC$2:AH$1082,COLUMN(Beräkningshjälp!AH$2)-COLUMN(Beräkningshjälp!AC$2)+1,FALSE),"")</f>
        <v/>
      </c>
      <c r="I690" s="116" t="str">
        <f>IF(D690&lt;&gt;"",VLOOKUP(ROW(E689),Beräkningshjälp!AC$2:AI$1082,COLUMN(Beräkningshjälp!AI$2)-COLUMN(Beräkningshjälp!AC$2)+1,FALSE),"")</f>
        <v/>
      </c>
    </row>
    <row r="691" spans="1:9" x14ac:dyDescent="0.25">
      <c r="A691" s="2" t="str">
        <f t="shared" si="20"/>
        <v/>
      </c>
      <c r="B691" s="136" t="str">
        <f>IF(D691&lt;&gt;"",'DATA TILL SLU'!$J$3,"")</f>
        <v/>
      </c>
      <c r="C691" s="146" t="str">
        <f>IF(D691&lt;&gt;"",'DATA TILL SLU'!$K$3,"")</f>
        <v/>
      </c>
      <c r="D691" s="2" t="str">
        <f>IF('DATA TILL SLU'!$D$7*1&lt;&gt;"",IF(COUNT(Beräkningshjälp!$AC$3:$AC$1082)&gt;=ROW(D690),'DATA TILL SLU'!$D$7*1,""),"")</f>
        <v/>
      </c>
      <c r="E691" s="136" t="str">
        <f>IF(D691&lt;&gt;"",VLOOKUP(ROW(E690),Beräkningshjälp!AC$2:AH$1082,COLUMN(Beräkningshjälp!AF$2)-COLUMN(Beräkningshjälp!AC$2)+1,FALSE),"")</f>
        <v/>
      </c>
      <c r="F691" s="352" t="str">
        <f t="shared" si="21"/>
        <v/>
      </c>
      <c r="G691" s="2" t="str">
        <f>IF(D691&lt;&gt;"",IF(VLOOKUP(VLOOKUP(E691,Beräkningshjälp!O$2:U$60,7,FALSE),Artuppgifter!$I$11:$P$22,8,FALSE)=TRUE,"Medelvikter!!","ALLA"),"")</f>
        <v/>
      </c>
      <c r="H691" s="2" t="str">
        <f>IF(D691&lt;&gt;"",VLOOKUP(ROW(H690),Beräkningshjälp!AC$2:AH$1082,COLUMN(Beräkningshjälp!AH$2)-COLUMN(Beräkningshjälp!AC$2)+1,FALSE),"")</f>
        <v/>
      </c>
      <c r="I691" s="116" t="str">
        <f>IF(D691&lt;&gt;"",VLOOKUP(ROW(E690),Beräkningshjälp!AC$2:AI$1082,COLUMN(Beräkningshjälp!AI$2)-COLUMN(Beräkningshjälp!AC$2)+1,FALSE),"")</f>
        <v/>
      </c>
    </row>
    <row r="692" spans="1:9" x14ac:dyDescent="0.25">
      <c r="A692" s="2" t="str">
        <f t="shared" si="20"/>
        <v/>
      </c>
      <c r="B692" s="136" t="str">
        <f>IF(D692&lt;&gt;"",'DATA TILL SLU'!$J$3,"")</f>
        <v/>
      </c>
      <c r="C692" s="146" t="str">
        <f>IF(D692&lt;&gt;"",'DATA TILL SLU'!$K$3,"")</f>
        <v/>
      </c>
      <c r="D692" s="2" t="str">
        <f>IF('DATA TILL SLU'!$D$7*1&lt;&gt;"",IF(COUNT(Beräkningshjälp!$AC$3:$AC$1082)&gt;=ROW(D691),'DATA TILL SLU'!$D$7*1,""),"")</f>
        <v/>
      </c>
      <c r="E692" s="136" t="str">
        <f>IF(D692&lt;&gt;"",VLOOKUP(ROW(E691),Beräkningshjälp!AC$2:AH$1082,COLUMN(Beräkningshjälp!AF$2)-COLUMN(Beräkningshjälp!AC$2)+1,FALSE),"")</f>
        <v/>
      </c>
      <c r="F692" s="352" t="str">
        <f t="shared" si="21"/>
        <v/>
      </c>
      <c r="G692" s="2" t="str">
        <f>IF(D692&lt;&gt;"",IF(VLOOKUP(VLOOKUP(E692,Beräkningshjälp!O$2:U$60,7,FALSE),Artuppgifter!$I$11:$P$22,8,FALSE)=TRUE,"Medelvikter!!","ALLA"),"")</f>
        <v/>
      </c>
      <c r="H692" s="2" t="str">
        <f>IF(D692&lt;&gt;"",VLOOKUP(ROW(H691),Beräkningshjälp!AC$2:AH$1082,COLUMN(Beräkningshjälp!AH$2)-COLUMN(Beräkningshjälp!AC$2)+1,FALSE),"")</f>
        <v/>
      </c>
      <c r="I692" s="116" t="str">
        <f>IF(D692&lt;&gt;"",VLOOKUP(ROW(E691),Beräkningshjälp!AC$2:AI$1082,COLUMN(Beräkningshjälp!AI$2)-COLUMN(Beräkningshjälp!AC$2)+1,FALSE),"")</f>
        <v/>
      </c>
    </row>
    <row r="693" spans="1:9" x14ac:dyDescent="0.25">
      <c r="A693" s="2" t="str">
        <f t="shared" si="20"/>
        <v/>
      </c>
      <c r="B693" s="136" t="str">
        <f>IF(D693&lt;&gt;"",'DATA TILL SLU'!$J$3,"")</f>
        <v/>
      </c>
      <c r="C693" s="146" t="str">
        <f>IF(D693&lt;&gt;"",'DATA TILL SLU'!$K$3,"")</f>
        <v/>
      </c>
      <c r="D693" s="2" t="str">
        <f>IF('DATA TILL SLU'!$D$7*1&lt;&gt;"",IF(COUNT(Beräkningshjälp!$AC$3:$AC$1082)&gt;=ROW(D692),'DATA TILL SLU'!$D$7*1,""),"")</f>
        <v/>
      </c>
      <c r="E693" s="136" t="str">
        <f>IF(D693&lt;&gt;"",VLOOKUP(ROW(E692),Beräkningshjälp!AC$2:AH$1082,COLUMN(Beräkningshjälp!AF$2)-COLUMN(Beräkningshjälp!AC$2)+1,FALSE),"")</f>
        <v/>
      </c>
      <c r="F693" s="352" t="str">
        <f t="shared" si="21"/>
        <v/>
      </c>
      <c r="G693" s="2" t="str">
        <f>IF(D693&lt;&gt;"",IF(VLOOKUP(VLOOKUP(E693,Beräkningshjälp!O$2:U$60,7,FALSE),Artuppgifter!$I$11:$P$22,8,FALSE)=TRUE,"Medelvikter!!","ALLA"),"")</f>
        <v/>
      </c>
      <c r="H693" s="2" t="str">
        <f>IF(D693&lt;&gt;"",VLOOKUP(ROW(H692),Beräkningshjälp!AC$2:AH$1082,COLUMN(Beräkningshjälp!AH$2)-COLUMN(Beräkningshjälp!AC$2)+1,FALSE),"")</f>
        <v/>
      </c>
      <c r="I693" s="116" t="str">
        <f>IF(D693&lt;&gt;"",VLOOKUP(ROW(E692),Beräkningshjälp!AC$2:AI$1082,COLUMN(Beräkningshjälp!AI$2)-COLUMN(Beräkningshjälp!AC$2)+1,FALSE),"")</f>
        <v/>
      </c>
    </row>
    <row r="694" spans="1:9" x14ac:dyDescent="0.25">
      <c r="A694" s="2" t="str">
        <f t="shared" si="20"/>
        <v/>
      </c>
      <c r="B694" s="136" t="str">
        <f>IF(D694&lt;&gt;"",'DATA TILL SLU'!$J$3,"")</f>
        <v/>
      </c>
      <c r="C694" s="146" t="str">
        <f>IF(D694&lt;&gt;"",'DATA TILL SLU'!$K$3,"")</f>
        <v/>
      </c>
      <c r="D694" s="2" t="str">
        <f>IF('DATA TILL SLU'!$D$7*1&lt;&gt;"",IF(COUNT(Beräkningshjälp!$AC$3:$AC$1082)&gt;=ROW(D693),'DATA TILL SLU'!$D$7*1,""),"")</f>
        <v/>
      </c>
      <c r="E694" s="136" t="str">
        <f>IF(D694&lt;&gt;"",VLOOKUP(ROW(E693),Beräkningshjälp!AC$2:AH$1082,COLUMN(Beräkningshjälp!AF$2)-COLUMN(Beräkningshjälp!AC$2)+1,FALSE),"")</f>
        <v/>
      </c>
      <c r="F694" s="352" t="str">
        <f t="shared" si="21"/>
        <v/>
      </c>
      <c r="G694" s="2" t="str">
        <f>IF(D694&lt;&gt;"",IF(VLOOKUP(VLOOKUP(E694,Beräkningshjälp!O$2:U$60,7,FALSE),Artuppgifter!$I$11:$P$22,8,FALSE)=TRUE,"Medelvikter!!","ALLA"),"")</f>
        <v/>
      </c>
      <c r="H694" s="2" t="str">
        <f>IF(D694&lt;&gt;"",VLOOKUP(ROW(H693),Beräkningshjälp!AC$2:AH$1082,COLUMN(Beräkningshjälp!AH$2)-COLUMN(Beräkningshjälp!AC$2)+1,FALSE),"")</f>
        <v/>
      </c>
      <c r="I694" s="116" t="str">
        <f>IF(D694&lt;&gt;"",VLOOKUP(ROW(E693),Beräkningshjälp!AC$2:AI$1082,COLUMN(Beräkningshjälp!AI$2)-COLUMN(Beräkningshjälp!AC$2)+1,FALSE),"")</f>
        <v/>
      </c>
    </row>
    <row r="695" spans="1:9" x14ac:dyDescent="0.25">
      <c r="A695" s="2" t="str">
        <f t="shared" si="20"/>
        <v/>
      </c>
      <c r="B695" s="136" t="str">
        <f>IF(D695&lt;&gt;"",'DATA TILL SLU'!$J$3,"")</f>
        <v/>
      </c>
      <c r="C695" s="146" t="str">
        <f>IF(D695&lt;&gt;"",'DATA TILL SLU'!$K$3,"")</f>
        <v/>
      </c>
      <c r="D695" s="2" t="str">
        <f>IF('DATA TILL SLU'!$D$7*1&lt;&gt;"",IF(COUNT(Beräkningshjälp!$AC$3:$AC$1082)&gt;=ROW(D694),'DATA TILL SLU'!$D$7*1,""),"")</f>
        <v/>
      </c>
      <c r="E695" s="136" t="str">
        <f>IF(D695&lt;&gt;"",VLOOKUP(ROW(E694),Beräkningshjälp!AC$2:AH$1082,COLUMN(Beräkningshjälp!AF$2)-COLUMN(Beräkningshjälp!AC$2)+1,FALSE),"")</f>
        <v/>
      </c>
      <c r="F695" s="352" t="str">
        <f t="shared" si="21"/>
        <v/>
      </c>
      <c r="G695" s="2" t="str">
        <f>IF(D695&lt;&gt;"",IF(VLOOKUP(VLOOKUP(E695,Beräkningshjälp!O$2:U$60,7,FALSE),Artuppgifter!$I$11:$P$22,8,FALSE)=TRUE,"Medelvikter!!","ALLA"),"")</f>
        <v/>
      </c>
      <c r="H695" s="2" t="str">
        <f>IF(D695&lt;&gt;"",VLOOKUP(ROW(H694),Beräkningshjälp!AC$2:AH$1082,COLUMN(Beräkningshjälp!AH$2)-COLUMN(Beräkningshjälp!AC$2)+1,FALSE),"")</f>
        <v/>
      </c>
      <c r="I695" s="116" t="str">
        <f>IF(D695&lt;&gt;"",VLOOKUP(ROW(E694),Beräkningshjälp!AC$2:AI$1082,COLUMN(Beräkningshjälp!AI$2)-COLUMN(Beräkningshjälp!AC$2)+1,FALSE),"")</f>
        <v/>
      </c>
    </row>
    <row r="696" spans="1:9" x14ac:dyDescent="0.25">
      <c r="A696" s="2" t="str">
        <f t="shared" si="20"/>
        <v/>
      </c>
      <c r="B696" s="136" t="str">
        <f>IF(D696&lt;&gt;"",'DATA TILL SLU'!$J$3,"")</f>
        <v/>
      </c>
      <c r="C696" s="146" t="str">
        <f>IF(D696&lt;&gt;"",'DATA TILL SLU'!$K$3,"")</f>
        <v/>
      </c>
      <c r="D696" s="2" t="str">
        <f>IF('DATA TILL SLU'!$D$7*1&lt;&gt;"",IF(COUNT(Beräkningshjälp!$AC$3:$AC$1082)&gt;=ROW(D695),'DATA TILL SLU'!$D$7*1,""),"")</f>
        <v/>
      </c>
      <c r="E696" s="136" t="str">
        <f>IF(D696&lt;&gt;"",VLOOKUP(ROW(E695),Beräkningshjälp!AC$2:AH$1082,COLUMN(Beräkningshjälp!AF$2)-COLUMN(Beräkningshjälp!AC$2)+1,FALSE),"")</f>
        <v/>
      </c>
      <c r="F696" s="352" t="str">
        <f t="shared" si="21"/>
        <v/>
      </c>
      <c r="G696" s="2" t="str">
        <f>IF(D696&lt;&gt;"",IF(VLOOKUP(VLOOKUP(E696,Beräkningshjälp!O$2:U$60,7,FALSE),Artuppgifter!$I$11:$P$22,8,FALSE)=TRUE,"Medelvikter!!","ALLA"),"")</f>
        <v/>
      </c>
      <c r="H696" s="2" t="str">
        <f>IF(D696&lt;&gt;"",VLOOKUP(ROW(H695),Beräkningshjälp!AC$2:AH$1082,COLUMN(Beräkningshjälp!AH$2)-COLUMN(Beräkningshjälp!AC$2)+1,FALSE),"")</f>
        <v/>
      </c>
      <c r="I696" s="116" t="str">
        <f>IF(D696&lt;&gt;"",VLOOKUP(ROW(E695),Beräkningshjälp!AC$2:AI$1082,COLUMN(Beräkningshjälp!AI$2)-COLUMN(Beräkningshjälp!AC$2)+1,FALSE),"")</f>
        <v/>
      </c>
    </row>
    <row r="697" spans="1:9" x14ac:dyDescent="0.25">
      <c r="A697" s="2" t="str">
        <f t="shared" si="20"/>
        <v/>
      </c>
      <c r="B697" s="136" t="str">
        <f>IF(D697&lt;&gt;"",'DATA TILL SLU'!$J$3,"")</f>
        <v/>
      </c>
      <c r="C697" s="146" t="str">
        <f>IF(D697&lt;&gt;"",'DATA TILL SLU'!$K$3,"")</f>
        <v/>
      </c>
      <c r="D697" s="2" t="str">
        <f>IF('DATA TILL SLU'!$D$7*1&lt;&gt;"",IF(COUNT(Beräkningshjälp!$AC$3:$AC$1082)&gt;=ROW(D696),'DATA TILL SLU'!$D$7*1,""),"")</f>
        <v/>
      </c>
      <c r="E697" s="136" t="str">
        <f>IF(D697&lt;&gt;"",VLOOKUP(ROW(E696),Beräkningshjälp!AC$2:AH$1082,COLUMN(Beräkningshjälp!AF$2)-COLUMN(Beräkningshjälp!AC$2)+1,FALSE),"")</f>
        <v/>
      </c>
      <c r="F697" s="352" t="str">
        <f t="shared" si="21"/>
        <v/>
      </c>
      <c r="G697" s="2" t="str">
        <f>IF(D697&lt;&gt;"",IF(VLOOKUP(VLOOKUP(E697,Beräkningshjälp!O$2:U$60,7,FALSE),Artuppgifter!$I$11:$P$22,8,FALSE)=TRUE,"Medelvikter!!","ALLA"),"")</f>
        <v/>
      </c>
      <c r="H697" s="2" t="str">
        <f>IF(D697&lt;&gt;"",VLOOKUP(ROW(H696),Beräkningshjälp!AC$2:AH$1082,COLUMN(Beräkningshjälp!AH$2)-COLUMN(Beräkningshjälp!AC$2)+1,FALSE),"")</f>
        <v/>
      </c>
      <c r="I697" s="116" t="str">
        <f>IF(D697&lt;&gt;"",VLOOKUP(ROW(E696),Beräkningshjälp!AC$2:AI$1082,COLUMN(Beräkningshjälp!AI$2)-COLUMN(Beräkningshjälp!AC$2)+1,FALSE),"")</f>
        <v/>
      </c>
    </row>
    <row r="698" spans="1:9" x14ac:dyDescent="0.25">
      <c r="A698" s="2" t="str">
        <f t="shared" si="20"/>
        <v/>
      </c>
      <c r="B698" s="136" t="str">
        <f>IF(D698&lt;&gt;"",'DATA TILL SLU'!$J$3,"")</f>
        <v/>
      </c>
      <c r="C698" s="146" t="str">
        <f>IF(D698&lt;&gt;"",'DATA TILL SLU'!$K$3,"")</f>
        <v/>
      </c>
      <c r="D698" s="2" t="str">
        <f>IF('DATA TILL SLU'!$D$7*1&lt;&gt;"",IF(COUNT(Beräkningshjälp!$AC$3:$AC$1082)&gt;=ROW(D697),'DATA TILL SLU'!$D$7*1,""),"")</f>
        <v/>
      </c>
      <c r="E698" s="136" t="str">
        <f>IF(D698&lt;&gt;"",VLOOKUP(ROW(E697),Beräkningshjälp!AC$2:AH$1082,COLUMN(Beräkningshjälp!AF$2)-COLUMN(Beräkningshjälp!AC$2)+1,FALSE),"")</f>
        <v/>
      </c>
      <c r="F698" s="352" t="str">
        <f t="shared" si="21"/>
        <v/>
      </c>
      <c r="G698" s="2" t="str">
        <f>IF(D698&lt;&gt;"",IF(VLOOKUP(VLOOKUP(E698,Beräkningshjälp!O$2:U$60,7,FALSE),Artuppgifter!$I$11:$P$22,8,FALSE)=TRUE,"Medelvikter!!","ALLA"),"")</f>
        <v/>
      </c>
      <c r="H698" s="2" t="str">
        <f>IF(D698&lt;&gt;"",VLOOKUP(ROW(H697),Beräkningshjälp!AC$2:AH$1082,COLUMN(Beräkningshjälp!AH$2)-COLUMN(Beräkningshjälp!AC$2)+1,FALSE),"")</f>
        <v/>
      </c>
      <c r="I698" s="116" t="str">
        <f>IF(D698&lt;&gt;"",VLOOKUP(ROW(E697),Beräkningshjälp!AC$2:AI$1082,COLUMN(Beräkningshjälp!AI$2)-COLUMN(Beräkningshjälp!AC$2)+1,FALSE),"")</f>
        <v/>
      </c>
    </row>
    <row r="699" spans="1:9" x14ac:dyDescent="0.25">
      <c r="A699" s="2" t="str">
        <f t="shared" si="20"/>
        <v/>
      </c>
      <c r="B699" s="136" t="str">
        <f>IF(D699&lt;&gt;"",'DATA TILL SLU'!$J$3,"")</f>
        <v/>
      </c>
      <c r="C699" s="146" t="str">
        <f>IF(D699&lt;&gt;"",'DATA TILL SLU'!$K$3,"")</f>
        <v/>
      </c>
      <c r="D699" s="2" t="str">
        <f>IF('DATA TILL SLU'!$D$7*1&lt;&gt;"",IF(COUNT(Beräkningshjälp!$AC$3:$AC$1082)&gt;=ROW(D698),'DATA TILL SLU'!$D$7*1,""),"")</f>
        <v/>
      </c>
      <c r="E699" s="136" t="str">
        <f>IF(D699&lt;&gt;"",VLOOKUP(ROW(E698),Beräkningshjälp!AC$2:AH$1082,COLUMN(Beräkningshjälp!AF$2)-COLUMN(Beräkningshjälp!AC$2)+1,FALSE),"")</f>
        <v/>
      </c>
      <c r="F699" s="352" t="str">
        <f t="shared" si="21"/>
        <v/>
      </c>
      <c r="G699" s="2" t="str">
        <f>IF(D699&lt;&gt;"",IF(VLOOKUP(VLOOKUP(E699,Beräkningshjälp!O$2:U$60,7,FALSE),Artuppgifter!$I$11:$P$22,8,FALSE)=TRUE,"Medelvikter!!","ALLA"),"")</f>
        <v/>
      </c>
      <c r="H699" s="2" t="str">
        <f>IF(D699&lt;&gt;"",VLOOKUP(ROW(H698),Beräkningshjälp!AC$2:AH$1082,COLUMN(Beräkningshjälp!AH$2)-COLUMN(Beräkningshjälp!AC$2)+1,FALSE),"")</f>
        <v/>
      </c>
      <c r="I699" s="116" t="str">
        <f>IF(D699&lt;&gt;"",VLOOKUP(ROW(E698),Beräkningshjälp!AC$2:AI$1082,COLUMN(Beräkningshjälp!AI$2)-COLUMN(Beräkningshjälp!AC$2)+1,FALSE),"")</f>
        <v/>
      </c>
    </row>
    <row r="700" spans="1:9" x14ac:dyDescent="0.25">
      <c r="A700" s="2" t="str">
        <f t="shared" si="20"/>
        <v/>
      </c>
      <c r="B700" s="136" t="str">
        <f>IF(D700&lt;&gt;"",'DATA TILL SLU'!$J$3,"")</f>
        <v/>
      </c>
      <c r="C700" s="146" t="str">
        <f>IF(D700&lt;&gt;"",'DATA TILL SLU'!$K$3,"")</f>
        <v/>
      </c>
      <c r="D700" s="2" t="str">
        <f>IF('DATA TILL SLU'!$D$7*1&lt;&gt;"",IF(COUNT(Beräkningshjälp!$AC$3:$AC$1082)&gt;=ROW(D699),'DATA TILL SLU'!$D$7*1,""),"")</f>
        <v/>
      </c>
      <c r="E700" s="136" t="str">
        <f>IF(D700&lt;&gt;"",VLOOKUP(ROW(E699),Beräkningshjälp!AC$2:AH$1082,COLUMN(Beräkningshjälp!AF$2)-COLUMN(Beräkningshjälp!AC$2)+1,FALSE),"")</f>
        <v/>
      </c>
      <c r="F700" s="352" t="str">
        <f t="shared" si="21"/>
        <v/>
      </c>
      <c r="G700" s="2" t="str">
        <f>IF(D700&lt;&gt;"",IF(VLOOKUP(VLOOKUP(E700,Beräkningshjälp!O$2:U$60,7,FALSE),Artuppgifter!$I$11:$P$22,8,FALSE)=TRUE,"Medelvikter!!","ALLA"),"")</f>
        <v/>
      </c>
      <c r="H700" s="2" t="str">
        <f>IF(D700&lt;&gt;"",VLOOKUP(ROW(H699),Beräkningshjälp!AC$2:AH$1082,COLUMN(Beräkningshjälp!AH$2)-COLUMN(Beräkningshjälp!AC$2)+1,FALSE),"")</f>
        <v/>
      </c>
      <c r="I700" s="116" t="str">
        <f>IF(D700&lt;&gt;"",VLOOKUP(ROW(E699),Beräkningshjälp!AC$2:AI$1082,COLUMN(Beräkningshjälp!AI$2)-COLUMN(Beräkningshjälp!AC$2)+1,FALSE),"")</f>
        <v/>
      </c>
    </row>
    <row r="701" spans="1:9" x14ac:dyDescent="0.25">
      <c r="A701" s="2" t="str">
        <f t="shared" si="20"/>
        <v/>
      </c>
      <c r="B701" s="136" t="str">
        <f>IF(D701&lt;&gt;"",'DATA TILL SLU'!$J$3,"")</f>
        <v/>
      </c>
      <c r="C701" s="146" t="str">
        <f>IF(D701&lt;&gt;"",'DATA TILL SLU'!$K$3,"")</f>
        <v/>
      </c>
      <c r="D701" s="2" t="str">
        <f>IF('DATA TILL SLU'!$D$7*1&lt;&gt;"",IF(COUNT(Beräkningshjälp!$AC$3:$AC$1082)&gt;=ROW(D700),'DATA TILL SLU'!$D$7*1,""),"")</f>
        <v/>
      </c>
      <c r="E701" s="136" t="str">
        <f>IF(D701&lt;&gt;"",VLOOKUP(ROW(E700),Beräkningshjälp!AC$2:AH$1082,COLUMN(Beräkningshjälp!AF$2)-COLUMN(Beräkningshjälp!AC$2)+1,FALSE),"")</f>
        <v/>
      </c>
      <c r="F701" s="352" t="str">
        <f t="shared" si="21"/>
        <v/>
      </c>
      <c r="G701" s="2" t="str">
        <f>IF(D701&lt;&gt;"",IF(VLOOKUP(VLOOKUP(E701,Beräkningshjälp!O$2:U$60,7,FALSE),Artuppgifter!$I$11:$P$22,8,FALSE)=TRUE,"Medelvikter!!","ALLA"),"")</f>
        <v/>
      </c>
      <c r="H701" s="2" t="str">
        <f>IF(D701&lt;&gt;"",VLOOKUP(ROW(H700),Beräkningshjälp!AC$2:AH$1082,COLUMN(Beräkningshjälp!AH$2)-COLUMN(Beräkningshjälp!AC$2)+1,FALSE),"")</f>
        <v/>
      </c>
      <c r="I701" s="116" t="str">
        <f>IF(D701&lt;&gt;"",VLOOKUP(ROW(E700),Beräkningshjälp!AC$2:AI$1082,COLUMN(Beräkningshjälp!AI$2)-COLUMN(Beräkningshjälp!AC$2)+1,FALSE),"")</f>
        <v/>
      </c>
    </row>
    <row r="702" spans="1:9" x14ac:dyDescent="0.25">
      <c r="A702" s="2" t="str">
        <f t="shared" si="20"/>
        <v/>
      </c>
      <c r="B702" s="136" t="str">
        <f>IF(D702&lt;&gt;"",'DATA TILL SLU'!$J$3,"")</f>
        <v/>
      </c>
      <c r="C702" s="146" t="str">
        <f>IF(D702&lt;&gt;"",'DATA TILL SLU'!$K$3,"")</f>
        <v/>
      </c>
      <c r="D702" s="2" t="str">
        <f>IF('DATA TILL SLU'!$D$7*1&lt;&gt;"",IF(COUNT(Beräkningshjälp!$AC$3:$AC$1082)&gt;=ROW(D701),'DATA TILL SLU'!$D$7*1,""),"")</f>
        <v/>
      </c>
      <c r="E702" s="136" t="str">
        <f>IF(D702&lt;&gt;"",VLOOKUP(ROW(E701),Beräkningshjälp!AC$2:AH$1082,COLUMN(Beräkningshjälp!AF$2)-COLUMN(Beräkningshjälp!AC$2)+1,FALSE),"")</f>
        <v/>
      </c>
      <c r="F702" s="352" t="str">
        <f t="shared" si="21"/>
        <v/>
      </c>
      <c r="G702" s="2" t="str">
        <f>IF(D702&lt;&gt;"",IF(VLOOKUP(VLOOKUP(E702,Beräkningshjälp!O$2:U$60,7,FALSE),Artuppgifter!$I$11:$P$22,8,FALSE)=TRUE,"Medelvikter!!","ALLA"),"")</f>
        <v/>
      </c>
      <c r="H702" s="2" t="str">
        <f>IF(D702&lt;&gt;"",VLOOKUP(ROW(H701),Beräkningshjälp!AC$2:AH$1082,COLUMN(Beräkningshjälp!AH$2)-COLUMN(Beräkningshjälp!AC$2)+1,FALSE),"")</f>
        <v/>
      </c>
      <c r="I702" s="116" t="str">
        <f>IF(D702&lt;&gt;"",VLOOKUP(ROW(E701),Beräkningshjälp!AC$2:AI$1082,COLUMN(Beräkningshjälp!AI$2)-COLUMN(Beräkningshjälp!AC$2)+1,FALSE),"")</f>
        <v/>
      </c>
    </row>
    <row r="703" spans="1:9" x14ac:dyDescent="0.25">
      <c r="A703" s="2" t="str">
        <f t="shared" si="20"/>
        <v/>
      </c>
      <c r="B703" s="136" t="str">
        <f>IF(D703&lt;&gt;"",'DATA TILL SLU'!$J$3,"")</f>
        <v/>
      </c>
      <c r="C703" s="146" t="str">
        <f>IF(D703&lt;&gt;"",'DATA TILL SLU'!$K$3,"")</f>
        <v/>
      </c>
      <c r="D703" s="2" t="str">
        <f>IF('DATA TILL SLU'!$D$7*1&lt;&gt;"",IF(COUNT(Beräkningshjälp!$AC$3:$AC$1082)&gt;=ROW(D702),'DATA TILL SLU'!$D$7*1,""),"")</f>
        <v/>
      </c>
      <c r="E703" s="136" t="str">
        <f>IF(D703&lt;&gt;"",VLOOKUP(ROW(E702),Beräkningshjälp!AC$2:AH$1082,COLUMN(Beräkningshjälp!AF$2)-COLUMN(Beräkningshjälp!AC$2)+1,FALSE),"")</f>
        <v/>
      </c>
      <c r="F703" s="352" t="str">
        <f t="shared" si="21"/>
        <v/>
      </c>
      <c r="G703" s="2" t="str">
        <f>IF(D703&lt;&gt;"",IF(VLOOKUP(VLOOKUP(E703,Beräkningshjälp!O$2:U$60,7,FALSE),Artuppgifter!$I$11:$P$22,8,FALSE)=TRUE,"Medelvikter!!","ALLA"),"")</f>
        <v/>
      </c>
      <c r="H703" s="2" t="str">
        <f>IF(D703&lt;&gt;"",VLOOKUP(ROW(H702),Beräkningshjälp!AC$2:AH$1082,COLUMN(Beräkningshjälp!AH$2)-COLUMN(Beräkningshjälp!AC$2)+1,FALSE),"")</f>
        <v/>
      </c>
      <c r="I703" s="116" t="str">
        <f>IF(D703&lt;&gt;"",VLOOKUP(ROW(E702),Beräkningshjälp!AC$2:AI$1082,COLUMN(Beräkningshjälp!AI$2)-COLUMN(Beräkningshjälp!AC$2)+1,FALSE),"")</f>
        <v/>
      </c>
    </row>
    <row r="704" spans="1:9" x14ac:dyDescent="0.25">
      <c r="A704" s="2" t="str">
        <f t="shared" si="20"/>
        <v/>
      </c>
      <c r="B704" s="136" t="str">
        <f>IF(D704&lt;&gt;"",'DATA TILL SLU'!$J$3,"")</f>
        <v/>
      </c>
      <c r="C704" s="146" t="str">
        <f>IF(D704&lt;&gt;"",'DATA TILL SLU'!$K$3,"")</f>
        <v/>
      </c>
      <c r="D704" s="2" t="str">
        <f>IF('DATA TILL SLU'!$D$7*1&lt;&gt;"",IF(COUNT(Beräkningshjälp!$AC$3:$AC$1082)&gt;=ROW(D703),'DATA TILL SLU'!$D$7*1,""),"")</f>
        <v/>
      </c>
      <c r="E704" s="136" t="str">
        <f>IF(D704&lt;&gt;"",VLOOKUP(ROW(E703),Beräkningshjälp!AC$2:AH$1082,COLUMN(Beräkningshjälp!AF$2)-COLUMN(Beräkningshjälp!AC$2)+1,FALSE),"")</f>
        <v/>
      </c>
      <c r="F704" s="352" t="str">
        <f t="shared" si="21"/>
        <v/>
      </c>
      <c r="G704" s="2" t="str">
        <f>IF(D704&lt;&gt;"",IF(VLOOKUP(VLOOKUP(E704,Beräkningshjälp!O$2:U$60,7,FALSE),Artuppgifter!$I$11:$P$22,8,FALSE)=TRUE,"Medelvikter!!","ALLA"),"")</f>
        <v/>
      </c>
      <c r="H704" s="2" t="str">
        <f>IF(D704&lt;&gt;"",VLOOKUP(ROW(H703),Beräkningshjälp!AC$2:AH$1082,COLUMN(Beräkningshjälp!AH$2)-COLUMN(Beräkningshjälp!AC$2)+1,FALSE),"")</f>
        <v/>
      </c>
      <c r="I704" s="116" t="str">
        <f>IF(D704&lt;&gt;"",VLOOKUP(ROW(E703),Beräkningshjälp!AC$2:AI$1082,COLUMN(Beräkningshjälp!AI$2)-COLUMN(Beräkningshjälp!AC$2)+1,FALSE),"")</f>
        <v/>
      </c>
    </row>
    <row r="705" spans="1:9" x14ac:dyDescent="0.25">
      <c r="A705" s="2" t="str">
        <f t="shared" si="20"/>
        <v/>
      </c>
      <c r="B705" s="136" t="str">
        <f>IF(D705&lt;&gt;"",'DATA TILL SLU'!$J$3,"")</f>
        <v/>
      </c>
      <c r="C705" s="146" t="str">
        <f>IF(D705&lt;&gt;"",'DATA TILL SLU'!$K$3,"")</f>
        <v/>
      </c>
      <c r="D705" s="2" t="str">
        <f>IF('DATA TILL SLU'!$D$7*1&lt;&gt;"",IF(COUNT(Beräkningshjälp!$AC$3:$AC$1082)&gt;=ROW(D704),'DATA TILL SLU'!$D$7*1,""),"")</f>
        <v/>
      </c>
      <c r="E705" s="136" t="str">
        <f>IF(D705&lt;&gt;"",VLOOKUP(ROW(E704),Beräkningshjälp!AC$2:AH$1082,COLUMN(Beräkningshjälp!AF$2)-COLUMN(Beräkningshjälp!AC$2)+1,FALSE),"")</f>
        <v/>
      </c>
      <c r="F705" s="352" t="str">
        <f t="shared" si="21"/>
        <v/>
      </c>
      <c r="G705" s="2" t="str">
        <f>IF(D705&lt;&gt;"",IF(VLOOKUP(VLOOKUP(E705,Beräkningshjälp!O$2:U$60,7,FALSE),Artuppgifter!$I$11:$P$22,8,FALSE)=TRUE,"Medelvikter!!","ALLA"),"")</f>
        <v/>
      </c>
      <c r="H705" s="2" t="str">
        <f>IF(D705&lt;&gt;"",VLOOKUP(ROW(H704),Beräkningshjälp!AC$2:AH$1082,COLUMN(Beräkningshjälp!AH$2)-COLUMN(Beräkningshjälp!AC$2)+1,FALSE),"")</f>
        <v/>
      </c>
      <c r="I705" s="116" t="str">
        <f>IF(D705&lt;&gt;"",VLOOKUP(ROW(E704),Beräkningshjälp!AC$2:AI$1082,COLUMN(Beräkningshjälp!AI$2)-COLUMN(Beräkningshjälp!AC$2)+1,FALSE),"")</f>
        <v/>
      </c>
    </row>
    <row r="706" spans="1:9" x14ac:dyDescent="0.25">
      <c r="A706" s="2" t="str">
        <f t="shared" si="20"/>
        <v/>
      </c>
      <c r="B706" s="136" t="str">
        <f>IF(D706&lt;&gt;"",'DATA TILL SLU'!$J$3,"")</f>
        <v/>
      </c>
      <c r="C706" s="146" t="str">
        <f>IF(D706&lt;&gt;"",'DATA TILL SLU'!$K$3,"")</f>
        <v/>
      </c>
      <c r="D706" s="2" t="str">
        <f>IF('DATA TILL SLU'!$D$7*1&lt;&gt;"",IF(COUNT(Beräkningshjälp!$AC$3:$AC$1082)&gt;=ROW(D705),'DATA TILL SLU'!$D$7*1,""),"")</f>
        <v/>
      </c>
      <c r="E706" s="136" t="str">
        <f>IF(D706&lt;&gt;"",VLOOKUP(ROW(E705),Beräkningshjälp!AC$2:AH$1082,COLUMN(Beräkningshjälp!AF$2)-COLUMN(Beräkningshjälp!AC$2)+1,FALSE),"")</f>
        <v/>
      </c>
      <c r="F706" s="352" t="str">
        <f t="shared" si="21"/>
        <v/>
      </c>
      <c r="G706" s="2" t="str">
        <f>IF(D706&lt;&gt;"",IF(VLOOKUP(VLOOKUP(E706,Beräkningshjälp!O$2:U$60,7,FALSE),Artuppgifter!$I$11:$P$22,8,FALSE)=TRUE,"Medelvikter!!","ALLA"),"")</f>
        <v/>
      </c>
      <c r="H706" s="2" t="str">
        <f>IF(D706&lt;&gt;"",VLOOKUP(ROW(H705),Beräkningshjälp!AC$2:AH$1082,COLUMN(Beräkningshjälp!AH$2)-COLUMN(Beräkningshjälp!AC$2)+1,FALSE),"")</f>
        <v/>
      </c>
      <c r="I706" s="116" t="str">
        <f>IF(D706&lt;&gt;"",VLOOKUP(ROW(E705),Beräkningshjälp!AC$2:AI$1082,COLUMN(Beräkningshjälp!AI$2)-COLUMN(Beräkningshjälp!AC$2)+1,FALSE),"")</f>
        <v/>
      </c>
    </row>
    <row r="707" spans="1:9" x14ac:dyDescent="0.25">
      <c r="A707" s="2" t="str">
        <f t="shared" ref="A707:A770" si="22">IF(D707&lt;&gt;"","LANGDVIKTER","")</f>
        <v/>
      </c>
      <c r="B707" s="136" t="str">
        <f>IF(D707&lt;&gt;"",'DATA TILL SLU'!$J$3,"")</f>
        <v/>
      </c>
      <c r="C707" s="146" t="str">
        <f>IF(D707&lt;&gt;"",'DATA TILL SLU'!$K$3,"")</f>
        <v/>
      </c>
      <c r="D707" s="2" t="str">
        <f>IF('DATA TILL SLU'!$D$7*1&lt;&gt;"",IF(COUNT(Beräkningshjälp!$AC$3:$AC$1082)&gt;=ROW(D706),'DATA TILL SLU'!$D$7*1,""),"")</f>
        <v/>
      </c>
      <c r="E707" s="136" t="str">
        <f>IF(D707&lt;&gt;"",VLOOKUP(ROW(E706),Beräkningshjälp!AC$2:AH$1082,COLUMN(Beräkningshjälp!AF$2)-COLUMN(Beräkningshjälp!AC$2)+1,FALSE),"")</f>
        <v/>
      </c>
      <c r="F707" s="352" t="str">
        <f t="shared" ref="F707:F770" si="23">IF(D707&lt;&gt;"","IND","")</f>
        <v/>
      </c>
      <c r="G707" s="2" t="str">
        <f>IF(D707&lt;&gt;"",IF(VLOOKUP(VLOOKUP(E707,Beräkningshjälp!O$2:U$60,7,FALSE),Artuppgifter!$I$11:$P$22,8,FALSE)=TRUE,"Medelvikter!!","ALLA"),"")</f>
        <v/>
      </c>
      <c r="H707" s="2" t="str">
        <f>IF(D707&lt;&gt;"",VLOOKUP(ROW(H706),Beräkningshjälp!AC$2:AH$1082,COLUMN(Beräkningshjälp!AH$2)-COLUMN(Beräkningshjälp!AC$2)+1,FALSE),"")</f>
        <v/>
      </c>
      <c r="I707" s="116" t="str">
        <f>IF(D707&lt;&gt;"",VLOOKUP(ROW(E706),Beräkningshjälp!AC$2:AI$1082,COLUMN(Beräkningshjälp!AI$2)-COLUMN(Beräkningshjälp!AC$2)+1,FALSE),"")</f>
        <v/>
      </c>
    </row>
    <row r="708" spans="1:9" x14ac:dyDescent="0.25">
      <c r="A708" s="2" t="str">
        <f t="shared" si="22"/>
        <v/>
      </c>
      <c r="B708" s="136" t="str">
        <f>IF(D708&lt;&gt;"",'DATA TILL SLU'!$J$3,"")</f>
        <v/>
      </c>
      <c r="C708" s="146" t="str">
        <f>IF(D708&lt;&gt;"",'DATA TILL SLU'!$K$3,"")</f>
        <v/>
      </c>
      <c r="D708" s="2" t="str">
        <f>IF('DATA TILL SLU'!$D$7*1&lt;&gt;"",IF(COUNT(Beräkningshjälp!$AC$3:$AC$1082)&gt;=ROW(D707),'DATA TILL SLU'!$D$7*1,""),"")</f>
        <v/>
      </c>
      <c r="E708" s="136" t="str">
        <f>IF(D708&lt;&gt;"",VLOOKUP(ROW(E707),Beräkningshjälp!AC$2:AH$1082,COLUMN(Beräkningshjälp!AF$2)-COLUMN(Beräkningshjälp!AC$2)+1,FALSE),"")</f>
        <v/>
      </c>
      <c r="F708" s="352" t="str">
        <f t="shared" si="23"/>
        <v/>
      </c>
      <c r="G708" s="2" t="str">
        <f>IF(D708&lt;&gt;"",IF(VLOOKUP(VLOOKUP(E708,Beräkningshjälp!O$2:U$60,7,FALSE),Artuppgifter!$I$11:$P$22,8,FALSE)=TRUE,"Medelvikter!!","ALLA"),"")</f>
        <v/>
      </c>
      <c r="H708" s="2" t="str">
        <f>IF(D708&lt;&gt;"",VLOOKUP(ROW(H707),Beräkningshjälp!AC$2:AH$1082,COLUMN(Beräkningshjälp!AH$2)-COLUMN(Beräkningshjälp!AC$2)+1,FALSE),"")</f>
        <v/>
      </c>
      <c r="I708" s="116" t="str">
        <f>IF(D708&lt;&gt;"",VLOOKUP(ROW(E707),Beräkningshjälp!AC$2:AI$1082,COLUMN(Beräkningshjälp!AI$2)-COLUMN(Beräkningshjälp!AC$2)+1,FALSE),"")</f>
        <v/>
      </c>
    </row>
    <row r="709" spans="1:9" x14ac:dyDescent="0.25">
      <c r="A709" s="2" t="str">
        <f t="shared" si="22"/>
        <v/>
      </c>
      <c r="B709" s="136" t="str">
        <f>IF(D709&lt;&gt;"",'DATA TILL SLU'!$J$3,"")</f>
        <v/>
      </c>
      <c r="C709" s="146" t="str">
        <f>IF(D709&lt;&gt;"",'DATA TILL SLU'!$K$3,"")</f>
        <v/>
      </c>
      <c r="D709" s="2" t="str">
        <f>IF('DATA TILL SLU'!$D$7*1&lt;&gt;"",IF(COUNT(Beräkningshjälp!$AC$3:$AC$1082)&gt;=ROW(D708),'DATA TILL SLU'!$D$7*1,""),"")</f>
        <v/>
      </c>
      <c r="E709" s="136" t="str">
        <f>IF(D709&lt;&gt;"",VLOOKUP(ROW(E708),Beräkningshjälp!AC$2:AH$1082,COLUMN(Beräkningshjälp!AF$2)-COLUMN(Beräkningshjälp!AC$2)+1,FALSE),"")</f>
        <v/>
      </c>
      <c r="F709" s="352" t="str">
        <f t="shared" si="23"/>
        <v/>
      </c>
      <c r="G709" s="2" t="str">
        <f>IF(D709&lt;&gt;"",IF(VLOOKUP(VLOOKUP(E709,Beräkningshjälp!O$2:U$60,7,FALSE),Artuppgifter!$I$11:$P$22,8,FALSE)=TRUE,"Medelvikter!!","ALLA"),"")</f>
        <v/>
      </c>
      <c r="H709" s="2" t="str">
        <f>IF(D709&lt;&gt;"",VLOOKUP(ROW(H708),Beräkningshjälp!AC$2:AH$1082,COLUMN(Beräkningshjälp!AH$2)-COLUMN(Beräkningshjälp!AC$2)+1,FALSE),"")</f>
        <v/>
      </c>
      <c r="I709" s="116" t="str">
        <f>IF(D709&lt;&gt;"",VLOOKUP(ROW(E708),Beräkningshjälp!AC$2:AI$1082,COLUMN(Beräkningshjälp!AI$2)-COLUMN(Beräkningshjälp!AC$2)+1,FALSE),"")</f>
        <v/>
      </c>
    </row>
    <row r="710" spans="1:9" x14ac:dyDescent="0.25">
      <c r="A710" s="2" t="str">
        <f t="shared" si="22"/>
        <v/>
      </c>
      <c r="B710" s="136" t="str">
        <f>IF(D710&lt;&gt;"",'DATA TILL SLU'!$J$3,"")</f>
        <v/>
      </c>
      <c r="C710" s="146" t="str">
        <f>IF(D710&lt;&gt;"",'DATA TILL SLU'!$K$3,"")</f>
        <v/>
      </c>
      <c r="D710" s="2" t="str">
        <f>IF('DATA TILL SLU'!$D$7*1&lt;&gt;"",IF(COUNT(Beräkningshjälp!$AC$3:$AC$1082)&gt;=ROW(D709),'DATA TILL SLU'!$D$7*1,""),"")</f>
        <v/>
      </c>
      <c r="E710" s="136" t="str">
        <f>IF(D710&lt;&gt;"",VLOOKUP(ROW(E709),Beräkningshjälp!AC$2:AH$1082,COLUMN(Beräkningshjälp!AF$2)-COLUMN(Beräkningshjälp!AC$2)+1,FALSE),"")</f>
        <v/>
      </c>
      <c r="F710" s="352" t="str">
        <f t="shared" si="23"/>
        <v/>
      </c>
      <c r="G710" s="2" t="str">
        <f>IF(D710&lt;&gt;"",IF(VLOOKUP(VLOOKUP(E710,Beräkningshjälp!O$2:U$60,7,FALSE),Artuppgifter!$I$11:$P$22,8,FALSE)=TRUE,"Medelvikter!!","ALLA"),"")</f>
        <v/>
      </c>
      <c r="H710" s="2" t="str">
        <f>IF(D710&lt;&gt;"",VLOOKUP(ROW(H709),Beräkningshjälp!AC$2:AH$1082,COLUMN(Beräkningshjälp!AH$2)-COLUMN(Beräkningshjälp!AC$2)+1,FALSE),"")</f>
        <v/>
      </c>
      <c r="I710" s="116" t="str">
        <f>IF(D710&lt;&gt;"",VLOOKUP(ROW(E709),Beräkningshjälp!AC$2:AI$1082,COLUMN(Beräkningshjälp!AI$2)-COLUMN(Beräkningshjälp!AC$2)+1,FALSE),"")</f>
        <v/>
      </c>
    </row>
    <row r="711" spans="1:9" x14ac:dyDescent="0.25">
      <c r="A711" s="2" t="str">
        <f t="shared" si="22"/>
        <v/>
      </c>
      <c r="B711" s="136" t="str">
        <f>IF(D711&lt;&gt;"",'DATA TILL SLU'!$J$3,"")</f>
        <v/>
      </c>
      <c r="C711" s="146" t="str">
        <f>IF(D711&lt;&gt;"",'DATA TILL SLU'!$K$3,"")</f>
        <v/>
      </c>
      <c r="D711" s="2" t="str">
        <f>IF('DATA TILL SLU'!$D$7*1&lt;&gt;"",IF(COUNT(Beräkningshjälp!$AC$3:$AC$1082)&gt;=ROW(D710),'DATA TILL SLU'!$D$7*1,""),"")</f>
        <v/>
      </c>
      <c r="E711" s="136" t="str">
        <f>IF(D711&lt;&gt;"",VLOOKUP(ROW(E710),Beräkningshjälp!AC$2:AH$1082,COLUMN(Beräkningshjälp!AF$2)-COLUMN(Beräkningshjälp!AC$2)+1,FALSE),"")</f>
        <v/>
      </c>
      <c r="F711" s="352" t="str">
        <f t="shared" si="23"/>
        <v/>
      </c>
      <c r="G711" s="2" t="str">
        <f>IF(D711&lt;&gt;"",IF(VLOOKUP(VLOOKUP(E711,Beräkningshjälp!O$2:U$60,7,FALSE),Artuppgifter!$I$11:$P$22,8,FALSE)=TRUE,"Medelvikter!!","ALLA"),"")</f>
        <v/>
      </c>
      <c r="H711" s="2" t="str">
        <f>IF(D711&lt;&gt;"",VLOOKUP(ROW(H710),Beräkningshjälp!AC$2:AH$1082,COLUMN(Beräkningshjälp!AH$2)-COLUMN(Beräkningshjälp!AC$2)+1,FALSE),"")</f>
        <v/>
      </c>
      <c r="I711" s="116" t="str">
        <f>IF(D711&lt;&gt;"",VLOOKUP(ROW(E710),Beräkningshjälp!AC$2:AI$1082,COLUMN(Beräkningshjälp!AI$2)-COLUMN(Beräkningshjälp!AC$2)+1,FALSE),"")</f>
        <v/>
      </c>
    </row>
    <row r="712" spans="1:9" x14ac:dyDescent="0.25">
      <c r="A712" s="2" t="str">
        <f t="shared" si="22"/>
        <v/>
      </c>
      <c r="B712" s="136" t="str">
        <f>IF(D712&lt;&gt;"",'DATA TILL SLU'!$J$3,"")</f>
        <v/>
      </c>
      <c r="C712" s="146" t="str">
        <f>IF(D712&lt;&gt;"",'DATA TILL SLU'!$K$3,"")</f>
        <v/>
      </c>
      <c r="D712" s="2" t="str">
        <f>IF('DATA TILL SLU'!$D$7*1&lt;&gt;"",IF(COUNT(Beräkningshjälp!$AC$3:$AC$1082)&gt;=ROW(D711),'DATA TILL SLU'!$D$7*1,""),"")</f>
        <v/>
      </c>
      <c r="E712" s="136" t="str">
        <f>IF(D712&lt;&gt;"",VLOOKUP(ROW(E711),Beräkningshjälp!AC$2:AH$1082,COLUMN(Beräkningshjälp!AF$2)-COLUMN(Beräkningshjälp!AC$2)+1,FALSE),"")</f>
        <v/>
      </c>
      <c r="F712" s="352" t="str">
        <f t="shared" si="23"/>
        <v/>
      </c>
      <c r="G712" s="2" t="str">
        <f>IF(D712&lt;&gt;"",IF(VLOOKUP(VLOOKUP(E712,Beräkningshjälp!O$2:U$60,7,FALSE),Artuppgifter!$I$11:$P$22,8,FALSE)=TRUE,"Medelvikter!!","ALLA"),"")</f>
        <v/>
      </c>
      <c r="H712" s="2" t="str">
        <f>IF(D712&lt;&gt;"",VLOOKUP(ROW(H711),Beräkningshjälp!AC$2:AH$1082,COLUMN(Beräkningshjälp!AH$2)-COLUMN(Beräkningshjälp!AC$2)+1,FALSE),"")</f>
        <v/>
      </c>
      <c r="I712" s="116" t="str">
        <f>IF(D712&lt;&gt;"",VLOOKUP(ROW(E711),Beräkningshjälp!AC$2:AI$1082,COLUMN(Beräkningshjälp!AI$2)-COLUMN(Beräkningshjälp!AC$2)+1,FALSE),"")</f>
        <v/>
      </c>
    </row>
    <row r="713" spans="1:9" x14ac:dyDescent="0.25">
      <c r="A713" s="2" t="str">
        <f t="shared" si="22"/>
        <v/>
      </c>
      <c r="B713" s="136" t="str">
        <f>IF(D713&lt;&gt;"",'DATA TILL SLU'!$J$3,"")</f>
        <v/>
      </c>
      <c r="C713" s="146" t="str">
        <f>IF(D713&lt;&gt;"",'DATA TILL SLU'!$K$3,"")</f>
        <v/>
      </c>
      <c r="D713" s="2" t="str">
        <f>IF('DATA TILL SLU'!$D$7*1&lt;&gt;"",IF(COUNT(Beräkningshjälp!$AC$3:$AC$1082)&gt;=ROW(D712),'DATA TILL SLU'!$D$7*1,""),"")</f>
        <v/>
      </c>
      <c r="E713" s="136" t="str">
        <f>IF(D713&lt;&gt;"",VLOOKUP(ROW(E712),Beräkningshjälp!AC$2:AH$1082,COLUMN(Beräkningshjälp!AF$2)-COLUMN(Beräkningshjälp!AC$2)+1,FALSE),"")</f>
        <v/>
      </c>
      <c r="F713" s="352" t="str">
        <f t="shared" si="23"/>
        <v/>
      </c>
      <c r="G713" s="2" t="str">
        <f>IF(D713&lt;&gt;"",IF(VLOOKUP(VLOOKUP(E713,Beräkningshjälp!O$2:U$60,7,FALSE),Artuppgifter!$I$11:$P$22,8,FALSE)=TRUE,"Medelvikter!!","ALLA"),"")</f>
        <v/>
      </c>
      <c r="H713" s="2" t="str">
        <f>IF(D713&lt;&gt;"",VLOOKUP(ROW(H712),Beräkningshjälp!AC$2:AH$1082,COLUMN(Beräkningshjälp!AH$2)-COLUMN(Beräkningshjälp!AC$2)+1,FALSE),"")</f>
        <v/>
      </c>
      <c r="I713" s="116" t="str">
        <f>IF(D713&lt;&gt;"",VLOOKUP(ROW(E712),Beräkningshjälp!AC$2:AI$1082,COLUMN(Beräkningshjälp!AI$2)-COLUMN(Beräkningshjälp!AC$2)+1,FALSE),"")</f>
        <v/>
      </c>
    </row>
    <row r="714" spans="1:9" x14ac:dyDescent="0.25">
      <c r="A714" s="2" t="str">
        <f t="shared" si="22"/>
        <v/>
      </c>
      <c r="B714" s="136" t="str">
        <f>IF(D714&lt;&gt;"",'DATA TILL SLU'!$J$3,"")</f>
        <v/>
      </c>
      <c r="C714" s="146" t="str">
        <f>IF(D714&lt;&gt;"",'DATA TILL SLU'!$K$3,"")</f>
        <v/>
      </c>
      <c r="D714" s="2" t="str">
        <f>IF('DATA TILL SLU'!$D$7*1&lt;&gt;"",IF(COUNT(Beräkningshjälp!$AC$3:$AC$1082)&gt;=ROW(D713),'DATA TILL SLU'!$D$7*1,""),"")</f>
        <v/>
      </c>
      <c r="E714" s="136" t="str">
        <f>IF(D714&lt;&gt;"",VLOOKUP(ROW(E713),Beräkningshjälp!AC$2:AH$1082,COLUMN(Beräkningshjälp!AF$2)-COLUMN(Beräkningshjälp!AC$2)+1,FALSE),"")</f>
        <v/>
      </c>
      <c r="F714" s="352" t="str">
        <f t="shared" si="23"/>
        <v/>
      </c>
      <c r="G714" s="2" t="str">
        <f>IF(D714&lt;&gt;"",IF(VLOOKUP(VLOOKUP(E714,Beräkningshjälp!O$2:U$60,7,FALSE),Artuppgifter!$I$11:$P$22,8,FALSE)=TRUE,"Medelvikter!!","ALLA"),"")</f>
        <v/>
      </c>
      <c r="H714" s="2" t="str">
        <f>IF(D714&lt;&gt;"",VLOOKUP(ROW(H713),Beräkningshjälp!AC$2:AH$1082,COLUMN(Beräkningshjälp!AH$2)-COLUMN(Beräkningshjälp!AC$2)+1,FALSE),"")</f>
        <v/>
      </c>
      <c r="I714" s="116" t="str">
        <f>IF(D714&lt;&gt;"",VLOOKUP(ROW(E713),Beräkningshjälp!AC$2:AI$1082,COLUMN(Beräkningshjälp!AI$2)-COLUMN(Beräkningshjälp!AC$2)+1,FALSE),"")</f>
        <v/>
      </c>
    </row>
    <row r="715" spans="1:9" x14ac:dyDescent="0.25">
      <c r="A715" s="2" t="str">
        <f t="shared" si="22"/>
        <v/>
      </c>
      <c r="B715" s="136" t="str">
        <f>IF(D715&lt;&gt;"",'DATA TILL SLU'!$J$3,"")</f>
        <v/>
      </c>
      <c r="C715" s="146" t="str">
        <f>IF(D715&lt;&gt;"",'DATA TILL SLU'!$K$3,"")</f>
        <v/>
      </c>
      <c r="D715" s="2" t="str">
        <f>IF('DATA TILL SLU'!$D$7*1&lt;&gt;"",IF(COUNT(Beräkningshjälp!$AC$3:$AC$1082)&gt;=ROW(D714),'DATA TILL SLU'!$D$7*1,""),"")</f>
        <v/>
      </c>
      <c r="E715" s="136" t="str">
        <f>IF(D715&lt;&gt;"",VLOOKUP(ROW(E714),Beräkningshjälp!AC$2:AH$1082,COLUMN(Beräkningshjälp!AF$2)-COLUMN(Beräkningshjälp!AC$2)+1,FALSE),"")</f>
        <v/>
      </c>
      <c r="F715" s="352" t="str">
        <f t="shared" si="23"/>
        <v/>
      </c>
      <c r="G715" s="2" t="str">
        <f>IF(D715&lt;&gt;"",IF(VLOOKUP(VLOOKUP(E715,Beräkningshjälp!O$2:U$60,7,FALSE),Artuppgifter!$I$11:$P$22,8,FALSE)=TRUE,"Medelvikter!!","ALLA"),"")</f>
        <v/>
      </c>
      <c r="H715" s="2" t="str">
        <f>IF(D715&lt;&gt;"",VLOOKUP(ROW(H714),Beräkningshjälp!AC$2:AH$1082,COLUMN(Beräkningshjälp!AH$2)-COLUMN(Beräkningshjälp!AC$2)+1,FALSE),"")</f>
        <v/>
      </c>
      <c r="I715" s="116" t="str">
        <f>IF(D715&lt;&gt;"",VLOOKUP(ROW(E714),Beräkningshjälp!AC$2:AI$1082,COLUMN(Beräkningshjälp!AI$2)-COLUMN(Beräkningshjälp!AC$2)+1,FALSE),"")</f>
        <v/>
      </c>
    </row>
    <row r="716" spans="1:9" x14ac:dyDescent="0.25">
      <c r="A716" s="2" t="str">
        <f t="shared" si="22"/>
        <v/>
      </c>
      <c r="B716" s="136" t="str">
        <f>IF(D716&lt;&gt;"",'DATA TILL SLU'!$J$3,"")</f>
        <v/>
      </c>
      <c r="C716" s="146" t="str">
        <f>IF(D716&lt;&gt;"",'DATA TILL SLU'!$K$3,"")</f>
        <v/>
      </c>
      <c r="D716" s="2" t="str">
        <f>IF('DATA TILL SLU'!$D$7*1&lt;&gt;"",IF(COUNT(Beräkningshjälp!$AC$3:$AC$1082)&gt;=ROW(D715),'DATA TILL SLU'!$D$7*1,""),"")</f>
        <v/>
      </c>
      <c r="E716" s="136" t="str">
        <f>IF(D716&lt;&gt;"",VLOOKUP(ROW(E715),Beräkningshjälp!AC$2:AH$1082,COLUMN(Beräkningshjälp!AF$2)-COLUMN(Beräkningshjälp!AC$2)+1,FALSE),"")</f>
        <v/>
      </c>
      <c r="F716" s="352" t="str">
        <f t="shared" si="23"/>
        <v/>
      </c>
      <c r="G716" s="2" t="str">
        <f>IF(D716&lt;&gt;"",IF(VLOOKUP(VLOOKUP(E716,Beräkningshjälp!O$2:U$60,7,FALSE),Artuppgifter!$I$11:$P$22,8,FALSE)=TRUE,"Medelvikter!!","ALLA"),"")</f>
        <v/>
      </c>
      <c r="H716" s="2" t="str">
        <f>IF(D716&lt;&gt;"",VLOOKUP(ROW(H715),Beräkningshjälp!AC$2:AH$1082,COLUMN(Beräkningshjälp!AH$2)-COLUMN(Beräkningshjälp!AC$2)+1,FALSE),"")</f>
        <v/>
      </c>
      <c r="I716" s="116" t="str">
        <f>IF(D716&lt;&gt;"",VLOOKUP(ROW(E715),Beräkningshjälp!AC$2:AI$1082,COLUMN(Beräkningshjälp!AI$2)-COLUMN(Beräkningshjälp!AC$2)+1,FALSE),"")</f>
        <v/>
      </c>
    </row>
    <row r="717" spans="1:9" x14ac:dyDescent="0.25">
      <c r="A717" s="2" t="str">
        <f t="shared" si="22"/>
        <v/>
      </c>
      <c r="B717" s="136" t="str">
        <f>IF(D717&lt;&gt;"",'DATA TILL SLU'!$J$3,"")</f>
        <v/>
      </c>
      <c r="C717" s="146" t="str">
        <f>IF(D717&lt;&gt;"",'DATA TILL SLU'!$K$3,"")</f>
        <v/>
      </c>
      <c r="D717" s="2" t="str">
        <f>IF('DATA TILL SLU'!$D$7*1&lt;&gt;"",IF(COUNT(Beräkningshjälp!$AC$3:$AC$1082)&gt;=ROW(D716),'DATA TILL SLU'!$D$7*1,""),"")</f>
        <v/>
      </c>
      <c r="E717" s="136" t="str">
        <f>IF(D717&lt;&gt;"",VLOOKUP(ROW(E716),Beräkningshjälp!AC$2:AH$1082,COLUMN(Beräkningshjälp!AF$2)-COLUMN(Beräkningshjälp!AC$2)+1,FALSE),"")</f>
        <v/>
      </c>
      <c r="F717" s="352" t="str">
        <f t="shared" si="23"/>
        <v/>
      </c>
      <c r="G717" s="2" t="str">
        <f>IF(D717&lt;&gt;"",IF(VLOOKUP(VLOOKUP(E717,Beräkningshjälp!O$2:U$60,7,FALSE),Artuppgifter!$I$11:$P$22,8,FALSE)=TRUE,"Medelvikter!!","ALLA"),"")</f>
        <v/>
      </c>
      <c r="H717" s="2" t="str">
        <f>IF(D717&lt;&gt;"",VLOOKUP(ROW(H716),Beräkningshjälp!AC$2:AH$1082,COLUMN(Beräkningshjälp!AH$2)-COLUMN(Beräkningshjälp!AC$2)+1,FALSE),"")</f>
        <v/>
      </c>
      <c r="I717" s="116" t="str">
        <f>IF(D717&lt;&gt;"",VLOOKUP(ROW(E716),Beräkningshjälp!AC$2:AI$1082,COLUMN(Beräkningshjälp!AI$2)-COLUMN(Beräkningshjälp!AC$2)+1,FALSE),"")</f>
        <v/>
      </c>
    </row>
    <row r="718" spans="1:9" x14ac:dyDescent="0.25">
      <c r="A718" s="2" t="str">
        <f t="shared" si="22"/>
        <v/>
      </c>
      <c r="B718" s="136" t="str">
        <f>IF(D718&lt;&gt;"",'DATA TILL SLU'!$J$3,"")</f>
        <v/>
      </c>
      <c r="C718" s="146" t="str">
        <f>IF(D718&lt;&gt;"",'DATA TILL SLU'!$K$3,"")</f>
        <v/>
      </c>
      <c r="D718" s="2" t="str">
        <f>IF('DATA TILL SLU'!$D$7*1&lt;&gt;"",IF(COUNT(Beräkningshjälp!$AC$3:$AC$1082)&gt;=ROW(D717),'DATA TILL SLU'!$D$7*1,""),"")</f>
        <v/>
      </c>
      <c r="E718" s="136" t="str">
        <f>IF(D718&lt;&gt;"",VLOOKUP(ROW(E717),Beräkningshjälp!AC$2:AH$1082,COLUMN(Beräkningshjälp!AF$2)-COLUMN(Beräkningshjälp!AC$2)+1,FALSE),"")</f>
        <v/>
      </c>
      <c r="F718" s="352" t="str">
        <f t="shared" si="23"/>
        <v/>
      </c>
      <c r="G718" s="2" t="str">
        <f>IF(D718&lt;&gt;"",IF(VLOOKUP(VLOOKUP(E718,Beräkningshjälp!O$2:U$60,7,FALSE),Artuppgifter!$I$11:$P$22,8,FALSE)=TRUE,"Medelvikter!!","ALLA"),"")</f>
        <v/>
      </c>
      <c r="H718" s="2" t="str">
        <f>IF(D718&lt;&gt;"",VLOOKUP(ROW(H717),Beräkningshjälp!AC$2:AH$1082,COLUMN(Beräkningshjälp!AH$2)-COLUMN(Beräkningshjälp!AC$2)+1,FALSE),"")</f>
        <v/>
      </c>
      <c r="I718" s="116" t="str">
        <f>IF(D718&lt;&gt;"",VLOOKUP(ROW(E717),Beräkningshjälp!AC$2:AI$1082,COLUMN(Beräkningshjälp!AI$2)-COLUMN(Beräkningshjälp!AC$2)+1,FALSE),"")</f>
        <v/>
      </c>
    </row>
    <row r="719" spans="1:9" x14ac:dyDescent="0.25">
      <c r="A719" s="2" t="str">
        <f t="shared" si="22"/>
        <v/>
      </c>
      <c r="B719" s="136" t="str">
        <f>IF(D719&lt;&gt;"",'DATA TILL SLU'!$J$3,"")</f>
        <v/>
      </c>
      <c r="C719" s="146" t="str">
        <f>IF(D719&lt;&gt;"",'DATA TILL SLU'!$K$3,"")</f>
        <v/>
      </c>
      <c r="D719" s="2" t="str">
        <f>IF('DATA TILL SLU'!$D$7*1&lt;&gt;"",IF(COUNT(Beräkningshjälp!$AC$3:$AC$1082)&gt;=ROW(D718),'DATA TILL SLU'!$D$7*1,""),"")</f>
        <v/>
      </c>
      <c r="E719" s="136" t="str">
        <f>IF(D719&lt;&gt;"",VLOOKUP(ROW(E718),Beräkningshjälp!AC$2:AH$1082,COLUMN(Beräkningshjälp!AF$2)-COLUMN(Beräkningshjälp!AC$2)+1,FALSE),"")</f>
        <v/>
      </c>
      <c r="F719" s="352" t="str">
        <f t="shared" si="23"/>
        <v/>
      </c>
      <c r="G719" s="2" t="str">
        <f>IF(D719&lt;&gt;"",IF(VLOOKUP(VLOOKUP(E719,Beräkningshjälp!O$2:U$60,7,FALSE),Artuppgifter!$I$11:$P$22,8,FALSE)=TRUE,"Medelvikter!!","ALLA"),"")</f>
        <v/>
      </c>
      <c r="H719" s="2" t="str">
        <f>IF(D719&lt;&gt;"",VLOOKUP(ROW(H718),Beräkningshjälp!AC$2:AH$1082,COLUMN(Beräkningshjälp!AH$2)-COLUMN(Beräkningshjälp!AC$2)+1,FALSE),"")</f>
        <v/>
      </c>
      <c r="I719" s="116" t="str">
        <f>IF(D719&lt;&gt;"",VLOOKUP(ROW(E718),Beräkningshjälp!AC$2:AI$1082,COLUMN(Beräkningshjälp!AI$2)-COLUMN(Beräkningshjälp!AC$2)+1,FALSE),"")</f>
        <v/>
      </c>
    </row>
    <row r="720" spans="1:9" x14ac:dyDescent="0.25">
      <c r="A720" s="2" t="str">
        <f t="shared" si="22"/>
        <v/>
      </c>
      <c r="B720" s="136" t="str">
        <f>IF(D720&lt;&gt;"",'DATA TILL SLU'!$J$3,"")</f>
        <v/>
      </c>
      <c r="C720" s="146" t="str">
        <f>IF(D720&lt;&gt;"",'DATA TILL SLU'!$K$3,"")</f>
        <v/>
      </c>
      <c r="D720" s="2" t="str">
        <f>IF('DATA TILL SLU'!$D$7*1&lt;&gt;"",IF(COUNT(Beräkningshjälp!$AC$3:$AC$1082)&gt;=ROW(D719),'DATA TILL SLU'!$D$7*1,""),"")</f>
        <v/>
      </c>
      <c r="E720" s="136" t="str">
        <f>IF(D720&lt;&gt;"",VLOOKUP(ROW(E719),Beräkningshjälp!AC$2:AH$1082,COLUMN(Beräkningshjälp!AF$2)-COLUMN(Beräkningshjälp!AC$2)+1,FALSE),"")</f>
        <v/>
      </c>
      <c r="F720" s="352" t="str">
        <f t="shared" si="23"/>
        <v/>
      </c>
      <c r="G720" s="2" t="str">
        <f>IF(D720&lt;&gt;"",IF(VLOOKUP(VLOOKUP(E720,Beräkningshjälp!O$2:U$60,7,FALSE),Artuppgifter!$I$11:$P$22,8,FALSE)=TRUE,"Medelvikter!!","ALLA"),"")</f>
        <v/>
      </c>
      <c r="H720" s="2" t="str">
        <f>IF(D720&lt;&gt;"",VLOOKUP(ROW(H719),Beräkningshjälp!AC$2:AH$1082,COLUMN(Beräkningshjälp!AH$2)-COLUMN(Beräkningshjälp!AC$2)+1,FALSE),"")</f>
        <v/>
      </c>
      <c r="I720" s="116" t="str">
        <f>IF(D720&lt;&gt;"",VLOOKUP(ROW(E719),Beräkningshjälp!AC$2:AI$1082,COLUMN(Beräkningshjälp!AI$2)-COLUMN(Beräkningshjälp!AC$2)+1,FALSE),"")</f>
        <v/>
      </c>
    </row>
    <row r="721" spans="1:9" x14ac:dyDescent="0.25">
      <c r="A721" s="2" t="str">
        <f t="shared" si="22"/>
        <v/>
      </c>
      <c r="B721" s="136" t="str">
        <f>IF(D721&lt;&gt;"",'DATA TILL SLU'!$J$3,"")</f>
        <v/>
      </c>
      <c r="C721" s="146" t="str">
        <f>IF(D721&lt;&gt;"",'DATA TILL SLU'!$K$3,"")</f>
        <v/>
      </c>
      <c r="D721" s="2" t="str">
        <f>IF('DATA TILL SLU'!$D$7*1&lt;&gt;"",IF(COUNT(Beräkningshjälp!$AC$3:$AC$1082)&gt;=ROW(D720),'DATA TILL SLU'!$D$7*1,""),"")</f>
        <v/>
      </c>
      <c r="E721" s="136" t="str">
        <f>IF(D721&lt;&gt;"",VLOOKUP(ROW(E720),Beräkningshjälp!AC$2:AH$1082,COLUMN(Beräkningshjälp!AF$2)-COLUMN(Beräkningshjälp!AC$2)+1,FALSE),"")</f>
        <v/>
      </c>
      <c r="F721" s="352" t="str">
        <f t="shared" si="23"/>
        <v/>
      </c>
      <c r="G721" s="2" t="str">
        <f>IF(D721&lt;&gt;"",IF(VLOOKUP(VLOOKUP(E721,Beräkningshjälp!O$2:U$60,7,FALSE),Artuppgifter!$I$11:$P$22,8,FALSE)=TRUE,"Medelvikter!!","ALLA"),"")</f>
        <v/>
      </c>
      <c r="H721" s="2" t="str">
        <f>IF(D721&lt;&gt;"",VLOOKUP(ROW(H720),Beräkningshjälp!AC$2:AH$1082,COLUMN(Beräkningshjälp!AH$2)-COLUMN(Beräkningshjälp!AC$2)+1,FALSE),"")</f>
        <v/>
      </c>
      <c r="I721" s="116" t="str">
        <f>IF(D721&lt;&gt;"",VLOOKUP(ROW(E720),Beräkningshjälp!AC$2:AI$1082,COLUMN(Beräkningshjälp!AI$2)-COLUMN(Beräkningshjälp!AC$2)+1,FALSE),"")</f>
        <v/>
      </c>
    </row>
    <row r="722" spans="1:9" x14ac:dyDescent="0.25">
      <c r="A722" s="2" t="str">
        <f t="shared" si="22"/>
        <v/>
      </c>
      <c r="B722" s="136" t="str">
        <f>IF(D722&lt;&gt;"",'DATA TILL SLU'!$J$3,"")</f>
        <v/>
      </c>
      <c r="C722" s="146" t="str">
        <f>IF(D722&lt;&gt;"",'DATA TILL SLU'!$K$3,"")</f>
        <v/>
      </c>
      <c r="D722" s="2" t="str">
        <f>IF('DATA TILL SLU'!$D$7*1&lt;&gt;"",IF(COUNT(Beräkningshjälp!$AC$3:$AC$1082)&gt;=ROW(D721),'DATA TILL SLU'!$D$7*1,""),"")</f>
        <v/>
      </c>
      <c r="E722" s="136" t="str">
        <f>IF(D722&lt;&gt;"",VLOOKUP(ROW(E721),Beräkningshjälp!AC$2:AH$1082,COLUMN(Beräkningshjälp!AF$2)-COLUMN(Beräkningshjälp!AC$2)+1,FALSE),"")</f>
        <v/>
      </c>
      <c r="F722" s="352" t="str">
        <f t="shared" si="23"/>
        <v/>
      </c>
      <c r="G722" s="2" t="str">
        <f>IF(D722&lt;&gt;"",IF(VLOOKUP(VLOOKUP(E722,Beräkningshjälp!O$2:U$60,7,FALSE),Artuppgifter!$I$11:$P$22,8,FALSE)=TRUE,"Medelvikter!!","ALLA"),"")</f>
        <v/>
      </c>
      <c r="H722" s="2" t="str">
        <f>IF(D722&lt;&gt;"",VLOOKUP(ROW(H721),Beräkningshjälp!AC$2:AH$1082,COLUMN(Beräkningshjälp!AH$2)-COLUMN(Beräkningshjälp!AC$2)+1,FALSE),"")</f>
        <v/>
      </c>
      <c r="I722" s="116" t="str">
        <f>IF(D722&lt;&gt;"",VLOOKUP(ROW(E721),Beräkningshjälp!AC$2:AI$1082,COLUMN(Beräkningshjälp!AI$2)-COLUMN(Beräkningshjälp!AC$2)+1,FALSE),"")</f>
        <v/>
      </c>
    </row>
    <row r="723" spans="1:9" x14ac:dyDescent="0.25">
      <c r="A723" s="2" t="str">
        <f t="shared" si="22"/>
        <v/>
      </c>
      <c r="B723" s="136" t="str">
        <f>IF(D723&lt;&gt;"",'DATA TILL SLU'!$J$3,"")</f>
        <v/>
      </c>
      <c r="C723" s="146" t="str">
        <f>IF(D723&lt;&gt;"",'DATA TILL SLU'!$K$3,"")</f>
        <v/>
      </c>
      <c r="D723" s="2" t="str">
        <f>IF('DATA TILL SLU'!$D$7*1&lt;&gt;"",IF(COUNT(Beräkningshjälp!$AC$3:$AC$1082)&gt;=ROW(D722),'DATA TILL SLU'!$D$7*1,""),"")</f>
        <v/>
      </c>
      <c r="E723" s="136" t="str">
        <f>IF(D723&lt;&gt;"",VLOOKUP(ROW(E722),Beräkningshjälp!AC$2:AH$1082,COLUMN(Beräkningshjälp!AF$2)-COLUMN(Beräkningshjälp!AC$2)+1,FALSE),"")</f>
        <v/>
      </c>
      <c r="F723" s="352" t="str">
        <f t="shared" si="23"/>
        <v/>
      </c>
      <c r="G723" s="2" t="str">
        <f>IF(D723&lt;&gt;"",IF(VLOOKUP(VLOOKUP(E723,Beräkningshjälp!O$2:U$60,7,FALSE),Artuppgifter!$I$11:$P$22,8,FALSE)=TRUE,"Medelvikter!!","ALLA"),"")</f>
        <v/>
      </c>
      <c r="H723" s="2" t="str">
        <f>IF(D723&lt;&gt;"",VLOOKUP(ROW(H722),Beräkningshjälp!AC$2:AH$1082,COLUMN(Beräkningshjälp!AH$2)-COLUMN(Beräkningshjälp!AC$2)+1,FALSE),"")</f>
        <v/>
      </c>
      <c r="I723" s="116" t="str">
        <f>IF(D723&lt;&gt;"",VLOOKUP(ROW(E722),Beräkningshjälp!AC$2:AI$1082,COLUMN(Beräkningshjälp!AI$2)-COLUMN(Beräkningshjälp!AC$2)+1,FALSE),"")</f>
        <v/>
      </c>
    </row>
    <row r="724" spans="1:9" x14ac:dyDescent="0.25">
      <c r="A724" s="2" t="str">
        <f t="shared" si="22"/>
        <v/>
      </c>
      <c r="B724" s="136" t="str">
        <f>IF(D724&lt;&gt;"",'DATA TILL SLU'!$J$3,"")</f>
        <v/>
      </c>
      <c r="C724" s="146" t="str">
        <f>IF(D724&lt;&gt;"",'DATA TILL SLU'!$K$3,"")</f>
        <v/>
      </c>
      <c r="D724" s="2" t="str">
        <f>IF('DATA TILL SLU'!$D$7*1&lt;&gt;"",IF(COUNT(Beräkningshjälp!$AC$3:$AC$1082)&gt;=ROW(D723),'DATA TILL SLU'!$D$7*1,""),"")</f>
        <v/>
      </c>
      <c r="E724" s="136" t="str">
        <f>IF(D724&lt;&gt;"",VLOOKUP(ROW(E723),Beräkningshjälp!AC$2:AH$1082,COLUMN(Beräkningshjälp!AF$2)-COLUMN(Beräkningshjälp!AC$2)+1,FALSE),"")</f>
        <v/>
      </c>
      <c r="F724" s="352" t="str">
        <f t="shared" si="23"/>
        <v/>
      </c>
      <c r="G724" s="2" t="str">
        <f>IF(D724&lt;&gt;"",IF(VLOOKUP(VLOOKUP(E724,Beräkningshjälp!O$2:U$60,7,FALSE),Artuppgifter!$I$11:$P$22,8,FALSE)=TRUE,"Medelvikter!!","ALLA"),"")</f>
        <v/>
      </c>
      <c r="H724" s="2" t="str">
        <f>IF(D724&lt;&gt;"",VLOOKUP(ROW(H723),Beräkningshjälp!AC$2:AH$1082,COLUMN(Beräkningshjälp!AH$2)-COLUMN(Beräkningshjälp!AC$2)+1,FALSE),"")</f>
        <v/>
      </c>
      <c r="I724" s="116" t="str">
        <f>IF(D724&lt;&gt;"",VLOOKUP(ROW(E723),Beräkningshjälp!AC$2:AI$1082,COLUMN(Beräkningshjälp!AI$2)-COLUMN(Beräkningshjälp!AC$2)+1,FALSE),"")</f>
        <v/>
      </c>
    </row>
    <row r="725" spans="1:9" x14ac:dyDescent="0.25">
      <c r="A725" s="2" t="str">
        <f t="shared" si="22"/>
        <v/>
      </c>
      <c r="B725" s="136" t="str">
        <f>IF(D725&lt;&gt;"",'DATA TILL SLU'!$J$3,"")</f>
        <v/>
      </c>
      <c r="C725" s="146" t="str">
        <f>IF(D725&lt;&gt;"",'DATA TILL SLU'!$K$3,"")</f>
        <v/>
      </c>
      <c r="D725" s="2" t="str">
        <f>IF('DATA TILL SLU'!$D$7*1&lt;&gt;"",IF(COUNT(Beräkningshjälp!$AC$3:$AC$1082)&gt;=ROW(D724),'DATA TILL SLU'!$D$7*1,""),"")</f>
        <v/>
      </c>
      <c r="E725" s="136" t="str">
        <f>IF(D725&lt;&gt;"",VLOOKUP(ROW(E724),Beräkningshjälp!AC$2:AH$1082,COLUMN(Beräkningshjälp!AF$2)-COLUMN(Beräkningshjälp!AC$2)+1,FALSE),"")</f>
        <v/>
      </c>
      <c r="F725" s="352" t="str">
        <f t="shared" si="23"/>
        <v/>
      </c>
      <c r="G725" s="2" t="str">
        <f>IF(D725&lt;&gt;"",IF(VLOOKUP(VLOOKUP(E725,Beräkningshjälp!O$2:U$60,7,FALSE),Artuppgifter!$I$11:$P$22,8,FALSE)=TRUE,"Medelvikter!!","ALLA"),"")</f>
        <v/>
      </c>
      <c r="H725" s="2" t="str">
        <f>IF(D725&lt;&gt;"",VLOOKUP(ROW(H724),Beräkningshjälp!AC$2:AH$1082,COLUMN(Beräkningshjälp!AH$2)-COLUMN(Beräkningshjälp!AC$2)+1,FALSE),"")</f>
        <v/>
      </c>
      <c r="I725" s="116" t="str">
        <f>IF(D725&lt;&gt;"",VLOOKUP(ROW(E724),Beräkningshjälp!AC$2:AI$1082,COLUMN(Beräkningshjälp!AI$2)-COLUMN(Beräkningshjälp!AC$2)+1,FALSE),"")</f>
        <v/>
      </c>
    </row>
    <row r="726" spans="1:9" x14ac:dyDescent="0.25">
      <c r="A726" s="2" t="str">
        <f t="shared" si="22"/>
        <v/>
      </c>
      <c r="B726" s="136" t="str">
        <f>IF(D726&lt;&gt;"",'DATA TILL SLU'!$J$3,"")</f>
        <v/>
      </c>
      <c r="C726" s="146" t="str">
        <f>IF(D726&lt;&gt;"",'DATA TILL SLU'!$K$3,"")</f>
        <v/>
      </c>
      <c r="D726" s="2" t="str">
        <f>IF('DATA TILL SLU'!$D$7*1&lt;&gt;"",IF(COUNT(Beräkningshjälp!$AC$3:$AC$1082)&gt;=ROW(D725),'DATA TILL SLU'!$D$7*1,""),"")</f>
        <v/>
      </c>
      <c r="E726" s="136" t="str">
        <f>IF(D726&lt;&gt;"",VLOOKUP(ROW(E725),Beräkningshjälp!AC$2:AH$1082,COLUMN(Beräkningshjälp!AF$2)-COLUMN(Beräkningshjälp!AC$2)+1,FALSE),"")</f>
        <v/>
      </c>
      <c r="F726" s="352" t="str">
        <f t="shared" si="23"/>
        <v/>
      </c>
      <c r="G726" s="2" t="str">
        <f>IF(D726&lt;&gt;"",IF(VLOOKUP(VLOOKUP(E726,Beräkningshjälp!O$2:U$60,7,FALSE),Artuppgifter!$I$11:$P$22,8,FALSE)=TRUE,"Medelvikter!!","ALLA"),"")</f>
        <v/>
      </c>
      <c r="H726" s="2" t="str">
        <f>IF(D726&lt;&gt;"",VLOOKUP(ROW(H725),Beräkningshjälp!AC$2:AH$1082,COLUMN(Beräkningshjälp!AH$2)-COLUMN(Beräkningshjälp!AC$2)+1,FALSE),"")</f>
        <v/>
      </c>
      <c r="I726" s="116" t="str">
        <f>IF(D726&lt;&gt;"",VLOOKUP(ROW(E725),Beräkningshjälp!AC$2:AI$1082,COLUMN(Beräkningshjälp!AI$2)-COLUMN(Beräkningshjälp!AC$2)+1,FALSE),"")</f>
        <v/>
      </c>
    </row>
    <row r="727" spans="1:9" x14ac:dyDescent="0.25">
      <c r="A727" s="2" t="str">
        <f t="shared" si="22"/>
        <v/>
      </c>
      <c r="B727" s="136" t="str">
        <f>IF(D727&lt;&gt;"",'DATA TILL SLU'!$J$3,"")</f>
        <v/>
      </c>
      <c r="C727" s="146" t="str">
        <f>IF(D727&lt;&gt;"",'DATA TILL SLU'!$K$3,"")</f>
        <v/>
      </c>
      <c r="D727" s="2" t="str">
        <f>IF('DATA TILL SLU'!$D$7*1&lt;&gt;"",IF(COUNT(Beräkningshjälp!$AC$3:$AC$1082)&gt;=ROW(D726),'DATA TILL SLU'!$D$7*1,""),"")</f>
        <v/>
      </c>
      <c r="E727" s="136" t="str">
        <f>IF(D727&lt;&gt;"",VLOOKUP(ROW(E726),Beräkningshjälp!AC$2:AH$1082,COLUMN(Beräkningshjälp!AF$2)-COLUMN(Beräkningshjälp!AC$2)+1,FALSE),"")</f>
        <v/>
      </c>
      <c r="F727" s="352" t="str">
        <f t="shared" si="23"/>
        <v/>
      </c>
      <c r="G727" s="2" t="str">
        <f>IF(D727&lt;&gt;"",IF(VLOOKUP(VLOOKUP(E727,Beräkningshjälp!O$2:U$60,7,FALSE),Artuppgifter!$I$11:$P$22,8,FALSE)=TRUE,"Medelvikter!!","ALLA"),"")</f>
        <v/>
      </c>
      <c r="H727" s="2" t="str">
        <f>IF(D727&lt;&gt;"",VLOOKUP(ROW(H726),Beräkningshjälp!AC$2:AH$1082,COLUMN(Beräkningshjälp!AH$2)-COLUMN(Beräkningshjälp!AC$2)+1,FALSE),"")</f>
        <v/>
      </c>
      <c r="I727" s="116" t="str">
        <f>IF(D727&lt;&gt;"",VLOOKUP(ROW(E726),Beräkningshjälp!AC$2:AI$1082,COLUMN(Beräkningshjälp!AI$2)-COLUMN(Beräkningshjälp!AC$2)+1,FALSE),"")</f>
        <v/>
      </c>
    </row>
    <row r="728" spans="1:9" x14ac:dyDescent="0.25">
      <c r="A728" s="2" t="str">
        <f t="shared" si="22"/>
        <v/>
      </c>
      <c r="B728" s="136" t="str">
        <f>IF(D728&lt;&gt;"",'DATA TILL SLU'!$J$3,"")</f>
        <v/>
      </c>
      <c r="C728" s="146" t="str">
        <f>IF(D728&lt;&gt;"",'DATA TILL SLU'!$K$3,"")</f>
        <v/>
      </c>
      <c r="D728" s="2" t="str">
        <f>IF('DATA TILL SLU'!$D$7*1&lt;&gt;"",IF(COUNT(Beräkningshjälp!$AC$3:$AC$1082)&gt;=ROW(D727),'DATA TILL SLU'!$D$7*1,""),"")</f>
        <v/>
      </c>
      <c r="E728" s="136" t="str">
        <f>IF(D728&lt;&gt;"",VLOOKUP(ROW(E727),Beräkningshjälp!AC$2:AH$1082,COLUMN(Beräkningshjälp!AF$2)-COLUMN(Beräkningshjälp!AC$2)+1,FALSE),"")</f>
        <v/>
      </c>
      <c r="F728" s="352" t="str">
        <f t="shared" si="23"/>
        <v/>
      </c>
      <c r="G728" s="2" t="str">
        <f>IF(D728&lt;&gt;"",IF(VLOOKUP(VLOOKUP(E728,Beräkningshjälp!O$2:U$60,7,FALSE),Artuppgifter!$I$11:$P$22,8,FALSE)=TRUE,"Medelvikter!!","ALLA"),"")</f>
        <v/>
      </c>
      <c r="H728" s="2" t="str">
        <f>IF(D728&lt;&gt;"",VLOOKUP(ROW(H727),Beräkningshjälp!AC$2:AH$1082,COLUMN(Beräkningshjälp!AH$2)-COLUMN(Beräkningshjälp!AC$2)+1,FALSE),"")</f>
        <v/>
      </c>
      <c r="I728" s="116" t="str">
        <f>IF(D728&lt;&gt;"",VLOOKUP(ROW(E727),Beräkningshjälp!AC$2:AI$1082,COLUMN(Beräkningshjälp!AI$2)-COLUMN(Beräkningshjälp!AC$2)+1,FALSE),"")</f>
        <v/>
      </c>
    </row>
    <row r="729" spans="1:9" x14ac:dyDescent="0.25">
      <c r="A729" s="2" t="str">
        <f t="shared" si="22"/>
        <v/>
      </c>
      <c r="B729" s="136" t="str">
        <f>IF(D729&lt;&gt;"",'DATA TILL SLU'!$J$3,"")</f>
        <v/>
      </c>
      <c r="C729" s="146" t="str">
        <f>IF(D729&lt;&gt;"",'DATA TILL SLU'!$K$3,"")</f>
        <v/>
      </c>
      <c r="D729" s="2" t="str">
        <f>IF('DATA TILL SLU'!$D$7*1&lt;&gt;"",IF(COUNT(Beräkningshjälp!$AC$3:$AC$1082)&gt;=ROW(D728),'DATA TILL SLU'!$D$7*1,""),"")</f>
        <v/>
      </c>
      <c r="E729" s="136" t="str">
        <f>IF(D729&lt;&gt;"",VLOOKUP(ROW(E728),Beräkningshjälp!AC$2:AH$1082,COLUMN(Beräkningshjälp!AF$2)-COLUMN(Beräkningshjälp!AC$2)+1,FALSE),"")</f>
        <v/>
      </c>
      <c r="F729" s="352" t="str">
        <f t="shared" si="23"/>
        <v/>
      </c>
      <c r="G729" s="2" t="str">
        <f>IF(D729&lt;&gt;"",IF(VLOOKUP(VLOOKUP(E729,Beräkningshjälp!O$2:U$60,7,FALSE),Artuppgifter!$I$11:$P$22,8,FALSE)=TRUE,"Medelvikter!!","ALLA"),"")</f>
        <v/>
      </c>
      <c r="H729" s="2" t="str">
        <f>IF(D729&lt;&gt;"",VLOOKUP(ROW(H728),Beräkningshjälp!AC$2:AH$1082,COLUMN(Beräkningshjälp!AH$2)-COLUMN(Beräkningshjälp!AC$2)+1,FALSE),"")</f>
        <v/>
      </c>
      <c r="I729" s="116" t="str">
        <f>IF(D729&lt;&gt;"",VLOOKUP(ROW(E728),Beräkningshjälp!AC$2:AI$1082,COLUMN(Beräkningshjälp!AI$2)-COLUMN(Beräkningshjälp!AC$2)+1,FALSE),"")</f>
        <v/>
      </c>
    </row>
    <row r="730" spans="1:9" x14ac:dyDescent="0.25">
      <c r="A730" s="2" t="str">
        <f t="shared" si="22"/>
        <v/>
      </c>
      <c r="B730" s="136" t="str">
        <f>IF(D730&lt;&gt;"",'DATA TILL SLU'!$J$3,"")</f>
        <v/>
      </c>
      <c r="C730" s="146" t="str">
        <f>IF(D730&lt;&gt;"",'DATA TILL SLU'!$K$3,"")</f>
        <v/>
      </c>
      <c r="D730" s="2" t="str">
        <f>IF('DATA TILL SLU'!$D$7*1&lt;&gt;"",IF(COUNT(Beräkningshjälp!$AC$3:$AC$1082)&gt;=ROW(D729),'DATA TILL SLU'!$D$7*1,""),"")</f>
        <v/>
      </c>
      <c r="E730" s="136" t="str">
        <f>IF(D730&lt;&gt;"",VLOOKUP(ROW(E729),Beräkningshjälp!AC$2:AH$1082,COLUMN(Beräkningshjälp!AF$2)-COLUMN(Beräkningshjälp!AC$2)+1,FALSE),"")</f>
        <v/>
      </c>
      <c r="F730" s="352" t="str">
        <f t="shared" si="23"/>
        <v/>
      </c>
      <c r="G730" s="2" t="str">
        <f>IF(D730&lt;&gt;"",IF(VLOOKUP(VLOOKUP(E730,Beräkningshjälp!O$2:U$60,7,FALSE),Artuppgifter!$I$11:$P$22,8,FALSE)=TRUE,"Medelvikter!!","ALLA"),"")</f>
        <v/>
      </c>
      <c r="H730" s="2" t="str">
        <f>IF(D730&lt;&gt;"",VLOOKUP(ROW(H729),Beräkningshjälp!AC$2:AH$1082,COLUMN(Beräkningshjälp!AH$2)-COLUMN(Beräkningshjälp!AC$2)+1,FALSE),"")</f>
        <v/>
      </c>
      <c r="I730" s="116" t="str">
        <f>IF(D730&lt;&gt;"",VLOOKUP(ROW(E729),Beräkningshjälp!AC$2:AI$1082,COLUMN(Beräkningshjälp!AI$2)-COLUMN(Beräkningshjälp!AC$2)+1,FALSE),"")</f>
        <v/>
      </c>
    </row>
    <row r="731" spans="1:9" x14ac:dyDescent="0.25">
      <c r="A731" s="2" t="str">
        <f t="shared" si="22"/>
        <v/>
      </c>
      <c r="B731" s="136" t="str">
        <f>IF(D731&lt;&gt;"",'DATA TILL SLU'!$J$3,"")</f>
        <v/>
      </c>
      <c r="C731" s="146" t="str">
        <f>IF(D731&lt;&gt;"",'DATA TILL SLU'!$K$3,"")</f>
        <v/>
      </c>
      <c r="D731" s="2" t="str">
        <f>IF('DATA TILL SLU'!$D$7*1&lt;&gt;"",IF(COUNT(Beräkningshjälp!$AC$3:$AC$1082)&gt;=ROW(D730),'DATA TILL SLU'!$D$7*1,""),"")</f>
        <v/>
      </c>
      <c r="E731" s="136" t="str">
        <f>IF(D731&lt;&gt;"",VLOOKUP(ROW(E730),Beräkningshjälp!AC$2:AH$1082,COLUMN(Beräkningshjälp!AF$2)-COLUMN(Beräkningshjälp!AC$2)+1,FALSE),"")</f>
        <v/>
      </c>
      <c r="F731" s="352" t="str">
        <f t="shared" si="23"/>
        <v/>
      </c>
      <c r="G731" s="2" t="str">
        <f>IF(D731&lt;&gt;"",IF(VLOOKUP(VLOOKUP(E731,Beräkningshjälp!O$2:U$60,7,FALSE),Artuppgifter!$I$11:$P$22,8,FALSE)=TRUE,"Medelvikter!!","ALLA"),"")</f>
        <v/>
      </c>
      <c r="H731" s="2" t="str">
        <f>IF(D731&lt;&gt;"",VLOOKUP(ROW(H730),Beräkningshjälp!AC$2:AH$1082,COLUMN(Beräkningshjälp!AH$2)-COLUMN(Beräkningshjälp!AC$2)+1,FALSE),"")</f>
        <v/>
      </c>
      <c r="I731" s="116" t="str">
        <f>IF(D731&lt;&gt;"",VLOOKUP(ROW(E730),Beräkningshjälp!AC$2:AI$1082,COLUMN(Beräkningshjälp!AI$2)-COLUMN(Beräkningshjälp!AC$2)+1,FALSE),"")</f>
        <v/>
      </c>
    </row>
    <row r="732" spans="1:9" x14ac:dyDescent="0.25">
      <c r="A732" s="2" t="str">
        <f t="shared" si="22"/>
        <v/>
      </c>
      <c r="B732" s="136" t="str">
        <f>IF(D732&lt;&gt;"",'DATA TILL SLU'!$J$3,"")</f>
        <v/>
      </c>
      <c r="C732" s="146" t="str">
        <f>IF(D732&lt;&gt;"",'DATA TILL SLU'!$K$3,"")</f>
        <v/>
      </c>
      <c r="D732" s="2" t="str">
        <f>IF('DATA TILL SLU'!$D$7*1&lt;&gt;"",IF(COUNT(Beräkningshjälp!$AC$3:$AC$1082)&gt;=ROW(D731),'DATA TILL SLU'!$D$7*1,""),"")</f>
        <v/>
      </c>
      <c r="E732" s="136" t="str">
        <f>IF(D732&lt;&gt;"",VLOOKUP(ROW(E731),Beräkningshjälp!AC$2:AH$1082,COLUMN(Beräkningshjälp!AF$2)-COLUMN(Beräkningshjälp!AC$2)+1,FALSE),"")</f>
        <v/>
      </c>
      <c r="F732" s="352" t="str">
        <f t="shared" si="23"/>
        <v/>
      </c>
      <c r="G732" s="2" t="str">
        <f>IF(D732&lt;&gt;"",IF(VLOOKUP(VLOOKUP(E732,Beräkningshjälp!O$2:U$60,7,FALSE),Artuppgifter!$I$11:$P$22,8,FALSE)=TRUE,"Medelvikter!!","ALLA"),"")</f>
        <v/>
      </c>
      <c r="H732" s="2" t="str">
        <f>IF(D732&lt;&gt;"",VLOOKUP(ROW(H731),Beräkningshjälp!AC$2:AH$1082,COLUMN(Beräkningshjälp!AH$2)-COLUMN(Beräkningshjälp!AC$2)+1,FALSE),"")</f>
        <v/>
      </c>
      <c r="I732" s="116" t="str">
        <f>IF(D732&lt;&gt;"",VLOOKUP(ROW(E731),Beräkningshjälp!AC$2:AI$1082,COLUMN(Beräkningshjälp!AI$2)-COLUMN(Beräkningshjälp!AC$2)+1,FALSE),"")</f>
        <v/>
      </c>
    </row>
    <row r="733" spans="1:9" x14ac:dyDescent="0.25">
      <c r="A733" s="2" t="str">
        <f t="shared" si="22"/>
        <v/>
      </c>
      <c r="B733" s="136" t="str">
        <f>IF(D733&lt;&gt;"",'DATA TILL SLU'!$J$3,"")</f>
        <v/>
      </c>
      <c r="C733" s="146" t="str">
        <f>IF(D733&lt;&gt;"",'DATA TILL SLU'!$K$3,"")</f>
        <v/>
      </c>
      <c r="D733" s="2" t="str">
        <f>IF('DATA TILL SLU'!$D$7*1&lt;&gt;"",IF(COUNT(Beräkningshjälp!$AC$3:$AC$1082)&gt;=ROW(D732),'DATA TILL SLU'!$D$7*1,""),"")</f>
        <v/>
      </c>
      <c r="E733" s="136" t="str">
        <f>IF(D733&lt;&gt;"",VLOOKUP(ROW(E732),Beräkningshjälp!AC$2:AH$1082,COLUMN(Beräkningshjälp!AF$2)-COLUMN(Beräkningshjälp!AC$2)+1,FALSE),"")</f>
        <v/>
      </c>
      <c r="F733" s="352" t="str">
        <f t="shared" si="23"/>
        <v/>
      </c>
      <c r="G733" s="2" t="str">
        <f>IF(D733&lt;&gt;"",IF(VLOOKUP(VLOOKUP(E733,Beräkningshjälp!O$2:U$60,7,FALSE),Artuppgifter!$I$11:$P$22,8,FALSE)=TRUE,"Medelvikter!!","ALLA"),"")</f>
        <v/>
      </c>
      <c r="H733" s="2" t="str">
        <f>IF(D733&lt;&gt;"",VLOOKUP(ROW(H732),Beräkningshjälp!AC$2:AH$1082,COLUMN(Beräkningshjälp!AH$2)-COLUMN(Beräkningshjälp!AC$2)+1,FALSE),"")</f>
        <v/>
      </c>
      <c r="I733" s="116" t="str">
        <f>IF(D733&lt;&gt;"",VLOOKUP(ROW(E732),Beräkningshjälp!AC$2:AI$1082,COLUMN(Beräkningshjälp!AI$2)-COLUMN(Beräkningshjälp!AC$2)+1,FALSE),"")</f>
        <v/>
      </c>
    </row>
    <row r="734" spans="1:9" x14ac:dyDescent="0.25">
      <c r="A734" s="2" t="str">
        <f t="shared" si="22"/>
        <v/>
      </c>
      <c r="B734" s="136" t="str">
        <f>IF(D734&lt;&gt;"",'DATA TILL SLU'!$J$3,"")</f>
        <v/>
      </c>
      <c r="C734" s="146" t="str">
        <f>IF(D734&lt;&gt;"",'DATA TILL SLU'!$K$3,"")</f>
        <v/>
      </c>
      <c r="D734" s="2" t="str">
        <f>IF('DATA TILL SLU'!$D$7*1&lt;&gt;"",IF(COUNT(Beräkningshjälp!$AC$3:$AC$1082)&gt;=ROW(D733),'DATA TILL SLU'!$D$7*1,""),"")</f>
        <v/>
      </c>
      <c r="E734" s="136" t="str">
        <f>IF(D734&lt;&gt;"",VLOOKUP(ROW(E733),Beräkningshjälp!AC$2:AH$1082,COLUMN(Beräkningshjälp!AF$2)-COLUMN(Beräkningshjälp!AC$2)+1,FALSE),"")</f>
        <v/>
      </c>
      <c r="F734" s="352" t="str">
        <f t="shared" si="23"/>
        <v/>
      </c>
      <c r="G734" s="2" t="str">
        <f>IF(D734&lt;&gt;"",IF(VLOOKUP(VLOOKUP(E734,Beräkningshjälp!O$2:U$60,7,FALSE),Artuppgifter!$I$11:$P$22,8,FALSE)=TRUE,"Medelvikter!!","ALLA"),"")</f>
        <v/>
      </c>
      <c r="H734" s="2" t="str">
        <f>IF(D734&lt;&gt;"",VLOOKUP(ROW(H733),Beräkningshjälp!AC$2:AH$1082,COLUMN(Beräkningshjälp!AH$2)-COLUMN(Beräkningshjälp!AC$2)+1,FALSE),"")</f>
        <v/>
      </c>
      <c r="I734" s="116" t="str">
        <f>IF(D734&lt;&gt;"",VLOOKUP(ROW(E733),Beräkningshjälp!AC$2:AI$1082,COLUMN(Beräkningshjälp!AI$2)-COLUMN(Beräkningshjälp!AC$2)+1,FALSE),"")</f>
        <v/>
      </c>
    </row>
    <row r="735" spans="1:9" x14ac:dyDescent="0.25">
      <c r="A735" s="2" t="str">
        <f t="shared" si="22"/>
        <v/>
      </c>
      <c r="B735" s="136" t="str">
        <f>IF(D735&lt;&gt;"",'DATA TILL SLU'!$J$3,"")</f>
        <v/>
      </c>
      <c r="C735" s="146" t="str">
        <f>IF(D735&lt;&gt;"",'DATA TILL SLU'!$K$3,"")</f>
        <v/>
      </c>
      <c r="D735" s="2" t="str">
        <f>IF('DATA TILL SLU'!$D$7*1&lt;&gt;"",IF(COUNT(Beräkningshjälp!$AC$3:$AC$1082)&gt;=ROW(D734),'DATA TILL SLU'!$D$7*1,""),"")</f>
        <v/>
      </c>
      <c r="E735" s="136" t="str">
        <f>IF(D735&lt;&gt;"",VLOOKUP(ROW(E734),Beräkningshjälp!AC$2:AH$1082,COLUMN(Beräkningshjälp!AF$2)-COLUMN(Beräkningshjälp!AC$2)+1,FALSE),"")</f>
        <v/>
      </c>
      <c r="F735" s="352" t="str">
        <f t="shared" si="23"/>
        <v/>
      </c>
      <c r="G735" s="2" t="str">
        <f>IF(D735&lt;&gt;"",IF(VLOOKUP(VLOOKUP(E735,Beräkningshjälp!O$2:U$60,7,FALSE),Artuppgifter!$I$11:$P$22,8,FALSE)=TRUE,"Medelvikter!!","ALLA"),"")</f>
        <v/>
      </c>
      <c r="H735" s="2" t="str">
        <f>IF(D735&lt;&gt;"",VLOOKUP(ROW(H734),Beräkningshjälp!AC$2:AH$1082,COLUMN(Beräkningshjälp!AH$2)-COLUMN(Beräkningshjälp!AC$2)+1,FALSE),"")</f>
        <v/>
      </c>
      <c r="I735" s="116" t="str">
        <f>IF(D735&lt;&gt;"",VLOOKUP(ROW(E734),Beräkningshjälp!AC$2:AI$1082,COLUMN(Beräkningshjälp!AI$2)-COLUMN(Beräkningshjälp!AC$2)+1,FALSE),"")</f>
        <v/>
      </c>
    </row>
    <row r="736" spans="1:9" x14ac:dyDescent="0.25">
      <c r="A736" s="2" t="str">
        <f t="shared" si="22"/>
        <v/>
      </c>
      <c r="B736" s="136" t="str">
        <f>IF(D736&lt;&gt;"",'DATA TILL SLU'!$J$3,"")</f>
        <v/>
      </c>
      <c r="C736" s="146" t="str">
        <f>IF(D736&lt;&gt;"",'DATA TILL SLU'!$K$3,"")</f>
        <v/>
      </c>
      <c r="D736" s="2" t="str">
        <f>IF('DATA TILL SLU'!$D$7*1&lt;&gt;"",IF(COUNT(Beräkningshjälp!$AC$3:$AC$1082)&gt;=ROW(D735),'DATA TILL SLU'!$D$7*1,""),"")</f>
        <v/>
      </c>
      <c r="E736" s="136" t="str">
        <f>IF(D736&lt;&gt;"",VLOOKUP(ROW(E735),Beräkningshjälp!AC$2:AH$1082,COLUMN(Beräkningshjälp!AF$2)-COLUMN(Beräkningshjälp!AC$2)+1,FALSE),"")</f>
        <v/>
      </c>
      <c r="F736" s="352" t="str">
        <f t="shared" si="23"/>
        <v/>
      </c>
      <c r="G736" s="2" t="str">
        <f>IF(D736&lt;&gt;"",IF(VLOOKUP(VLOOKUP(E736,Beräkningshjälp!O$2:U$60,7,FALSE),Artuppgifter!$I$11:$P$22,8,FALSE)=TRUE,"Medelvikter!!","ALLA"),"")</f>
        <v/>
      </c>
      <c r="H736" s="2" t="str">
        <f>IF(D736&lt;&gt;"",VLOOKUP(ROW(H735),Beräkningshjälp!AC$2:AH$1082,COLUMN(Beräkningshjälp!AH$2)-COLUMN(Beräkningshjälp!AC$2)+1,FALSE),"")</f>
        <v/>
      </c>
      <c r="I736" s="116" t="str">
        <f>IF(D736&lt;&gt;"",VLOOKUP(ROW(E735),Beräkningshjälp!AC$2:AI$1082,COLUMN(Beräkningshjälp!AI$2)-COLUMN(Beräkningshjälp!AC$2)+1,FALSE),"")</f>
        <v/>
      </c>
    </row>
    <row r="737" spans="1:9" x14ac:dyDescent="0.25">
      <c r="A737" s="2" t="str">
        <f t="shared" si="22"/>
        <v/>
      </c>
      <c r="B737" s="136" t="str">
        <f>IF(D737&lt;&gt;"",'DATA TILL SLU'!$J$3,"")</f>
        <v/>
      </c>
      <c r="C737" s="146" t="str">
        <f>IF(D737&lt;&gt;"",'DATA TILL SLU'!$K$3,"")</f>
        <v/>
      </c>
      <c r="D737" s="2" t="str">
        <f>IF('DATA TILL SLU'!$D$7*1&lt;&gt;"",IF(COUNT(Beräkningshjälp!$AC$3:$AC$1082)&gt;=ROW(D736),'DATA TILL SLU'!$D$7*1,""),"")</f>
        <v/>
      </c>
      <c r="E737" s="136" t="str">
        <f>IF(D737&lt;&gt;"",VLOOKUP(ROW(E736),Beräkningshjälp!AC$2:AH$1082,COLUMN(Beräkningshjälp!AF$2)-COLUMN(Beräkningshjälp!AC$2)+1,FALSE),"")</f>
        <v/>
      </c>
      <c r="F737" s="352" t="str">
        <f t="shared" si="23"/>
        <v/>
      </c>
      <c r="G737" s="2" t="str">
        <f>IF(D737&lt;&gt;"",IF(VLOOKUP(VLOOKUP(E737,Beräkningshjälp!O$2:U$60,7,FALSE),Artuppgifter!$I$11:$P$22,8,FALSE)=TRUE,"Medelvikter!!","ALLA"),"")</f>
        <v/>
      </c>
      <c r="H737" s="2" t="str">
        <f>IF(D737&lt;&gt;"",VLOOKUP(ROW(H736),Beräkningshjälp!AC$2:AH$1082,COLUMN(Beräkningshjälp!AH$2)-COLUMN(Beräkningshjälp!AC$2)+1,FALSE),"")</f>
        <v/>
      </c>
      <c r="I737" s="116" t="str">
        <f>IF(D737&lt;&gt;"",VLOOKUP(ROW(E736),Beräkningshjälp!AC$2:AI$1082,COLUMN(Beräkningshjälp!AI$2)-COLUMN(Beräkningshjälp!AC$2)+1,FALSE),"")</f>
        <v/>
      </c>
    </row>
    <row r="738" spans="1:9" x14ac:dyDescent="0.25">
      <c r="A738" s="2" t="str">
        <f t="shared" si="22"/>
        <v/>
      </c>
      <c r="B738" s="136" t="str">
        <f>IF(D738&lt;&gt;"",'DATA TILL SLU'!$J$3,"")</f>
        <v/>
      </c>
      <c r="C738" s="146" t="str">
        <f>IF(D738&lt;&gt;"",'DATA TILL SLU'!$K$3,"")</f>
        <v/>
      </c>
      <c r="D738" s="2" t="str">
        <f>IF('DATA TILL SLU'!$D$7*1&lt;&gt;"",IF(COUNT(Beräkningshjälp!$AC$3:$AC$1082)&gt;=ROW(D737),'DATA TILL SLU'!$D$7*1,""),"")</f>
        <v/>
      </c>
      <c r="E738" s="136" t="str">
        <f>IF(D738&lt;&gt;"",VLOOKUP(ROW(E737),Beräkningshjälp!AC$2:AH$1082,COLUMN(Beräkningshjälp!AF$2)-COLUMN(Beräkningshjälp!AC$2)+1,FALSE),"")</f>
        <v/>
      </c>
      <c r="F738" s="352" t="str">
        <f t="shared" si="23"/>
        <v/>
      </c>
      <c r="G738" s="2" t="str">
        <f>IF(D738&lt;&gt;"",IF(VLOOKUP(VLOOKUP(E738,Beräkningshjälp!O$2:U$60,7,FALSE),Artuppgifter!$I$11:$P$22,8,FALSE)=TRUE,"Medelvikter!!","ALLA"),"")</f>
        <v/>
      </c>
      <c r="H738" s="2" t="str">
        <f>IF(D738&lt;&gt;"",VLOOKUP(ROW(H737),Beräkningshjälp!AC$2:AH$1082,COLUMN(Beräkningshjälp!AH$2)-COLUMN(Beräkningshjälp!AC$2)+1,FALSE),"")</f>
        <v/>
      </c>
      <c r="I738" s="116" t="str">
        <f>IF(D738&lt;&gt;"",VLOOKUP(ROW(E737),Beräkningshjälp!AC$2:AI$1082,COLUMN(Beräkningshjälp!AI$2)-COLUMN(Beräkningshjälp!AC$2)+1,FALSE),"")</f>
        <v/>
      </c>
    </row>
    <row r="739" spans="1:9" x14ac:dyDescent="0.25">
      <c r="A739" s="2" t="str">
        <f t="shared" si="22"/>
        <v/>
      </c>
      <c r="B739" s="136" t="str">
        <f>IF(D739&lt;&gt;"",'DATA TILL SLU'!$J$3,"")</f>
        <v/>
      </c>
      <c r="C739" s="146" t="str">
        <f>IF(D739&lt;&gt;"",'DATA TILL SLU'!$K$3,"")</f>
        <v/>
      </c>
      <c r="D739" s="2" t="str">
        <f>IF('DATA TILL SLU'!$D$7*1&lt;&gt;"",IF(COUNT(Beräkningshjälp!$AC$3:$AC$1082)&gt;=ROW(D738),'DATA TILL SLU'!$D$7*1,""),"")</f>
        <v/>
      </c>
      <c r="E739" s="136" t="str">
        <f>IF(D739&lt;&gt;"",VLOOKUP(ROW(E738),Beräkningshjälp!AC$2:AH$1082,COLUMN(Beräkningshjälp!AF$2)-COLUMN(Beräkningshjälp!AC$2)+1,FALSE),"")</f>
        <v/>
      </c>
      <c r="F739" s="352" t="str">
        <f t="shared" si="23"/>
        <v/>
      </c>
      <c r="G739" s="2" t="str">
        <f>IF(D739&lt;&gt;"",IF(VLOOKUP(VLOOKUP(E739,Beräkningshjälp!O$2:U$60,7,FALSE),Artuppgifter!$I$11:$P$22,8,FALSE)=TRUE,"Medelvikter!!","ALLA"),"")</f>
        <v/>
      </c>
      <c r="H739" s="2" t="str">
        <f>IF(D739&lt;&gt;"",VLOOKUP(ROW(H738),Beräkningshjälp!AC$2:AH$1082,COLUMN(Beräkningshjälp!AH$2)-COLUMN(Beräkningshjälp!AC$2)+1,FALSE),"")</f>
        <v/>
      </c>
      <c r="I739" s="116" t="str">
        <f>IF(D739&lt;&gt;"",VLOOKUP(ROW(E738),Beräkningshjälp!AC$2:AI$1082,COLUMN(Beräkningshjälp!AI$2)-COLUMN(Beräkningshjälp!AC$2)+1,FALSE),"")</f>
        <v/>
      </c>
    </row>
    <row r="740" spans="1:9" x14ac:dyDescent="0.25">
      <c r="A740" s="2" t="str">
        <f t="shared" si="22"/>
        <v/>
      </c>
      <c r="B740" s="136" t="str">
        <f>IF(D740&lt;&gt;"",'DATA TILL SLU'!$J$3,"")</f>
        <v/>
      </c>
      <c r="C740" s="146" t="str">
        <f>IF(D740&lt;&gt;"",'DATA TILL SLU'!$K$3,"")</f>
        <v/>
      </c>
      <c r="D740" s="2" t="str">
        <f>IF('DATA TILL SLU'!$D$7*1&lt;&gt;"",IF(COUNT(Beräkningshjälp!$AC$3:$AC$1082)&gt;=ROW(D739),'DATA TILL SLU'!$D$7*1,""),"")</f>
        <v/>
      </c>
      <c r="E740" s="136" t="str">
        <f>IF(D740&lt;&gt;"",VLOOKUP(ROW(E739),Beräkningshjälp!AC$2:AH$1082,COLUMN(Beräkningshjälp!AF$2)-COLUMN(Beräkningshjälp!AC$2)+1,FALSE),"")</f>
        <v/>
      </c>
      <c r="F740" s="352" t="str">
        <f t="shared" si="23"/>
        <v/>
      </c>
      <c r="G740" s="2" t="str">
        <f>IF(D740&lt;&gt;"",IF(VLOOKUP(VLOOKUP(E740,Beräkningshjälp!O$2:U$60,7,FALSE),Artuppgifter!$I$11:$P$22,8,FALSE)=TRUE,"Medelvikter!!","ALLA"),"")</f>
        <v/>
      </c>
      <c r="H740" s="2" t="str">
        <f>IF(D740&lt;&gt;"",VLOOKUP(ROW(H739),Beräkningshjälp!AC$2:AH$1082,COLUMN(Beräkningshjälp!AH$2)-COLUMN(Beräkningshjälp!AC$2)+1,FALSE),"")</f>
        <v/>
      </c>
      <c r="I740" s="116" t="str">
        <f>IF(D740&lt;&gt;"",VLOOKUP(ROW(E739),Beräkningshjälp!AC$2:AI$1082,COLUMN(Beräkningshjälp!AI$2)-COLUMN(Beräkningshjälp!AC$2)+1,FALSE),"")</f>
        <v/>
      </c>
    </row>
    <row r="741" spans="1:9" x14ac:dyDescent="0.25">
      <c r="A741" s="2" t="str">
        <f t="shared" si="22"/>
        <v/>
      </c>
      <c r="B741" s="136" t="str">
        <f>IF(D741&lt;&gt;"",'DATA TILL SLU'!$J$3,"")</f>
        <v/>
      </c>
      <c r="C741" s="146" t="str">
        <f>IF(D741&lt;&gt;"",'DATA TILL SLU'!$K$3,"")</f>
        <v/>
      </c>
      <c r="D741" s="2" t="str">
        <f>IF('DATA TILL SLU'!$D$7*1&lt;&gt;"",IF(COUNT(Beräkningshjälp!$AC$3:$AC$1082)&gt;=ROW(D740),'DATA TILL SLU'!$D$7*1,""),"")</f>
        <v/>
      </c>
      <c r="E741" s="136" t="str">
        <f>IF(D741&lt;&gt;"",VLOOKUP(ROW(E740),Beräkningshjälp!AC$2:AH$1082,COLUMN(Beräkningshjälp!AF$2)-COLUMN(Beräkningshjälp!AC$2)+1,FALSE),"")</f>
        <v/>
      </c>
      <c r="F741" s="352" t="str">
        <f t="shared" si="23"/>
        <v/>
      </c>
      <c r="G741" s="2" t="str">
        <f>IF(D741&lt;&gt;"",IF(VLOOKUP(VLOOKUP(E741,Beräkningshjälp!O$2:U$60,7,FALSE),Artuppgifter!$I$11:$P$22,8,FALSE)=TRUE,"Medelvikter!!","ALLA"),"")</f>
        <v/>
      </c>
      <c r="H741" s="2" t="str">
        <f>IF(D741&lt;&gt;"",VLOOKUP(ROW(H740),Beräkningshjälp!AC$2:AH$1082,COLUMN(Beräkningshjälp!AH$2)-COLUMN(Beräkningshjälp!AC$2)+1,FALSE),"")</f>
        <v/>
      </c>
      <c r="I741" s="116" t="str">
        <f>IF(D741&lt;&gt;"",VLOOKUP(ROW(E740),Beräkningshjälp!AC$2:AI$1082,COLUMN(Beräkningshjälp!AI$2)-COLUMN(Beräkningshjälp!AC$2)+1,FALSE),"")</f>
        <v/>
      </c>
    </row>
    <row r="742" spans="1:9" x14ac:dyDescent="0.25">
      <c r="A742" s="2" t="str">
        <f t="shared" si="22"/>
        <v/>
      </c>
      <c r="B742" s="136" t="str">
        <f>IF(D742&lt;&gt;"",'DATA TILL SLU'!$J$3,"")</f>
        <v/>
      </c>
      <c r="C742" s="146" t="str">
        <f>IF(D742&lt;&gt;"",'DATA TILL SLU'!$K$3,"")</f>
        <v/>
      </c>
      <c r="D742" s="2" t="str">
        <f>IF('DATA TILL SLU'!$D$7*1&lt;&gt;"",IF(COUNT(Beräkningshjälp!$AC$3:$AC$1082)&gt;=ROW(D741),'DATA TILL SLU'!$D$7*1,""),"")</f>
        <v/>
      </c>
      <c r="E742" s="136" t="str">
        <f>IF(D742&lt;&gt;"",VLOOKUP(ROW(E741),Beräkningshjälp!AC$2:AH$1082,COLUMN(Beräkningshjälp!AF$2)-COLUMN(Beräkningshjälp!AC$2)+1,FALSE),"")</f>
        <v/>
      </c>
      <c r="F742" s="352" t="str">
        <f t="shared" si="23"/>
        <v/>
      </c>
      <c r="G742" s="2" t="str">
        <f>IF(D742&lt;&gt;"",IF(VLOOKUP(VLOOKUP(E742,Beräkningshjälp!O$2:U$60,7,FALSE),Artuppgifter!$I$11:$P$22,8,FALSE)=TRUE,"Medelvikter!!","ALLA"),"")</f>
        <v/>
      </c>
      <c r="H742" s="2" t="str">
        <f>IF(D742&lt;&gt;"",VLOOKUP(ROW(H741),Beräkningshjälp!AC$2:AH$1082,COLUMN(Beräkningshjälp!AH$2)-COLUMN(Beräkningshjälp!AC$2)+1,FALSE),"")</f>
        <v/>
      </c>
      <c r="I742" s="116" t="str">
        <f>IF(D742&lt;&gt;"",VLOOKUP(ROW(E741),Beräkningshjälp!AC$2:AI$1082,COLUMN(Beräkningshjälp!AI$2)-COLUMN(Beräkningshjälp!AC$2)+1,FALSE),"")</f>
        <v/>
      </c>
    </row>
    <row r="743" spans="1:9" x14ac:dyDescent="0.25">
      <c r="A743" s="2" t="str">
        <f t="shared" si="22"/>
        <v/>
      </c>
      <c r="B743" s="136" t="str">
        <f>IF(D743&lt;&gt;"",'DATA TILL SLU'!$J$3,"")</f>
        <v/>
      </c>
      <c r="C743" s="146" t="str">
        <f>IF(D743&lt;&gt;"",'DATA TILL SLU'!$K$3,"")</f>
        <v/>
      </c>
      <c r="D743" s="2" t="str">
        <f>IF('DATA TILL SLU'!$D$7*1&lt;&gt;"",IF(COUNT(Beräkningshjälp!$AC$3:$AC$1082)&gt;=ROW(D742),'DATA TILL SLU'!$D$7*1,""),"")</f>
        <v/>
      </c>
      <c r="E743" s="136" t="str">
        <f>IF(D743&lt;&gt;"",VLOOKUP(ROW(E742),Beräkningshjälp!AC$2:AH$1082,COLUMN(Beräkningshjälp!AF$2)-COLUMN(Beräkningshjälp!AC$2)+1,FALSE),"")</f>
        <v/>
      </c>
      <c r="F743" s="352" t="str">
        <f t="shared" si="23"/>
        <v/>
      </c>
      <c r="G743" s="2" t="str">
        <f>IF(D743&lt;&gt;"",IF(VLOOKUP(VLOOKUP(E743,Beräkningshjälp!O$2:U$60,7,FALSE),Artuppgifter!$I$11:$P$22,8,FALSE)=TRUE,"Medelvikter!!","ALLA"),"")</f>
        <v/>
      </c>
      <c r="H743" s="2" t="str">
        <f>IF(D743&lt;&gt;"",VLOOKUP(ROW(H742),Beräkningshjälp!AC$2:AH$1082,COLUMN(Beräkningshjälp!AH$2)-COLUMN(Beräkningshjälp!AC$2)+1,FALSE),"")</f>
        <v/>
      </c>
      <c r="I743" s="116" t="str">
        <f>IF(D743&lt;&gt;"",VLOOKUP(ROW(E742),Beräkningshjälp!AC$2:AI$1082,COLUMN(Beräkningshjälp!AI$2)-COLUMN(Beräkningshjälp!AC$2)+1,FALSE),"")</f>
        <v/>
      </c>
    </row>
    <row r="744" spans="1:9" x14ac:dyDescent="0.25">
      <c r="A744" s="2" t="str">
        <f t="shared" si="22"/>
        <v/>
      </c>
      <c r="B744" s="136" t="str">
        <f>IF(D744&lt;&gt;"",'DATA TILL SLU'!$J$3,"")</f>
        <v/>
      </c>
      <c r="C744" s="146" t="str">
        <f>IF(D744&lt;&gt;"",'DATA TILL SLU'!$K$3,"")</f>
        <v/>
      </c>
      <c r="D744" s="2" t="str">
        <f>IF('DATA TILL SLU'!$D$7*1&lt;&gt;"",IF(COUNT(Beräkningshjälp!$AC$3:$AC$1082)&gt;=ROW(D743),'DATA TILL SLU'!$D$7*1,""),"")</f>
        <v/>
      </c>
      <c r="E744" s="136" t="str">
        <f>IF(D744&lt;&gt;"",VLOOKUP(ROW(E743),Beräkningshjälp!AC$2:AH$1082,COLUMN(Beräkningshjälp!AF$2)-COLUMN(Beräkningshjälp!AC$2)+1,FALSE),"")</f>
        <v/>
      </c>
      <c r="F744" s="352" t="str">
        <f t="shared" si="23"/>
        <v/>
      </c>
      <c r="G744" s="2" t="str">
        <f>IF(D744&lt;&gt;"",IF(VLOOKUP(VLOOKUP(E744,Beräkningshjälp!O$2:U$60,7,FALSE),Artuppgifter!$I$11:$P$22,8,FALSE)=TRUE,"Medelvikter!!","ALLA"),"")</f>
        <v/>
      </c>
      <c r="H744" s="2" t="str">
        <f>IF(D744&lt;&gt;"",VLOOKUP(ROW(H743),Beräkningshjälp!AC$2:AH$1082,COLUMN(Beräkningshjälp!AH$2)-COLUMN(Beräkningshjälp!AC$2)+1,FALSE),"")</f>
        <v/>
      </c>
      <c r="I744" s="116" t="str">
        <f>IF(D744&lt;&gt;"",VLOOKUP(ROW(E743),Beräkningshjälp!AC$2:AI$1082,COLUMN(Beräkningshjälp!AI$2)-COLUMN(Beräkningshjälp!AC$2)+1,FALSE),"")</f>
        <v/>
      </c>
    </row>
    <row r="745" spans="1:9" x14ac:dyDescent="0.25">
      <c r="A745" s="2" t="str">
        <f t="shared" si="22"/>
        <v/>
      </c>
      <c r="B745" s="136" t="str">
        <f>IF(D745&lt;&gt;"",'DATA TILL SLU'!$J$3,"")</f>
        <v/>
      </c>
      <c r="C745" s="146" t="str">
        <f>IF(D745&lt;&gt;"",'DATA TILL SLU'!$K$3,"")</f>
        <v/>
      </c>
      <c r="D745" s="2" t="str">
        <f>IF('DATA TILL SLU'!$D$7*1&lt;&gt;"",IF(COUNT(Beräkningshjälp!$AC$3:$AC$1082)&gt;=ROW(D744),'DATA TILL SLU'!$D$7*1,""),"")</f>
        <v/>
      </c>
      <c r="E745" s="136" t="str">
        <f>IF(D745&lt;&gt;"",VLOOKUP(ROW(E744),Beräkningshjälp!AC$2:AH$1082,COLUMN(Beräkningshjälp!AF$2)-COLUMN(Beräkningshjälp!AC$2)+1,FALSE),"")</f>
        <v/>
      </c>
      <c r="F745" s="352" t="str">
        <f t="shared" si="23"/>
        <v/>
      </c>
      <c r="G745" s="2" t="str">
        <f>IF(D745&lt;&gt;"",IF(VLOOKUP(VLOOKUP(E745,Beräkningshjälp!O$2:U$60,7,FALSE),Artuppgifter!$I$11:$P$22,8,FALSE)=TRUE,"Medelvikter!!","ALLA"),"")</f>
        <v/>
      </c>
      <c r="H745" s="2" t="str">
        <f>IF(D745&lt;&gt;"",VLOOKUP(ROW(H744),Beräkningshjälp!AC$2:AH$1082,COLUMN(Beräkningshjälp!AH$2)-COLUMN(Beräkningshjälp!AC$2)+1,FALSE),"")</f>
        <v/>
      </c>
      <c r="I745" s="116" t="str">
        <f>IF(D745&lt;&gt;"",VLOOKUP(ROW(E744),Beräkningshjälp!AC$2:AI$1082,COLUMN(Beräkningshjälp!AI$2)-COLUMN(Beräkningshjälp!AC$2)+1,FALSE),"")</f>
        <v/>
      </c>
    </row>
    <row r="746" spans="1:9" x14ac:dyDescent="0.25">
      <c r="A746" s="2" t="str">
        <f t="shared" si="22"/>
        <v/>
      </c>
      <c r="B746" s="136" t="str">
        <f>IF(D746&lt;&gt;"",'DATA TILL SLU'!$J$3,"")</f>
        <v/>
      </c>
      <c r="C746" s="146" t="str">
        <f>IF(D746&lt;&gt;"",'DATA TILL SLU'!$K$3,"")</f>
        <v/>
      </c>
      <c r="D746" s="2" t="str">
        <f>IF('DATA TILL SLU'!$D$7*1&lt;&gt;"",IF(COUNT(Beräkningshjälp!$AC$3:$AC$1082)&gt;=ROW(D745),'DATA TILL SLU'!$D$7*1,""),"")</f>
        <v/>
      </c>
      <c r="E746" s="136" t="str">
        <f>IF(D746&lt;&gt;"",VLOOKUP(ROW(E745),Beräkningshjälp!AC$2:AH$1082,COLUMN(Beräkningshjälp!AF$2)-COLUMN(Beräkningshjälp!AC$2)+1,FALSE),"")</f>
        <v/>
      </c>
      <c r="F746" s="352" t="str">
        <f t="shared" si="23"/>
        <v/>
      </c>
      <c r="G746" s="2" t="str">
        <f>IF(D746&lt;&gt;"",IF(VLOOKUP(VLOOKUP(E746,Beräkningshjälp!O$2:U$60,7,FALSE),Artuppgifter!$I$11:$P$22,8,FALSE)=TRUE,"Medelvikter!!","ALLA"),"")</f>
        <v/>
      </c>
      <c r="H746" s="2" t="str">
        <f>IF(D746&lt;&gt;"",VLOOKUP(ROW(H745),Beräkningshjälp!AC$2:AH$1082,COLUMN(Beräkningshjälp!AH$2)-COLUMN(Beräkningshjälp!AC$2)+1,FALSE),"")</f>
        <v/>
      </c>
      <c r="I746" s="116" t="str">
        <f>IF(D746&lt;&gt;"",VLOOKUP(ROW(E745),Beräkningshjälp!AC$2:AI$1082,COLUMN(Beräkningshjälp!AI$2)-COLUMN(Beräkningshjälp!AC$2)+1,FALSE),"")</f>
        <v/>
      </c>
    </row>
    <row r="747" spans="1:9" x14ac:dyDescent="0.25">
      <c r="A747" s="2" t="str">
        <f t="shared" si="22"/>
        <v/>
      </c>
      <c r="B747" s="136" t="str">
        <f>IF(D747&lt;&gt;"",'DATA TILL SLU'!$J$3,"")</f>
        <v/>
      </c>
      <c r="C747" s="146" t="str">
        <f>IF(D747&lt;&gt;"",'DATA TILL SLU'!$K$3,"")</f>
        <v/>
      </c>
      <c r="D747" s="2" t="str">
        <f>IF('DATA TILL SLU'!$D$7*1&lt;&gt;"",IF(COUNT(Beräkningshjälp!$AC$3:$AC$1082)&gt;=ROW(D746),'DATA TILL SLU'!$D$7*1,""),"")</f>
        <v/>
      </c>
      <c r="E747" s="136" t="str">
        <f>IF(D747&lt;&gt;"",VLOOKUP(ROW(E746),Beräkningshjälp!AC$2:AH$1082,COLUMN(Beräkningshjälp!AF$2)-COLUMN(Beräkningshjälp!AC$2)+1,FALSE),"")</f>
        <v/>
      </c>
      <c r="F747" s="352" t="str">
        <f t="shared" si="23"/>
        <v/>
      </c>
      <c r="G747" s="2" t="str">
        <f>IF(D747&lt;&gt;"",IF(VLOOKUP(VLOOKUP(E747,Beräkningshjälp!O$2:U$60,7,FALSE),Artuppgifter!$I$11:$P$22,8,FALSE)=TRUE,"Medelvikter!!","ALLA"),"")</f>
        <v/>
      </c>
      <c r="H747" s="2" t="str">
        <f>IF(D747&lt;&gt;"",VLOOKUP(ROW(H746),Beräkningshjälp!AC$2:AH$1082,COLUMN(Beräkningshjälp!AH$2)-COLUMN(Beräkningshjälp!AC$2)+1,FALSE),"")</f>
        <v/>
      </c>
      <c r="I747" s="116" t="str">
        <f>IF(D747&lt;&gt;"",VLOOKUP(ROW(E746),Beräkningshjälp!AC$2:AI$1082,COLUMN(Beräkningshjälp!AI$2)-COLUMN(Beräkningshjälp!AC$2)+1,FALSE),"")</f>
        <v/>
      </c>
    </row>
    <row r="748" spans="1:9" x14ac:dyDescent="0.25">
      <c r="A748" s="2" t="str">
        <f t="shared" si="22"/>
        <v/>
      </c>
      <c r="B748" s="136" t="str">
        <f>IF(D748&lt;&gt;"",'DATA TILL SLU'!$J$3,"")</f>
        <v/>
      </c>
      <c r="C748" s="146" t="str">
        <f>IF(D748&lt;&gt;"",'DATA TILL SLU'!$K$3,"")</f>
        <v/>
      </c>
      <c r="D748" s="2" t="str">
        <f>IF('DATA TILL SLU'!$D$7*1&lt;&gt;"",IF(COUNT(Beräkningshjälp!$AC$3:$AC$1082)&gt;=ROW(D747),'DATA TILL SLU'!$D$7*1,""),"")</f>
        <v/>
      </c>
      <c r="E748" s="136" t="str">
        <f>IF(D748&lt;&gt;"",VLOOKUP(ROW(E747),Beräkningshjälp!AC$2:AH$1082,COLUMN(Beräkningshjälp!AF$2)-COLUMN(Beräkningshjälp!AC$2)+1,FALSE),"")</f>
        <v/>
      </c>
      <c r="F748" s="352" t="str">
        <f t="shared" si="23"/>
        <v/>
      </c>
      <c r="G748" s="2" t="str">
        <f>IF(D748&lt;&gt;"",IF(VLOOKUP(VLOOKUP(E748,Beräkningshjälp!O$2:U$60,7,FALSE),Artuppgifter!$I$11:$P$22,8,FALSE)=TRUE,"Medelvikter!!","ALLA"),"")</f>
        <v/>
      </c>
      <c r="H748" s="2" t="str">
        <f>IF(D748&lt;&gt;"",VLOOKUP(ROW(H747),Beräkningshjälp!AC$2:AH$1082,COLUMN(Beräkningshjälp!AH$2)-COLUMN(Beräkningshjälp!AC$2)+1,FALSE),"")</f>
        <v/>
      </c>
      <c r="I748" s="116" t="str">
        <f>IF(D748&lt;&gt;"",VLOOKUP(ROW(E747),Beräkningshjälp!AC$2:AI$1082,COLUMN(Beräkningshjälp!AI$2)-COLUMN(Beräkningshjälp!AC$2)+1,FALSE),"")</f>
        <v/>
      </c>
    </row>
    <row r="749" spans="1:9" x14ac:dyDescent="0.25">
      <c r="A749" s="2" t="str">
        <f t="shared" si="22"/>
        <v/>
      </c>
      <c r="B749" s="136" t="str">
        <f>IF(D749&lt;&gt;"",'DATA TILL SLU'!$J$3,"")</f>
        <v/>
      </c>
      <c r="C749" s="146" t="str">
        <f>IF(D749&lt;&gt;"",'DATA TILL SLU'!$K$3,"")</f>
        <v/>
      </c>
      <c r="D749" s="2" t="str">
        <f>IF('DATA TILL SLU'!$D$7*1&lt;&gt;"",IF(COUNT(Beräkningshjälp!$AC$3:$AC$1082)&gt;=ROW(D748),'DATA TILL SLU'!$D$7*1,""),"")</f>
        <v/>
      </c>
      <c r="E749" s="136" t="str">
        <f>IF(D749&lt;&gt;"",VLOOKUP(ROW(E748),Beräkningshjälp!AC$2:AH$1082,COLUMN(Beräkningshjälp!AF$2)-COLUMN(Beräkningshjälp!AC$2)+1,FALSE),"")</f>
        <v/>
      </c>
      <c r="F749" s="352" t="str">
        <f t="shared" si="23"/>
        <v/>
      </c>
      <c r="G749" s="2" t="str">
        <f>IF(D749&lt;&gt;"",IF(VLOOKUP(VLOOKUP(E749,Beräkningshjälp!O$2:U$60,7,FALSE),Artuppgifter!$I$11:$P$22,8,FALSE)=TRUE,"Medelvikter!!","ALLA"),"")</f>
        <v/>
      </c>
      <c r="H749" s="2" t="str">
        <f>IF(D749&lt;&gt;"",VLOOKUP(ROW(H748),Beräkningshjälp!AC$2:AH$1082,COLUMN(Beräkningshjälp!AH$2)-COLUMN(Beräkningshjälp!AC$2)+1,FALSE),"")</f>
        <v/>
      </c>
      <c r="I749" s="116" t="str">
        <f>IF(D749&lt;&gt;"",VLOOKUP(ROW(E748),Beräkningshjälp!AC$2:AI$1082,COLUMN(Beräkningshjälp!AI$2)-COLUMN(Beräkningshjälp!AC$2)+1,FALSE),"")</f>
        <v/>
      </c>
    </row>
    <row r="750" spans="1:9" x14ac:dyDescent="0.25">
      <c r="A750" s="2" t="str">
        <f t="shared" si="22"/>
        <v/>
      </c>
      <c r="B750" s="136" t="str">
        <f>IF(D750&lt;&gt;"",'DATA TILL SLU'!$J$3,"")</f>
        <v/>
      </c>
      <c r="C750" s="146" t="str">
        <f>IF(D750&lt;&gt;"",'DATA TILL SLU'!$K$3,"")</f>
        <v/>
      </c>
      <c r="D750" s="2" t="str">
        <f>IF('DATA TILL SLU'!$D$7*1&lt;&gt;"",IF(COUNT(Beräkningshjälp!$AC$3:$AC$1082)&gt;=ROW(D749),'DATA TILL SLU'!$D$7*1,""),"")</f>
        <v/>
      </c>
      <c r="E750" s="136" t="str">
        <f>IF(D750&lt;&gt;"",VLOOKUP(ROW(E749),Beräkningshjälp!AC$2:AH$1082,COLUMN(Beräkningshjälp!AF$2)-COLUMN(Beräkningshjälp!AC$2)+1,FALSE),"")</f>
        <v/>
      </c>
      <c r="F750" s="352" t="str">
        <f t="shared" si="23"/>
        <v/>
      </c>
      <c r="G750" s="2" t="str">
        <f>IF(D750&lt;&gt;"",IF(VLOOKUP(VLOOKUP(E750,Beräkningshjälp!O$2:U$60,7,FALSE),Artuppgifter!$I$11:$P$22,8,FALSE)=TRUE,"Medelvikter!!","ALLA"),"")</f>
        <v/>
      </c>
      <c r="H750" s="2" t="str">
        <f>IF(D750&lt;&gt;"",VLOOKUP(ROW(H749),Beräkningshjälp!AC$2:AH$1082,COLUMN(Beräkningshjälp!AH$2)-COLUMN(Beräkningshjälp!AC$2)+1,FALSE),"")</f>
        <v/>
      </c>
      <c r="I750" s="116" t="str">
        <f>IF(D750&lt;&gt;"",VLOOKUP(ROW(E749),Beräkningshjälp!AC$2:AI$1082,COLUMN(Beräkningshjälp!AI$2)-COLUMN(Beräkningshjälp!AC$2)+1,FALSE),"")</f>
        <v/>
      </c>
    </row>
    <row r="751" spans="1:9" x14ac:dyDescent="0.25">
      <c r="A751" s="2" t="str">
        <f t="shared" si="22"/>
        <v/>
      </c>
      <c r="B751" s="136" t="str">
        <f>IF(D751&lt;&gt;"",'DATA TILL SLU'!$J$3,"")</f>
        <v/>
      </c>
      <c r="C751" s="146" t="str">
        <f>IF(D751&lt;&gt;"",'DATA TILL SLU'!$K$3,"")</f>
        <v/>
      </c>
      <c r="D751" s="2" t="str">
        <f>IF('DATA TILL SLU'!$D$7*1&lt;&gt;"",IF(COUNT(Beräkningshjälp!$AC$3:$AC$1082)&gt;=ROW(D750),'DATA TILL SLU'!$D$7*1,""),"")</f>
        <v/>
      </c>
      <c r="E751" s="136" t="str">
        <f>IF(D751&lt;&gt;"",VLOOKUP(ROW(E750),Beräkningshjälp!AC$2:AH$1082,COLUMN(Beräkningshjälp!AF$2)-COLUMN(Beräkningshjälp!AC$2)+1,FALSE),"")</f>
        <v/>
      </c>
      <c r="F751" s="352" t="str">
        <f t="shared" si="23"/>
        <v/>
      </c>
      <c r="G751" s="2" t="str">
        <f>IF(D751&lt;&gt;"",IF(VLOOKUP(VLOOKUP(E751,Beräkningshjälp!O$2:U$60,7,FALSE),Artuppgifter!$I$11:$P$22,8,FALSE)=TRUE,"Medelvikter!!","ALLA"),"")</f>
        <v/>
      </c>
      <c r="H751" s="2" t="str">
        <f>IF(D751&lt;&gt;"",VLOOKUP(ROW(H750),Beräkningshjälp!AC$2:AH$1082,COLUMN(Beräkningshjälp!AH$2)-COLUMN(Beräkningshjälp!AC$2)+1,FALSE),"")</f>
        <v/>
      </c>
      <c r="I751" s="116" t="str">
        <f>IF(D751&lt;&gt;"",VLOOKUP(ROW(E750),Beräkningshjälp!AC$2:AI$1082,COLUMN(Beräkningshjälp!AI$2)-COLUMN(Beräkningshjälp!AC$2)+1,FALSE),"")</f>
        <v/>
      </c>
    </row>
    <row r="752" spans="1:9" x14ac:dyDescent="0.25">
      <c r="A752" s="2" t="str">
        <f t="shared" si="22"/>
        <v/>
      </c>
      <c r="B752" s="136" t="str">
        <f>IF(D752&lt;&gt;"",'DATA TILL SLU'!$J$3,"")</f>
        <v/>
      </c>
      <c r="C752" s="146" t="str">
        <f>IF(D752&lt;&gt;"",'DATA TILL SLU'!$K$3,"")</f>
        <v/>
      </c>
      <c r="D752" s="2" t="str">
        <f>IF('DATA TILL SLU'!$D$7*1&lt;&gt;"",IF(COUNT(Beräkningshjälp!$AC$3:$AC$1082)&gt;=ROW(D751),'DATA TILL SLU'!$D$7*1,""),"")</f>
        <v/>
      </c>
      <c r="E752" s="136" t="str">
        <f>IF(D752&lt;&gt;"",VLOOKUP(ROW(E751),Beräkningshjälp!AC$2:AH$1082,COLUMN(Beräkningshjälp!AF$2)-COLUMN(Beräkningshjälp!AC$2)+1,FALSE),"")</f>
        <v/>
      </c>
      <c r="F752" s="352" t="str">
        <f t="shared" si="23"/>
        <v/>
      </c>
      <c r="G752" s="2" t="str">
        <f>IF(D752&lt;&gt;"",IF(VLOOKUP(VLOOKUP(E752,Beräkningshjälp!O$2:U$60,7,FALSE),Artuppgifter!$I$11:$P$22,8,FALSE)=TRUE,"Medelvikter!!","ALLA"),"")</f>
        <v/>
      </c>
      <c r="H752" s="2" t="str">
        <f>IF(D752&lt;&gt;"",VLOOKUP(ROW(H751),Beräkningshjälp!AC$2:AH$1082,COLUMN(Beräkningshjälp!AH$2)-COLUMN(Beräkningshjälp!AC$2)+1,FALSE),"")</f>
        <v/>
      </c>
      <c r="I752" s="116" t="str">
        <f>IF(D752&lt;&gt;"",VLOOKUP(ROW(E751),Beräkningshjälp!AC$2:AI$1082,COLUMN(Beräkningshjälp!AI$2)-COLUMN(Beräkningshjälp!AC$2)+1,FALSE),"")</f>
        <v/>
      </c>
    </row>
    <row r="753" spans="1:9" x14ac:dyDescent="0.25">
      <c r="A753" s="2" t="str">
        <f t="shared" si="22"/>
        <v/>
      </c>
      <c r="B753" s="136" t="str">
        <f>IF(D753&lt;&gt;"",'DATA TILL SLU'!$J$3,"")</f>
        <v/>
      </c>
      <c r="C753" s="146" t="str">
        <f>IF(D753&lt;&gt;"",'DATA TILL SLU'!$K$3,"")</f>
        <v/>
      </c>
      <c r="D753" s="2" t="str">
        <f>IF('DATA TILL SLU'!$D$7*1&lt;&gt;"",IF(COUNT(Beräkningshjälp!$AC$3:$AC$1082)&gt;=ROW(D752),'DATA TILL SLU'!$D$7*1,""),"")</f>
        <v/>
      </c>
      <c r="E753" s="136" t="str">
        <f>IF(D753&lt;&gt;"",VLOOKUP(ROW(E752),Beräkningshjälp!AC$2:AH$1082,COLUMN(Beräkningshjälp!AF$2)-COLUMN(Beräkningshjälp!AC$2)+1,FALSE),"")</f>
        <v/>
      </c>
      <c r="F753" s="352" t="str">
        <f t="shared" si="23"/>
        <v/>
      </c>
      <c r="G753" s="2" t="str">
        <f>IF(D753&lt;&gt;"",IF(VLOOKUP(VLOOKUP(E753,Beräkningshjälp!O$2:U$60,7,FALSE),Artuppgifter!$I$11:$P$22,8,FALSE)=TRUE,"Medelvikter!!","ALLA"),"")</f>
        <v/>
      </c>
      <c r="H753" s="2" t="str">
        <f>IF(D753&lt;&gt;"",VLOOKUP(ROW(H752),Beräkningshjälp!AC$2:AH$1082,COLUMN(Beräkningshjälp!AH$2)-COLUMN(Beräkningshjälp!AC$2)+1,FALSE),"")</f>
        <v/>
      </c>
      <c r="I753" s="116" t="str">
        <f>IF(D753&lt;&gt;"",VLOOKUP(ROW(E752),Beräkningshjälp!AC$2:AI$1082,COLUMN(Beräkningshjälp!AI$2)-COLUMN(Beräkningshjälp!AC$2)+1,FALSE),"")</f>
        <v/>
      </c>
    </row>
    <row r="754" spans="1:9" x14ac:dyDescent="0.25">
      <c r="A754" s="2" t="str">
        <f t="shared" si="22"/>
        <v/>
      </c>
      <c r="B754" s="136" t="str">
        <f>IF(D754&lt;&gt;"",'DATA TILL SLU'!$J$3,"")</f>
        <v/>
      </c>
      <c r="C754" s="146" t="str">
        <f>IF(D754&lt;&gt;"",'DATA TILL SLU'!$K$3,"")</f>
        <v/>
      </c>
      <c r="D754" s="2" t="str">
        <f>IF('DATA TILL SLU'!$D$7*1&lt;&gt;"",IF(COUNT(Beräkningshjälp!$AC$3:$AC$1082)&gt;=ROW(D753),'DATA TILL SLU'!$D$7*1,""),"")</f>
        <v/>
      </c>
      <c r="E754" s="136" t="str">
        <f>IF(D754&lt;&gt;"",VLOOKUP(ROW(E753),Beräkningshjälp!AC$2:AH$1082,COLUMN(Beräkningshjälp!AF$2)-COLUMN(Beräkningshjälp!AC$2)+1,FALSE),"")</f>
        <v/>
      </c>
      <c r="F754" s="352" t="str">
        <f t="shared" si="23"/>
        <v/>
      </c>
      <c r="G754" s="2" t="str">
        <f>IF(D754&lt;&gt;"",IF(VLOOKUP(VLOOKUP(E754,Beräkningshjälp!O$2:U$60,7,FALSE),Artuppgifter!$I$11:$P$22,8,FALSE)=TRUE,"Medelvikter!!","ALLA"),"")</f>
        <v/>
      </c>
      <c r="H754" s="2" t="str">
        <f>IF(D754&lt;&gt;"",VLOOKUP(ROW(H753),Beräkningshjälp!AC$2:AH$1082,COLUMN(Beräkningshjälp!AH$2)-COLUMN(Beräkningshjälp!AC$2)+1,FALSE),"")</f>
        <v/>
      </c>
      <c r="I754" s="116" t="str">
        <f>IF(D754&lt;&gt;"",VLOOKUP(ROW(E753),Beräkningshjälp!AC$2:AI$1082,COLUMN(Beräkningshjälp!AI$2)-COLUMN(Beräkningshjälp!AC$2)+1,FALSE),"")</f>
        <v/>
      </c>
    </row>
    <row r="755" spans="1:9" x14ac:dyDescent="0.25">
      <c r="A755" s="2" t="str">
        <f t="shared" si="22"/>
        <v/>
      </c>
      <c r="B755" s="136" t="str">
        <f>IF(D755&lt;&gt;"",'DATA TILL SLU'!$J$3,"")</f>
        <v/>
      </c>
      <c r="C755" s="146" t="str">
        <f>IF(D755&lt;&gt;"",'DATA TILL SLU'!$K$3,"")</f>
        <v/>
      </c>
      <c r="D755" s="2" t="str">
        <f>IF('DATA TILL SLU'!$D$7*1&lt;&gt;"",IF(COUNT(Beräkningshjälp!$AC$3:$AC$1082)&gt;=ROW(D754),'DATA TILL SLU'!$D$7*1,""),"")</f>
        <v/>
      </c>
      <c r="E755" s="136" t="str">
        <f>IF(D755&lt;&gt;"",VLOOKUP(ROW(E754),Beräkningshjälp!AC$2:AH$1082,COLUMN(Beräkningshjälp!AF$2)-COLUMN(Beräkningshjälp!AC$2)+1,FALSE),"")</f>
        <v/>
      </c>
      <c r="F755" s="352" t="str">
        <f t="shared" si="23"/>
        <v/>
      </c>
      <c r="G755" s="2" t="str">
        <f>IF(D755&lt;&gt;"",IF(VLOOKUP(VLOOKUP(E755,Beräkningshjälp!O$2:U$60,7,FALSE),Artuppgifter!$I$11:$P$22,8,FALSE)=TRUE,"Medelvikter!!","ALLA"),"")</f>
        <v/>
      </c>
      <c r="H755" s="2" t="str">
        <f>IF(D755&lt;&gt;"",VLOOKUP(ROW(H754),Beräkningshjälp!AC$2:AH$1082,COLUMN(Beräkningshjälp!AH$2)-COLUMN(Beräkningshjälp!AC$2)+1,FALSE),"")</f>
        <v/>
      </c>
      <c r="I755" s="116" t="str">
        <f>IF(D755&lt;&gt;"",VLOOKUP(ROW(E754),Beräkningshjälp!AC$2:AI$1082,COLUMN(Beräkningshjälp!AI$2)-COLUMN(Beräkningshjälp!AC$2)+1,FALSE),"")</f>
        <v/>
      </c>
    </row>
    <row r="756" spans="1:9" x14ac:dyDescent="0.25">
      <c r="A756" s="2" t="str">
        <f t="shared" si="22"/>
        <v/>
      </c>
      <c r="B756" s="136" t="str">
        <f>IF(D756&lt;&gt;"",'DATA TILL SLU'!$J$3,"")</f>
        <v/>
      </c>
      <c r="C756" s="146" t="str">
        <f>IF(D756&lt;&gt;"",'DATA TILL SLU'!$K$3,"")</f>
        <v/>
      </c>
      <c r="D756" s="2" t="str">
        <f>IF('DATA TILL SLU'!$D$7*1&lt;&gt;"",IF(COUNT(Beräkningshjälp!$AC$3:$AC$1082)&gt;=ROW(D755),'DATA TILL SLU'!$D$7*1,""),"")</f>
        <v/>
      </c>
      <c r="E756" s="136" t="str">
        <f>IF(D756&lt;&gt;"",VLOOKUP(ROW(E755),Beräkningshjälp!AC$2:AH$1082,COLUMN(Beräkningshjälp!AF$2)-COLUMN(Beräkningshjälp!AC$2)+1,FALSE),"")</f>
        <v/>
      </c>
      <c r="F756" s="352" t="str">
        <f t="shared" si="23"/>
        <v/>
      </c>
      <c r="G756" s="2" t="str">
        <f>IF(D756&lt;&gt;"",IF(VLOOKUP(VLOOKUP(E756,Beräkningshjälp!O$2:U$60,7,FALSE),Artuppgifter!$I$11:$P$22,8,FALSE)=TRUE,"Medelvikter!!","ALLA"),"")</f>
        <v/>
      </c>
      <c r="H756" s="2" t="str">
        <f>IF(D756&lt;&gt;"",VLOOKUP(ROW(H755),Beräkningshjälp!AC$2:AH$1082,COLUMN(Beräkningshjälp!AH$2)-COLUMN(Beräkningshjälp!AC$2)+1,FALSE),"")</f>
        <v/>
      </c>
      <c r="I756" s="116" t="str">
        <f>IF(D756&lt;&gt;"",VLOOKUP(ROW(E755),Beräkningshjälp!AC$2:AI$1082,COLUMN(Beräkningshjälp!AI$2)-COLUMN(Beräkningshjälp!AC$2)+1,FALSE),"")</f>
        <v/>
      </c>
    </row>
    <row r="757" spans="1:9" x14ac:dyDescent="0.25">
      <c r="A757" s="2" t="str">
        <f t="shared" si="22"/>
        <v/>
      </c>
      <c r="B757" s="136" t="str">
        <f>IF(D757&lt;&gt;"",'DATA TILL SLU'!$J$3,"")</f>
        <v/>
      </c>
      <c r="C757" s="146" t="str">
        <f>IF(D757&lt;&gt;"",'DATA TILL SLU'!$K$3,"")</f>
        <v/>
      </c>
      <c r="D757" s="2" t="str">
        <f>IF('DATA TILL SLU'!$D$7*1&lt;&gt;"",IF(COUNT(Beräkningshjälp!$AC$3:$AC$1082)&gt;=ROW(D756),'DATA TILL SLU'!$D$7*1,""),"")</f>
        <v/>
      </c>
      <c r="E757" s="136" t="str">
        <f>IF(D757&lt;&gt;"",VLOOKUP(ROW(E756),Beräkningshjälp!AC$2:AH$1082,COLUMN(Beräkningshjälp!AF$2)-COLUMN(Beräkningshjälp!AC$2)+1,FALSE),"")</f>
        <v/>
      </c>
      <c r="F757" s="352" t="str">
        <f t="shared" si="23"/>
        <v/>
      </c>
      <c r="G757" s="2" t="str">
        <f>IF(D757&lt;&gt;"",IF(VLOOKUP(VLOOKUP(E757,Beräkningshjälp!O$2:U$60,7,FALSE),Artuppgifter!$I$11:$P$22,8,FALSE)=TRUE,"Medelvikter!!","ALLA"),"")</f>
        <v/>
      </c>
      <c r="H757" s="2" t="str">
        <f>IF(D757&lt;&gt;"",VLOOKUP(ROW(H756),Beräkningshjälp!AC$2:AH$1082,COLUMN(Beräkningshjälp!AH$2)-COLUMN(Beräkningshjälp!AC$2)+1,FALSE),"")</f>
        <v/>
      </c>
      <c r="I757" s="116" t="str">
        <f>IF(D757&lt;&gt;"",VLOOKUP(ROW(E756),Beräkningshjälp!AC$2:AI$1082,COLUMN(Beräkningshjälp!AI$2)-COLUMN(Beräkningshjälp!AC$2)+1,FALSE),"")</f>
        <v/>
      </c>
    </row>
    <row r="758" spans="1:9" x14ac:dyDescent="0.25">
      <c r="A758" s="2" t="str">
        <f t="shared" si="22"/>
        <v/>
      </c>
      <c r="B758" s="136" t="str">
        <f>IF(D758&lt;&gt;"",'DATA TILL SLU'!$J$3,"")</f>
        <v/>
      </c>
      <c r="C758" s="146" t="str">
        <f>IF(D758&lt;&gt;"",'DATA TILL SLU'!$K$3,"")</f>
        <v/>
      </c>
      <c r="D758" s="2" t="str">
        <f>IF('DATA TILL SLU'!$D$7*1&lt;&gt;"",IF(COUNT(Beräkningshjälp!$AC$3:$AC$1082)&gt;=ROW(D757),'DATA TILL SLU'!$D$7*1,""),"")</f>
        <v/>
      </c>
      <c r="E758" s="136" t="str">
        <f>IF(D758&lt;&gt;"",VLOOKUP(ROW(E757),Beräkningshjälp!AC$2:AH$1082,COLUMN(Beräkningshjälp!AF$2)-COLUMN(Beräkningshjälp!AC$2)+1,FALSE),"")</f>
        <v/>
      </c>
      <c r="F758" s="352" t="str">
        <f t="shared" si="23"/>
        <v/>
      </c>
      <c r="G758" s="2" t="str">
        <f>IF(D758&lt;&gt;"",IF(VLOOKUP(VLOOKUP(E758,Beräkningshjälp!O$2:U$60,7,FALSE),Artuppgifter!$I$11:$P$22,8,FALSE)=TRUE,"Medelvikter!!","ALLA"),"")</f>
        <v/>
      </c>
      <c r="H758" s="2" t="str">
        <f>IF(D758&lt;&gt;"",VLOOKUP(ROW(H757),Beräkningshjälp!AC$2:AH$1082,COLUMN(Beräkningshjälp!AH$2)-COLUMN(Beräkningshjälp!AC$2)+1,FALSE),"")</f>
        <v/>
      </c>
      <c r="I758" s="116" t="str">
        <f>IF(D758&lt;&gt;"",VLOOKUP(ROW(E757),Beräkningshjälp!AC$2:AI$1082,COLUMN(Beräkningshjälp!AI$2)-COLUMN(Beräkningshjälp!AC$2)+1,FALSE),"")</f>
        <v/>
      </c>
    </row>
    <row r="759" spans="1:9" x14ac:dyDescent="0.25">
      <c r="A759" s="2" t="str">
        <f t="shared" si="22"/>
        <v/>
      </c>
      <c r="B759" s="136" t="str">
        <f>IF(D759&lt;&gt;"",'DATA TILL SLU'!$J$3,"")</f>
        <v/>
      </c>
      <c r="C759" s="146" t="str">
        <f>IF(D759&lt;&gt;"",'DATA TILL SLU'!$K$3,"")</f>
        <v/>
      </c>
      <c r="D759" s="2" t="str">
        <f>IF('DATA TILL SLU'!$D$7*1&lt;&gt;"",IF(COUNT(Beräkningshjälp!$AC$3:$AC$1082)&gt;=ROW(D758),'DATA TILL SLU'!$D$7*1,""),"")</f>
        <v/>
      </c>
      <c r="E759" s="136" t="str">
        <f>IF(D759&lt;&gt;"",VLOOKUP(ROW(E758),Beräkningshjälp!AC$2:AH$1082,COLUMN(Beräkningshjälp!AF$2)-COLUMN(Beräkningshjälp!AC$2)+1,FALSE),"")</f>
        <v/>
      </c>
      <c r="F759" s="352" t="str">
        <f t="shared" si="23"/>
        <v/>
      </c>
      <c r="G759" s="2" t="str">
        <f>IF(D759&lt;&gt;"",IF(VLOOKUP(VLOOKUP(E759,Beräkningshjälp!O$2:U$60,7,FALSE),Artuppgifter!$I$11:$P$22,8,FALSE)=TRUE,"Medelvikter!!","ALLA"),"")</f>
        <v/>
      </c>
      <c r="H759" s="2" t="str">
        <f>IF(D759&lt;&gt;"",VLOOKUP(ROW(H758),Beräkningshjälp!AC$2:AH$1082,COLUMN(Beräkningshjälp!AH$2)-COLUMN(Beräkningshjälp!AC$2)+1,FALSE),"")</f>
        <v/>
      </c>
      <c r="I759" s="116" t="str">
        <f>IF(D759&lt;&gt;"",VLOOKUP(ROW(E758),Beräkningshjälp!AC$2:AI$1082,COLUMN(Beräkningshjälp!AI$2)-COLUMN(Beräkningshjälp!AC$2)+1,FALSE),"")</f>
        <v/>
      </c>
    </row>
    <row r="760" spans="1:9" x14ac:dyDescent="0.25">
      <c r="A760" s="2" t="str">
        <f t="shared" si="22"/>
        <v/>
      </c>
      <c r="B760" s="136" t="str">
        <f>IF(D760&lt;&gt;"",'DATA TILL SLU'!$J$3,"")</f>
        <v/>
      </c>
      <c r="C760" s="146" t="str">
        <f>IF(D760&lt;&gt;"",'DATA TILL SLU'!$K$3,"")</f>
        <v/>
      </c>
      <c r="D760" s="2" t="str">
        <f>IF('DATA TILL SLU'!$D$7*1&lt;&gt;"",IF(COUNT(Beräkningshjälp!$AC$3:$AC$1082)&gt;=ROW(D759),'DATA TILL SLU'!$D$7*1,""),"")</f>
        <v/>
      </c>
      <c r="E760" s="136" t="str">
        <f>IF(D760&lt;&gt;"",VLOOKUP(ROW(E759),Beräkningshjälp!AC$2:AH$1082,COLUMN(Beräkningshjälp!AF$2)-COLUMN(Beräkningshjälp!AC$2)+1,FALSE),"")</f>
        <v/>
      </c>
      <c r="F760" s="352" t="str">
        <f t="shared" si="23"/>
        <v/>
      </c>
      <c r="G760" s="2" t="str">
        <f>IF(D760&lt;&gt;"",IF(VLOOKUP(VLOOKUP(E760,Beräkningshjälp!O$2:U$60,7,FALSE),Artuppgifter!$I$11:$P$22,8,FALSE)=TRUE,"Medelvikter!!","ALLA"),"")</f>
        <v/>
      </c>
      <c r="H760" s="2" t="str">
        <f>IF(D760&lt;&gt;"",VLOOKUP(ROW(H759),Beräkningshjälp!AC$2:AH$1082,COLUMN(Beräkningshjälp!AH$2)-COLUMN(Beräkningshjälp!AC$2)+1,FALSE),"")</f>
        <v/>
      </c>
      <c r="I760" s="116" t="str">
        <f>IF(D760&lt;&gt;"",VLOOKUP(ROW(E759),Beräkningshjälp!AC$2:AI$1082,COLUMN(Beräkningshjälp!AI$2)-COLUMN(Beräkningshjälp!AC$2)+1,FALSE),"")</f>
        <v/>
      </c>
    </row>
    <row r="761" spans="1:9" x14ac:dyDescent="0.25">
      <c r="A761" s="2" t="str">
        <f t="shared" si="22"/>
        <v/>
      </c>
      <c r="B761" s="136" t="str">
        <f>IF(D761&lt;&gt;"",'DATA TILL SLU'!$J$3,"")</f>
        <v/>
      </c>
      <c r="C761" s="146" t="str">
        <f>IF(D761&lt;&gt;"",'DATA TILL SLU'!$K$3,"")</f>
        <v/>
      </c>
      <c r="D761" s="2" t="str">
        <f>IF('DATA TILL SLU'!$D$7*1&lt;&gt;"",IF(COUNT(Beräkningshjälp!$AC$3:$AC$1082)&gt;=ROW(D760),'DATA TILL SLU'!$D$7*1,""),"")</f>
        <v/>
      </c>
      <c r="E761" s="136" t="str">
        <f>IF(D761&lt;&gt;"",VLOOKUP(ROW(E760),Beräkningshjälp!AC$2:AH$1082,COLUMN(Beräkningshjälp!AF$2)-COLUMN(Beräkningshjälp!AC$2)+1,FALSE),"")</f>
        <v/>
      </c>
      <c r="F761" s="352" t="str">
        <f t="shared" si="23"/>
        <v/>
      </c>
      <c r="G761" s="2" t="str">
        <f>IF(D761&lt;&gt;"",IF(VLOOKUP(VLOOKUP(E761,Beräkningshjälp!O$2:U$60,7,FALSE),Artuppgifter!$I$11:$P$22,8,FALSE)=TRUE,"Medelvikter!!","ALLA"),"")</f>
        <v/>
      </c>
      <c r="H761" s="2" t="str">
        <f>IF(D761&lt;&gt;"",VLOOKUP(ROW(H760),Beräkningshjälp!AC$2:AH$1082,COLUMN(Beräkningshjälp!AH$2)-COLUMN(Beräkningshjälp!AC$2)+1,FALSE),"")</f>
        <v/>
      </c>
      <c r="I761" s="116" t="str">
        <f>IF(D761&lt;&gt;"",VLOOKUP(ROW(E760),Beräkningshjälp!AC$2:AI$1082,COLUMN(Beräkningshjälp!AI$2)-COLUMN(Beräkningshjälp!AC$2)+1,FALSE),"")</f>
        <v/>
      </c>
    </row>
    <row r="762" spans="1:9" x14ac:dyDescent="0.25">
      <c r="A762" s="2" t="str">
        <f t="shared" si="22"/>
        <v/>
      </c>
      <c r="B762" s="136" t="str">
        <f>IF(D762&lt;&gt;"",'DATA TILL SLU'!$J$3,"")</f>
        <v/>
      </c>
      <c r="C762" s="146" t="str">
        <f>IF(D762&lt;&gt;"",'DATA TILL SLU'!$K$3,"")</f>
        <v/>
      </c>
      <c r="D762" s="2" t="str">
        <f>IF('DATA TILL SLU'!$D$7*1&lt;&gt;"",IF(COUNT(Beräkningshjälp!$AC$3:$AC$1082)&gt;=ROW(D761),'DATA TILL SLU'!$D$7*1,""),"")</f>
        <v/>
      </c>
      <c r="E762" s="136" t="str">
        <f>IF(D762&lt;&gt;"",VLOOKUP(ROW(E761),Beräkningshjälp!AC$2:AH$1082,COLUMN(Beräkningshjälp!AF$2)-COLUMN(Beräkningshjälp!AC$2)+1,FALSE),"")</f>
        <v/>
      </c>
      <c r="F762" s="352" t="str">
        <f t="shared" si="23"/>
        <v/>
      </c>
      <c r="G762" s="2" t="str">
        <f>IF(D762&lt;&gt;"",IF(VLOOKUP(VLOOKUP(E762,Beräkningshjälp!O$2:U$60,7,FALSE),Artuppgifter!$I$11:$P$22,8,FALSE)=TRUE,"Medelvikter!!","ALLA"),"")</f>
        <v/>
      </c>
      <c r="H762" s="2" t="str">
        <f>IF(D762&lt;&gt;"",VLOOKUP(ROW(H761),Beräkningshjälp!AC$2:AH$1082,COLUMN(Beräkningshjälp!AH$2)-COLUMN(Beräkningshjälp!AC$2)+1,FALSE),"")</f>
        <v/>
      </c>
      <c r="I762" s="116" t="str">
        <f>IF(D762&lt;&gt;"",VLOOKUP(ROW(E761),Beräkningshjälp!AC$2:AI$1082,COLUMN(Beräkningshjälp!AI$2)-COLUMN(Beräkningshjälp!AC$2)+1,FALSE),"")</f>
        <v/>
      </c>
    </row>
    <row r="763" spans="1:9" x14ac:dyDescent="0.25">
      <c r="A763" s="2" t="str">
        <f t="shared" si="22"/>
        <v/>
      </c>
      <c r="B763" s="136" t="str">
        <f>IF(D763&lt;&gt;"",'DATA TILL SLU'!$J$3,"")</f>
        <v/>
      </c>
      <c r="C763" s="146" t="str">
        <f>IF(D763&lt;&gt;"",'DATA TILL SLU'!$K$3,"")</f>
        <v/>
      </c>
      <c r="D763" s="2" t="str">
        <f>IF('DATA TILL SLU'!$D$7*1&lt;&gt;"",IF(COUNT(Beräkningshjälp!$AC$3:$AC$1082)&gt;=ROW(D762),'DATA TILL SLU'!$D$7*1,""),"")</f>
        <v/>
      </c>
      <c r="E763" s="136" t="str">
        <f>IF(D763&lt;&gt;"",VLOOKUP(ROW(E762),Beräkningshjälp!AC$2:AH$1082,COLUMN(Beräkningshjälp!AF$2)-COLUMN(Beräkningshjälp!AC$2)+1,FALSE),"")</f>
        <v/>
      </c>
      <c r="F763" s="352" t="str">
        <f t="shared" si="23"/>
        <v/>
      </c>
      <c r="G763" s="2" t="str">
        <f>IF(D763&lt;&gt;"",IF(VLOOKUP(VLOOKUP(E763,Beräkningshjälp!O$2:U$60,7,FALSE),Artuppgifter!$I$11:$P$22,8,FALSE)=TRUE,"Medelvikter!!","ALLA"),"")</f>
        <v/>
      </c>
      <c r="H763" s="2" t="str">
        <f>IF(D763&lt;&gt;"",VLOOKUP(ROW(H762),Beräkningshjälp!AC$2:AH$1082,COLUMN(Beräkningshjälp!AH$2)-COLUMN(Beräkningshjälp!AC$2)+1,FALSE),"")</f>
        <v/>
      </c>
      <c r="I763" s="116" t="str">
        <f>IF(D763&lt;&gt;"",VLOOKUP(ROW(E762),Beräkningshjälp!AC$2:AI$1082,COLUMN(Beräkningshjälp!AI$2)-COLUMN(Beräkningshjälp!AC$2)+1,FALSE),"")</f>
        <v/>
      </c>
    </row>
    <row r="764" spans="1:9" x14ac:dyDescent="0.25">
      <c r="A764" s="2" t="str">
        <f t="shared" si="22"/>
        <v/>
      </c>
      <c r="B764" s="136" t="str">
        <f>IF(D764&lt;&gt;"",'DATA TILL SLU'!$J$3,"")</f>
        <v/>
      </c>
      <c r="C764" s="146" t="str">
        <f>IF(D764&lt;&gt;"",'DATA TILL SLU'!$K$3,"")</f>
        <v/>
      </c>
      <c r="D764" s="2" t="str">
        <f>IF('DATA TILL SLU'!$D$7*1&lt;&gt;"",IF(COUNT(Beräkningshjälp!$AC$3:$AC$1082)&gt;=ROW(D763),'DATA TILL SLU'!$D$7*1,""),"")</f>
        <v/>
      </c>
      <c r="E764" s="136" t="str">
        <f>IF(D764&lt;&gt;"",VLOOKUP(ROW(E763),Beräkningshjälp!AC$2:AH$1082,COLUMN(Beräkningshjälp!AF$2)-COLUMN(Beräkningshjälp!AC$2)+1,FALSE),"")</f>
        <v/>
      </c>
      <c r="F764" s="352" t="str">
        <f t="shared" si="23"/>
        <v/>
      </c>
      <c r="G764" s="2" t="str">
        <f>IF(D764&lt;&gt;"",IF(VLOOKUP(VLOOKUP(E764,Beräkningshjälp!O$2:U$60,7,FALSE),Artuppgifter!$I$11:$P$22,8,FALSE)=TRUE,"Medelvikter!!","ALLA"),"")</f>
        <v/>
      </c>
      <c r="H764" s="2" t="str">
        <f>IF(D764&lt;&gt;"",VLOOKUP(ROW(H763),Beräkningshjälp!AC$2:AH$1082,COLUMN(Beräkningshjälp!AH$2)-COLUMN(Beräkningshjälp!AC$2)+1,FALSE),"")</f>
        <v/>
      </c>
      <c r="I764" s="116" t="str">
        <f>IF(D764&lt;&gt;"",VLOOKUP(ROW(E763),Beräkningshjälp!AC$2:AI$1082,COLUMN(Beräkningshjälp!AI$2)-COLUMN(Beräkningshjälp!AC$2)+1,FALSE),"")</f>
        <v/>
      </c>
    </row>
    <row r="765" spans="1:9" x14ac:dyDescent="0.25">
      <c r="A765" s="2" t="str">
        <f t="shared" si="22"/>
        <v/>
      </c>
      <c r="B765" s="136" t="str">
        <f>IF(D765&lt;&gt;"",'DATA TILL SLU'!$J$3,"")</f>
        <v/>
      </c>
      <c r="C765" s="146" t="str">
        <f>IF(D765&lt;&gt;"",'DATA TILL SLU'!$K$3,"")</f>
        <v/>
      </c>
      <c r="D765" s="2" t="str">
        <f>IF('DATA TILL SLU'!$D$7*1&lt;&gt;"",IF(COUNT(Beräkningshjälp!$AC$3:$AC$1082)&gt;=ROW(D764),'DATA TILL SLU'!$D$7*1,""),"")</f>
        <v/>
      </c>
      <c r="E765" s="136" t="str">
        <f>IF(D765&lt;&gt;"",VLOOKUP(ROW(E764),Beräkningshjälp!AC$2:AH$1082,COLUMN(Beräkningshjälp!AF$2)-COLUMN(Beräkningshjälp!AC$2)+1,FALSE),"")</f>
        <v/>
      </c>
      <c r="F765" s="352" t="str">
        <f t="shared" si="23"/>
        <v/>
      </c>
      <c r="G765" s="2" t="str">
        <f>IF(D765&lt;&gt;"",IF(VLOOKUP(VLOOKUP(E765,Beräkningshjälp!O$2:U$60,7,FALSE),Artuppgifter!$I$11:$P$22,8,FALSE)=TRUE,"Medelvikter!!","ALLA"),"")</f>
        <v/>
      </c>
      <c r="H765" s="2" t="str">
        <f>IF(D765&lt;&gt;"",VLOOKUP(ROW(H764),Beräkningshjälp!AC$2:AH$1082,COLUMN(Beräkningshjälp!AH$2)-COLUMN(Beräkningshjälp!AC$2)+1,FALSE),"")</f>
        <v/>
      </c>
      <c r="I765" s="116" t="str">
        <f>IF(D765&lt;&gt;"",VLOOKUP(ROW(E764),Beräkningshjälp!AC$2:AI$1082,COLUMN(Beräkningshjälp!AI$2)-COLUMN(Beräkningshjälp!AC$2)+1,FALSE),"")</f>
        <v/>
      </c>
    </row>
    <row r="766" spans="1:9" x14ac:dyDescent="0.25">
      <c r="A766" s="2" t="str">
        <f t="shared" si="22"/>
        <v/>
      </c>
      <c r="B766" s="136" t="str">
        <f>IF(D766&lt;&gt;"",'DATA TILL SLU'!$J$3,"")</f>
        <v/>
      </c>
      <c r="C766" s="146" t="str">
        <f>IF(D766&lt;&gt;"",'DATA TILL SLU'!$K$3,"")</f>
        <v/>
      </c>
      <c r="D766" s="2" t="str">
        <f>IF('DATA TILL SLU'!$D$7*1&lt;&gt;"",IF(COUNT(Beräkningshjälp!$AC$3:$AC$1082)&gt;=ROW(D765),'DATA TILL SLU'!$D$7*1,""),"")</f>
        <v/>
      </c>
      <c r="E766" s="136" t="str">
        <f>IF(D766&lt;&gt;"",VLOOKUP(ROW(E765),Beräkningshjälp!AC$2:AH$1082,COLUMN(Beräkningshjälp!AF$2)-COLUMN(Beräkningshjälp!AC$2)+1,FALSE),"")</f>
        <v/>
      </c>
      <c r="F766" s="352" t="str">
        <f t="shared" si="23"/>
        <v/>
      </c>
      <c r="G766" s="2" t="str">
        <f>IF(D766&lt;&gt;"",IF(VLOOKUP(VLOOKUP(E766,Beräkningshjälp!O$2:U$60,7,FALSE),Artuppgifter!$I$11:$P$22,8,FALSE)=TRUE,"Medelvikter!!","ALLA"),"")</f>
        <v/>
      </c>
      <c r="H766" s="2" t="str">
        <f>IF(D766&lt;&gt;"",VLOOKUP(ROW(H765),Beräkningshjälp!AC$2:AH$1082,COLUMN(Beräkningshjälp!AH$2)-COLUMN(Beräkningshjälp!AC$2)+1,FALSE),"")</f>
        <v/>
      </c>
      <c r="I766" s="116" t="str">
        <f>IF(D766&lt;&gt;"",VLOOKUP(ROW(E765),Beräkningshjälp!AC$2:AI$1082,COLUMN(Beräkningshjälp!AI$2)-COLUMN(Beräkningshjälp!AC$2)+1,FALSE),"")</f>
        <v/>
      </c>
    </row>
    <row r="767" spans="1:9" x14ac:dyDescent="0.25">
      <c r="A767" s="2" t="str">
        <f t="shared" si="22"/>
        <v/>
      </c>
      <c r="B767" s="136" t="str">
        <f>IF(D767&lt;&gt;"",'DATA TILL SLU'!$J$3,"")</f>
        <v/>
      </c>
      <c r="C767" s="146" t="str">
        <f>IF(D767&lt;&gt;"",'DATA TILL SLU'!$K$3,"")</f>
        <v/>
      </c>
      <c r="D767" s="2" t="str">
        <f>IF('DATA TILL SLU'!$D$7*1&lt;&gt;"",IF(COUNT(Beräkningshjälp!$AC$3:$AC$1082)&gt;=ROW(D766),'DATA TILL SLU'!$D$7*1,""),"")</f>
        <v/>
      </c>
      <c r="E767" s="136" t="str">
        <f>IF(D767&lt;&gt;"",VLOOKUP(ROW(E766),Beräkningshjälp!AC$2:AH$1082,COLUMN(Beräkningshjälp!AF$2)-COLUMN(Beräkningshjälp!AC$2)+1,FALSE),"")</f>
        <v/>
      </c>
      <c r="F767" s="352" t="str">
        <f t="shared" si="23"/>
        <v/>
      </c>
      <c r="G767" s="2" t="str">
        <f>IF(D767&lt;&gt;"",IF(VLOOKUP(VLOOKUP(E767,Beräkningshjälp!O$2:U$60,7,FALSE),Artuppgifter!$I$11:$P$22,8,FALSE)=TRUE,"Medelvikter!!","ALLA"),"")</f>
        <v/>
      </c>
      <c r="H767" s="2" t="str">
        <f>IF(D767&lt;&gt;"",VLOOKUP(ROW(H766),Beräkningshjälp!AC$2:AH$1082,COLUMN(Beräkningshjälp!AH$2)-COLUMN(Beräkningshjälp!AC$2)+1,FALSE),"")</f>
        <v/>
      </c>
      <c r="I767" s="116" t="str">
        <f>IF(D767&lt;&gt;"",VLOOKUP(ROW(E766),Beräkningshjälp!AC$2:AI$1082,COLUMN(Beräkningshjälp!AI$2)-COLUMN(Beräkningshjälp!AC$2)+1,FALSE),"")</f>
        <v/>
      </c>
    </row>
    <row r="768" spans="1:9" x14ac:dyDescent="0.25">
      <c r="A768" s="2" t="str">
        <f t="shared" si="22"/>
        <v/>
      </c>
      <c r="B768" s="136" t="str">
        <f>IF(D768&lt;&gt;"",'DATA TILL SLU'!$J$3,"")</f>
        <v/>
      </c>
      <c r="C768" s="146" t="str">
        <f>IF(D768&lt;&gt;"",'DATA TILL SLU'!$K$3,"")</f>
        <v/>
      </c>
      <c r="D768" s="2" t="str">
        <f>IF('DATA TILL SLU'!$D$7*1&lt;&gt;"",IF(COUNT(Beräkningshjälp!$AC$3:$AC$1082)&gt;=ROW(D767),'DATA TILL SLU'!$D$7*1,""),"")</f>
        <v/>
      </c>
      <c r="E768" s="136" t="str">
        <f>IF(D768&lt;&gt;"",VLOOKUP(ROW(E767),Beräkningshjälp!AC$2:AH$1082,COLUMN(Beräkningshjälp!AF$2)-COLUMN(Beräkningshjälp!AC$2)+1,FALSE),"")</f>
        <v/>
      </c>
      <c r="F768" s="352" t="str">
        <f t="shared" si="23"/>
        <v/>
      </c>
      <c r="G768" s="2" t="str">
        <f>IF(D768&lt;&gt;"",IF(VLOOKUP(VLOOKUP(E768,Beräkningshjälp!O$2:U$60,7,FALSE),Artuppgifter!$I$11:$P$22,8,FALSE)=TRUE,"Medelvikter!!","ALLA"),"")</f>
        <v/>
      </c>
      <c r="H768" s="2" t="str">
        <f>IF(D768&lt;&gt;"",VLOOKUP(ROW(H767),Beräkningshjälp!AC$2:AH$1082,COLUMN(Beräkningshjälp!AH$2)-COLUMN(Beräkningshjälp!AC$2)+1,FALSE),"")</f>
        <v/>
      </c>
      <c r="I768" s="116" t="str">
        <f>IF(D768&lt;&gt;"",VLOOKUP(ROW(E767),Beräkningshjälp!AC$2:AI$1082,COLUMN(Beräkningshjälp!AI$2)-COLUMN(Beräkningshjälp!AC$2)+1,FALSE),"")</f>
        <v/>
      </c>
    </row>
    <row r="769" spans="1:9" x14ac:dyDescent="0.25">
      <c r="A769" s="2" t="str">
        <f t="shared" si="22"/>
        <v/>
      </c>
      <c r="B769" s="136" t="str">
        <f>IF(D769&lt;&gt;"",'DATA TILL SLU'!$J$3,"")</f>
        <v/>
      </c>
      <c r="C769" s="146" t="str">
        <f>IF(D769&lt;&gt;"",'DATA TILL SLU'!$K$3,"")</f>
        <v/>
      </c>
      <c r="D769" s="2" t="str">
        <f>IF('DATA TILL SLU'!$D$7*1&lt;&gt;"",IF(COUNT(Beräkningshjälp!$AC$3:$AC$1082)&gt;=ROW(D768),'DATA TILL SLU'!$D$7*1,""),"")</f>
        <v/>
      </c>
      <c r="E769" s="136" t="str">
        <f>IF(D769&lt;&gt;"",VLOOKUP(ROW(E768),Beräkningshjälp!AC$2:AH$1082,COLUMN(Beräkningshjälp!AF$2)-COLUMN(Beräkningshjälp!AC$2)+1,FALSE),"")</f>
        <v/>
      </c>
      <c r="F769" s="352" t="str">
        <f t="shared" si="23"/>
        <v/>
      </c>
      <c r="G769" s="2" t="str">
        <f>IF(D769&lt;&gt;"",IF(VLOOKUP(VLOOKUP(E769,Beräkningshjälp!O$2:U$60,7,FALSE),Artuppgifter!$I$11:$P$22,8,FALSE)=TRUE,"Medelvikter!!","ALLA"),"")</f>
        <v/>
      </c>
      <c r="H769" s="2" t="str">
        <f>IF(D769&lt;&gt;"",VLOOKUP(ROW(H768),Beräkningshjälp!AC$2:AH$1082,COLUMN(Beräkningshjälp!AH$2)-COLUMN(Beräkningshjälp!AC$2)+1,FALSE),"")</f>
        <v/>
      </c>
      <c r="I769" s="116" t="str">
        <f>IF(D769&lt;&gt;"",VLOOKUP(ROW(E768),Beräkningshjälp!AC$2:AI$1082,COLUMN(Beräkningshjälp!AI$2)-COLUMN(Beräkningshjälp!AC$2)+1,FALSE),"")</f>
        <v/>
      </c>
    </row>
    <row r="770" spans="1:9" x14ac:dyDescent="0.25">
      <c r="A770" s="2" t="str">
        <f t="shared" si="22"/>
        <v/>
      </c>
      <c r="B770" s="136" t="str">
        <f>IF(D770&lt;&gt;"",'DATA TILL SLU'!$J$3,"")</f>
        <v/>
      </c>
      <c r="C770" s="146" t="str">
        <f>IF(D770&lt;&gt;"",'DATA TILL SLU'!$K$3,"")</f>
        <v/>
      </c>
      <c r="D770" s="2" t="str">
        <f>IF('DATA TILL SLU'!$D$7*1&lt;&gt;"",IF(COUNT(Beräkningshjälp!$AC$3:$AC$1082)&gt;=ROW(D769),'DATA TILL SLU'!$D$7*1,""),"")</f>
        <v/>
      </c>
      <c r="E770" s="136" t="str">
        <f>IF(D770&lt;&gt;"",VLOOKUP(ROW(E769),Beräkningshjälp!AC$2:AH$1082,COLUMN(Beräkningshjälp!AF$2)-COLUMN(Beräkningshjälp!AC$2)+1,FALSE),"")</f>
        <v/>
      </c>
      <c r="F770" s="352" t="str">
        <f t="shared" si="23"/>
        <v/>
      </c>
      <c r="G770" s="2" t="str">
        <f>IF(D770&lt;&gt;"",IF(VLOOKUP(VLOOKUP(E770,Beräkningshjälp!O$2:U$60,7,FALSE),Artuppgifter!$I$11:$P$22,8,FALSE)=TRUE,"Medelvikter!!","ALLA"),"")</f>
        <v/>
      </c>
      <c r="H770" s="2" t="str">
        <f>IF(D770&lt;&gt;"",VLOOKUP(ROW(H769),Beräkningshjälp!AC$2:AH$1082,COLUMN(Beräkningshjälp!AH$2)-COLUMN(Beräkningshjälp!AC$2)+1,FALSE),"")</f>
        <v/>
      </c>
      <c r="I770" s="116" t="str">
        <f>IF(D770&lt;&gt;"",VLOOKUP(ROW(E769),Beräkningshjälp!AC$2:AI$1082,COLUMN(Beräkningshjälp!AI$2)-COLUMN(Beräkningshjälp!AC$2)+1,FALSE),"")</f>
        <v/>
      </c>
    </row>
    <row r="771" spans="1:9" x14ac:dyDescent="0.25">
      <c r="A771" s="2" t="str">
        <f t="shared" ref="A771:A834" si="24">IF(D771&lt;&gt;"","LANGDVIKTER","")</f>
        <v/>
      </c>
      <c r="B771" s="136" t="str">
        <f>IF(D771&lt;&gt;"",'DATA TILL SLU'!$J$3,"")</f>
        <v/>
      </c>
      <c r="C771" s="146" t="str">
        <f>IF(D771&lt;&gt;"",'DATA TILL SLU'!$K$3,"")</f>
        <v/>
      </c>
      <c r="D771" s="2" t="str">
        <f>IF('DATA TILL SLU'!$D$7*1&lt;&gt;"",IF(COUNT(Beräkningshjälp!$AC$3:$AC$1082)&gt;=ROW(D770),'DATA TILL SLU'!$D$7*1,""),"")</f>
        <v/>
      </c>
      <c r="E771" s="136" t="str">
        <f>IF(D771&lt;&gt;"",VLOOKUP(ROW(E770),Beräkningshjälp!AC$2:AH$1082,COLUMN(Beräkningshjälp!AF$2)-COLUMN(Beräkningshjälp!AC$2)+1,FALSE),"")</f>
        <v/>
      </c>
      <c r="F771" s="352" t="str">
        <f t="shared" ref="F771:F834" si="25">IF(D771&lt;&gt;"","IND","")</f>
        <v/>
      </c>
      <c r="G771" s="2" t="str">
        <f>IF(D771&lt;&gt;"",IF(VLOOKUP(VLOOKUP(E771,Beräkningshjälp!O$2:U$60,7,FALSE),Artuppgifter!$I$11:$P$22,8,FALSE)=TRUE,"Medelvikter!!","ALLA"),"")</f>
        <v/>
      </c>
      <c r="H771" s="2" t="str">
        <f>IF(D771&lt;&gt;"",VLOOKUP(ROW(H770),Beräkningshjälp!AC$2:AH$1082,COLUMN(Beräkningshjälp!AH$2)-COLUMN(Beräkningshjälp!AC$2)+1,FALSE),"")</f>
        <v/>
      </c>
      <c r="I771" s="116" t="str">
        <f>IF(D771&lt;&gt;"",VLOOKUP(ROW(E770),Beräkningshjälp!AC$2:AI$1082,COLUMN(Beräkningshjälp!AI$2)-COLUMN(Beräkningshjälp!AC$2)+1,FALSE),"")</f>
        <v/>
      </c>
    </row>
    <row r="772" spans="1:9" x14ac:dyDescent="0.25">
      <c r="A772" s="2" t="str">
        <f t="shared" si="24"/>
        <v/>
      </c>
      <c r="B772" s="136" t="str">
        <f>IF(D772&lt;&gt;"",'DATA TILL SLU'!$J$3,"")</f>
        <v/>
      </c>
      <c r="C772" s="146" t="str">
        <f>IF(D772&lt;&gt;"",'DATA TILL SLU'!$K$3,"")</f>
        <v/>
      </c>
      <c r="D772" s="2" t="str">
        <f>IF('DATA TILL SLU'!$D$7*1&lt;&gt;"",IF(COUNT(Beräkningshjälp!$AC$3:$AC$1082)&gt;=ROW(D771),'DATA TILL SLU'!$D$7*1,""),"")</f>
        <v/>
      </c>
      <c r="E772" s="136" t="str">
        <f>IF(D772&lt;&gt;"",VLOOKUP(ROW(E771),Beräkningshjälp!AC$2:AH$1082,COLUMN(Beräkningshjälp!AF$2)-COLUMN(Beräkningshjälp!AC$2)+1,FALSE),"")</f>
        <v/>
      </c>
      <c r="F772" s="352" t="str">
        <f t="shared" si="25"/>
        <v/>
      </c>
      <c r="G772" s="2" t="str">
        <f>IF(D772&lt;&gt;"",IF(VLOOKUP(VLOOKUP(E772,Beräkningshjälp!O$2:U$60,7,FALSE),Artuppgifter!$I$11:$P$22,8,FALSE)=TRUE,"Medelvikter!!","ALLA"),"")</f>
        <v/>
      </c>
      <c r="H772" s="2" t="str">
        <f>IF(D772&lt;&gt;"",VLOOKUP(ROW(H771),Beräkningshjälp!AC$2:AH$1082,COLUMN(Beräkningshjälp!AH$2)-COLUMN(Beräkningshjälp!AC$2)+1,FALSE),"")</f>
        <v/>
      </c>
      <c r="I772" s="116" t="str">
        <f>IF(D772&lt;&gt;"",VLOOKUP(ROW(E771),Beräkningshjälp!AC$2:AI$1082,COLUMN(Beräkningshjälp!AI$2)-COLUMN(Beräkningshjälp!AC$2)+1,FALSE),"")</f>
        <v/>
      </c>
    </row>
    <row r="773" spans="1:9" x14ac:dyDescent="0.25">
      <c r="A773" s="2" t="str">
        <f t="shared" si="24"/>
        <v/>
      </c>
      <c r="B773" s="136" t="str">
        <f>IF(D773&lt;&gt;"",'DATA TILL SLU'!$J$3,"")</f>
        <v/>
      </c>
      <c r="C773" s="146" t="str">
        <f>IF(D773&lt;&gt;"",'DATA TILL SLU'!$K$3,"")</f>
        <v/>
      </c>
      <c r="D773" s="2" t="str">
        <f>IF('DATA TILL SLU'!$D$7*1&lt;&gt;"",IF(COUNT(Beräkningshjälp!$AC$3:$AC$1082)&gt;=ROW(D772),'DATA TILL SLU'!$D$7*1,""),"")</f>
        <v/>
      </c>
      <c r="E773" s="136" t="str">
        <f>IF(D773&lt;&gt;"",VLOOKUP(ROW(E772),Beräkningshjälp!AC$2:AH$1082,COLUMN(Beräkningshjälp!AF$2)-COLUMN(Beräkningshjälp!AC$2)+1,FALSE),"")</f>
        <v/>
      </c>
      <c r="F773" s="352" t="str">
        <f t="shared" si="25"/>
        <v/>
      </c>
      <c r="G773" s="2" t="str">
        <f>IF(D773&lt;&gt;"",IF(VLOOKUP(VLOOKUP(E773,Beräkningshjälp!O$2:U$60,7,FALSE),Artuppgifter!$I$11:$P$22,8,FALSE)=TRUE,"Medelvikter!!","ALLA"),"")</f>
        <v/>
      </c>
      <c r="H773" s="2" t="str">
        <f>IF(D773&lt;&gt;"",VLOOKUP(ROW(H772),Beräkningshjälp!AC$2:AH$1082,COLUMN(Beräkningshjälp!AH$2)-COLUMN(Beräkningshjälp!AC$2)+1,FALSE),"")</f>
        <v/>
      </c>
      <c r="I773" s="116" t="str">
        <f>IF(D773&lt;&gt;"",VLOOKUP(ROW(E772),Beräkningshjälp!AC$2:AI$1082,COLUMN(Beräkningshjälp!AI$2)-COLUMN(Beräkningshjälp!AC$2)+1,FALSE),"")</f>
        <v/>
      </c>
    </row>
    <row r="774" spans="1:9" x14ac:dyDescent="0.25">
      <c r="A774" s="2" t="str">
        <f t="shared" si="24"/>
        <v/>
      </c>
      <c r="B774" s="136" t="str">
        <f>IF(D774&lt;&gt;"",'DATA TILL SLU'!$J$3,"")</f>
        <v/>
      </c>
      <c r="C774" s="146" t="str">
        <f>IF(D774&lt;&gt;"",'DATA TILL SLU'!$K$3,"")</f>
        <v/>
      </c>
      <c r="D774" s="2" t="str">
        <f>IF('DATA TILL SLU'!$D$7*1&lt;&gt;"",IF(COUNT(Beräkningshjälp!$AC$3:$AC$1082)&gt;=ROW(D773),'DATA TILL SLU'!$D$7*1,""),"")</f>
        <v/>
      </c>
      <c r="E774" s="136" t="str">
        <f>IF(D774&lt;&gt;"",VLOOKUP(ROW(E773),Beräkningshjälp!AC$2:AH$1082,COLUMN(Beräkningshjälp!AF$2)-COLUMN(Beräkningshjälp!AC$2)+1,FALSE),"")</f>
        <v/>
      </c>
      <c r="F774" s="352" t="str">
        <f t="shared" si="25"/>
        <v/>
      </c>
      <c r="G774" s="2" t="str">
        <f>IF(D774&lt;&gt;"",IF(VLOOKUP(VLOOKUP(E774,Beräkningshjälp!O$2:U$60,7,FALSE),Artuppgifter!$I$11:$P$22,8,FALSE)=TRUE,"Medelvikter!!","ALLA"),"")</f>
        <v/>
      </c>
      <c r="H774" s="2" t="str">
        <f>IF(D774&lt;&gt;"",VLOOKUP(ROW(H773),Beräkningshjälp!AC$2:AH$1082,COLUMN(Beräkningshjälp!AH$2)-COLUMN(Beräkningshjälp!AC$2)+1,FALSE),"")</f>
        <v/>
      </c>
      <c r="I774" s="116" t="str">
        <f>IF(D774&lt;&gt;"",VLOOKUP(ROW(E773),Beräkningshjälp!AC$2:AI$1082,COLUMN(Beräkningshjälp!AI$2)-COLUMN(Beräkningshjälp!AC$2)+1,FALSE),"")</f>
        <v/>
      </c>
    </row>
    <row r="775" spans="1:9" x14ac:dyDescent="0.25">
      <c r="A775" s="2" t="str">
        <f t="shared" si="24"/>
        <v/>
      </c>
      <c r="B775" s="136" t="str">
        <f>IF(D775&lt;&gt;"",'DATA TILL SLU'!$J$3,"")</f>
        <v/>
      </c>
      <c r="C775" s="146" t="str">
        <f>IF(D775&lt;&gt;"",'DATA TILL SLU'!$K$3,"")</f>
        <v/>
      </c>
      <c r="D775" s="2" t="str">
        <f>IF('DATA TILL SLU'!$D$7*1&lt;&gt;"",IF(COUNT(Beräkningshjälp!$AC$3:$AC$1082)&gt;=ROW(D774),'DATA TILL SLU'!$D$7*1,""),"")</f>
        <v/>
      </c>
      <c r="E775" s="136" t="str">
        <f>IF(D775&lt;&gt;"",VLOOKUP(ROW(E774),Beräkningshjälp!AC$2:AH$1082,COLUMN(Beräkningshjälp!AF$2)-COLUMN(Beräkningshjälp!AC$2)+1,FALSE),"")</f>
        <v/>
      </c>
      <c r="F775" s="352" t="str">
        <f t="shared" si="25"/>
        <v/>
      </c>
      <c r="G775" s="2" t="str">
        <f>IF(D775&lt;&gt;"",IF(VLOOKUP(VLOOKUP(E775,Beräkningshjälp!O$2:U$60,7,FALSE),Artuppgifter!$I$11:$P$22,8,FALSE)=TRUE,"Medelvikter!!","ALLA"),"")</f>
        <v/>
      </c>
      <c r="H775" s="2" t="str">
        <f>IF(D775&lt;&gt;"",VLOOKUP(ROW(H774),Beräkningshjälp!AC$2:AH$1082,COLUMN(Beräkningshjälp!AH$2)-COLUMN(Beräkningshjälp!AC$2)+1,FALSE),"")</f>
        <v/>
      </c>
      <c r="I775" s="116" t="str">
        <f>IF(D775&lt;&gt;"",VLOOKUP(ROW(E774),Beräkningshjälp!AC$2:AI$1082,COLUMN(Beräkningshjälp!AI$2)-COLUMN(Beräkningshjälp!AC$2)+1,FALSE),"")</f>
        <v/>
      </c>
    </row>
    <row r="776" spans="1:9" x14ac:dyDescent="0.25">
      <c r="A776" s="2" t="str">
        <f t="shared" si="24"/>
        <v/>
      </c>
      <c r="B776" s="136" t="str">
        <f>IF(D776&lt;&gt;"",'DATA TILL SLU'!$J$3,"")</f>
        <v/>
      </c>
      <c r="C776" s="146" t="str">
        <f>IF(D776&lt;&gt;"",'DATA TILL SLU'!$K$3,"")</f>
        <v/>
      </c>
      <c r="D776" s="2" t="str">
        <f>IF('DATA TILL SLU'!$D$7*1&lt;&gt;"",IF(COUNT(Beräkningshjälp!$AC$3:$AC$1082)&gt;=ROW(D775),'DATA TILL SLU'!$D$7*1,""),"")</f>
        <v/>
      </c>
      <c r="E776" s="136" t="str">
        <f>IF(D776&lt;&gt;"",VLOOKUP(ROW(E775),Beräkningshjälp!AC$2:AH$1082,COLUMN(Beräkningshjälp!AF$2)-COLUMN(Beräkningshjälp!AC$2)+1,FALSE),"")</f>
        <v/>
      </c>
      <c r="F776" s="352" t="str">
        <f t="shared" si="25"/>
        <v/>
      </c>
      <c r="G776" s="2" t="str">
        <f>IF(D776&lt;&gt;"",IF(VLOOKUP(VLOOKUP(E776,Beräkningshjälp!O$2:U$60,7,FALSE),Artuppgifter!$I$11:$P$22,8,FALSE)=TRUE,"Medelvikter!!","ALLA"),"")</f>
        <v/>
      </c>
      <c r="H776" s="2" t="str">
        <f>IF(D776&lt;&gt;"",VLOOKUP(ROW(H775),Beräkningshjälp!AC$2:AH$1082,COLUMN(Beräkningshjälp!AH$2)-COLUMN(Beräkningshjälp!AC$2)+1,FALSE),"")</f>
        <v/>
      </c>
      <c r="I776" s="116" t="str">
        <f>IF(D776&lt;&gt;"",VLOOKUP(ROW(E775),Beräkningshjälp!AC$2:AI$1082,COLUMN(Beräkningshjälp!AI$2)-COLUMN(Beräkningshjälp!AC$2)+1,FALSE),"")</f>
        <v/>
      </c>
    </row>
    <row r="777" spans="1:9" x14ac:dyDescent="0.25">
      <c r="A777" s="2" t="str">
        <f t="shared" si="24"/>
        <v/>
      </c>
      <c r="B777" s="136" t="str">
        <f>IF(D777&lt;&gt;"",'DATA TILL SLU'!$J$3,"")</f>
        <v/>
      </c>
      <c r="C777" s="146" t="str">
        <f>IF(D777&lt;&gt;"",'DATA TILL SLU'!$K$3,"")</f>
        <v/>
      </c>
      <c r="D777" s="2" t="str">
        <f>IF('DATA TILL SLU'!$D$7*1&lt;&gt;"",IF(COUNT(Beräkningshjälp!$AC$3:$AC$1082)&gt;=ROW(D776),'DATA TILL SLU'!$D$7*1,""),"")</f>
        <v/>
      </c>
      <c r="E777" s="136" t="str">
        <f>IF(D777&lt;&gt;"",VLOOKUP(ROW(E776),Beräkningshjälp!AC$2:AH$1082,COLUMN(Beräkningshjälp!AF$2)-COLUMN(Beräkningshjälp!AC$2)+1,FALSE),"")</f>
        <v/>
      </c>
      <c r="F777" s="352" t="str">
        <f t="shared" si="25"/>
        <v/>
      </c>
      <c r="G777" s="2" t="str">
        <f>IF(D777&lt;&gt;"",IF(VLOOKUP(VLOOKUP(E777,Beräkningshjälp!O$2:U$60,7,FALSE),Artuppgifter!$I$11:$P$22,8,FALSE)=TRUE,"Medelvikter!!","ALLA"),"")</f>
        <v/>
      </c>
      <c r="H777" s="2" t="str">
        <f>IF(D777&lt;&gt;"",VLOOKUP(ROW(H776),Beräkningshjälp!AC$2:AH$1082,COLUMN(Beräkningshjälp!AH$2)-COLUMN(Beräkningshjälp!AC$2)+1,FALSE),"")</f>
        <v/>
      </c>
      <c r="I777" s="116" t="str">
        <f>IF(D777&lt;&gt;"",VLOOKUP(ROW(E776),Beräkningshjälp!AC$2:AI$1082,COLUMN(Beräkningshjälp!AI$2)-COLUMN(Beräkningshjälp!AC$2)+1,FALSE),"")</f>
        <v/>
      </c>
    </row>
    <row r="778" spans="1:9" x14ac:dyDescent="0.25">
      <c r="A778" s="2" t="str">
        <f t="shared" si="24"/>
        <v/>
      </c>
      <c r="B778" s="136" t="str">
        <f>IF(D778&lt;&gt;"",'DATA TILL SLU'!$J$3,"")</f>
        <v/>
      </c>
      <c r="C778" s="146" t="str">
        <f>IF(D778&lt;&gt;"",'DATA TILL SLU'!$K$3,"")</f>
        <v/>
      </c>
      <c r="D778" s="2" t="str">
        <f>IF('DATA TILL SLU'!$D$7*1&lt;&gt;"",IF(COUNT(Beräkningshjälp!$AC$3:$AC$1082)&gt;=ROW(D777),'DATA TILL SLU'!$D$7*1,""),"")</f>
        <v/>
      </c>
      <c r="E778" s="136" t="str">
        <f>IF(D778&lt;&gt;"",VLOOKUP(ROW(E777),Beräkningshjälp!AC$2:AH$1082,COLUMN(Beräkningshjälp!AF$2)-COLUMN(Beräkningshjälp!AC$2)+1,FALSE),"")</f>
        <v/>
      </c>
      <c r="F778" s="352" t="str">
        <f t="shared" si="25"/>
        <v/>
      </c>
      <c r="G778" s="2" t="str">
        <f>IF(D778&lt;&gt;"",IF(VLOOKUP(VLOOKUP(E778,Beräkningshjälp!O$2:U$60,7,FALSE),Artuppgifter!$I$11:$P$22,8,FALSE)=TRUE,"Medelvikter!!","ALLA"),"")</f>
        <v/>
      </c>
      <c r="H778" s="2" t="str">
        <f>IF(D778&lt;&gt;"",VLOOKUP(ROW(H777),Beräkningshjälp!AC$2:AH$1082,COLUMN(Beräkningshjälp!AH$2)-COLUMN(Beräkningshjälp!AC$2)+1,FALSE),"")</f>
        <v/>
      </c>
      <c r="I778" s="116" t="str">
        <f>IF(D778&lt;&gt;"",VLOOKUP(ROW(E777),Beräkningshjälp!AC$2:AI$1082,COLUMN(Beräkningshjälp!AI$2)-COLUMN(Beräkningshjälp!AC$2)+1,FALSE),"")</f>
        <v/>
      </c>
    </row>
    <row r="779" spans="1:9" x14ac:dyDescent="0.25">
      <c r="A779" s="2" t="str">
        <f t="shared" si="24"/>
        <v/>
      </c>
      <c r="B779" s="136" t="str">
        <f>IF(D779&lt;&gt;"",'DATA TILL SLU'!$J$3,"")</f>
        <v/>
      </c>
      <c r="C779" s="146" t="str">
        <f>IF(D779&lt;&gt;"",'DATA TILL SLU'!$K$3,"")</f>
        <v/>
      </c>
      <c r="D779" s="2" t="str">
        <f>IF('DATA TILL SLU'!$D$7*1&lt;&gt;"",IF(COUNT(Beräkningshjälp!$AC$3:$AC$1082)&gt;=ROW(D778),'DATA TILL SLU'!$D$7*1,""),"")</f>
        <v/>
      </c>
      <c r="E779" s="136" t="str">
        <f>IF(D779&lt;&gt;"",VLOOKUP(ROW(E778),Beräkningshjälp!AC$2:AH$1082,COLUMN(Beräkningshjälp!AF$2)-COLUMN(Beräkningshjälp!AC$2)+1,FALSE),"")</f>
        <v/>
      </c>
      <c r="F779" s="352" t="str">
        <f t="shared" si="25"/>
        <v/>
      </c>
      <c r="G779" s="2" t="str">
        <f>IF(D779&lt;&gt;"",IF(VLOOKUP(VLOOKUP(E779,Beräkningshjälp!O$2:U$60,7,FALSE),Artuppgifter!$I$11:$P$22,8,FALSE)=TRUE,"Medelvikter!!","ALLA"),"")</f>
        <v/>
      </c>
      <c r="H779" s="2" t="str">
        <f>IF(D779&lt;&gt;"",VLOOKUP(ROW(H778),Beräkningshjälp!AC$2:AH$1082,COLUMN(Beräkningshjälp!AH$2)-COLUMN(Beräkningshjälp!AC$2)+1,FALSE),"")</f>
        <v/>
      </c>
      <c r="I779" s="116" t="str">
        <f>IF(D779&lt;&gt;"",VLOOKUP(ROW(E778),Beräkningshjälp!AC$2:AI$1082,COLUMN(Beräkningshjälp!AI$2)-COLUMN(Beräkningshjälp!AC$2)+1,FALSE),"")</f>
        <v/>
      </c>
    </row>
    <row r="780" spans="1:9" x14ac:dyDescent="0.25">
      <c r="A780" s="2" t="str">
        <f t="shared" si="24"/>
        <v/>
      </c>
      <c r="B780" s="136" t="str">
        <f>IF(D780&lt;&gt;"",'DATA TILL SLU'!$J$3,"")</f>
        <v/>
      </c>
      <c r="C780" s="146" t="str">
        <f>IF(D780&lt;&gt;"",'DATA TILL SLU'!$K$3,"")</f>
        <v/>
      </c>
      <c r="D780" s="2" t="str">
        <f>IF('DATA TILL SLU'!$D$7*1&lt;&gt;"",IF(COUNT(Beräkningshjälp!$AC$3:$AC$1082)&gt;=ROW(D779),'DATA TILL SLU'!$D$7*1,""),"")</f>
        <v/>
      </c>
      <c r="E780" s="136" t="str">
        <f>IF(D780&lt;&gt;"",VLOOKUP(ROW(E779),Beräkningshjälp!AC$2:AH$1082,COLUMN(Beräkningshjälp!AF$2)-COLUMN(Beräkningshjälp!AC$2)+1,FALSE),"")</f>
        <v/>
      </c>
      <c r="F780" s="352" t="str">
        <f t="shared" si="25"/>
        <v/>
      </c>
      <c r="G780" s="2" t="str">
        <f>IF(D780&lt;&gt;"",IF(VLOOKUP(VLOOKUP(E780,Beräkningshjälp!O$2:U$60,7,FALSE),Artuppgifter!$I$11:$P$22,8,FALSE)=TRUE,"Medelvikter!!","ALLA"),"")</f>
        <v/>
      </c>
      <c r="H780" s="2" t="str">
        <f>IF(D780&lt;&gt;"",VLOOKUP(ROW(H779),Beräkningshjälp!AC$2:AH$1082,COLUMN(Beräkningshjälp!AH$2)-COLUMN(Beräkningshjälp!AC$2)+1,FALSE),"")</f>
        <v/>
      </c>
      <c r="I780" s="116" t="str">
        <f>IF(D780&lt;&gt;"",VLOOKUP(ROW(E779),Beräkningshjälp!AC$2:AI$1082,COLUMN(Beräkningshjälp!AI$2)-COLUMN(Beräkningshjälp!AC$2)+1,FALSE),"")</f>
        <v/>
      </c>
    </row>
    <row r="781" spans="1:9" x14ac:dyDescent="0.25">
      <c r="A781" s="2" t="str">
        <f t="shared" si="24"/>
        <v/>
      </c>
      <c r="B781" s="136" t="str">
        <f>IF(D781&lt;&gt;"",'DATA TILL SLU'!$J$3,"")</f>
        <v/>
      </c>
      <c r="C781" s="146" t="str">
        <f>IF(D781&lt;&gt;"",'DATA TILL SLU'!$K$3,"")</f>
        <v/>
      </c>
      <c r="D781" s="2" t="str">
        <f>IF('DATA TILL SLU'!$D$7*1&lt;&gt;"",IF(COUNT(Beräkningshjälp!$AC$3:$AC$1082)&gt;=ROW(D780),'DATA TILL SLU'!$D$7*1,""),"")</f>
        <v/>
      </c>
      <c r="E781" s="136" t="str">
        <f>IF(D781&lt;&gt;"",VLOOKUP(ROW(E780),Beräkningshjälp!AC$2:AH$1082,COLUMN(Beräkningshjälp!AF$2)-COLUMN(Beräkningshjälp!AC$2)+1,FALSE),"")</f>
        <v/>
      </c>
      <c r="F781" s="352" t="str">
        <f t="shared" si="25"/>
        <v/>
      </c>
      <c r="G781" s="2" t="str">
        <f>IF(D781&lt;&gt;"",IF(VLOOKUP(VLOOKUP(E781,Beräkningshjälp!O$2:U$60,7,FALSE),Artuppgifter!$I$11:$P$22,8,FALSE)=TRUE,"Medelvikter!!","ALLA"),"")</f>
        <v/>
      </c>
      <c r="H781" s="2" t="str">
        <f>IF(D781&lt;&gt;"",VLOOKUP(ROW(H780),Beräkningshjälp!AC$2:AH$1082,COLUMN(Beräkningshjälp!AH$2)-COLUMN(Beräkningshjälp!AC$2)+1,FALSE),"")</f>
        <v/>
      </c>
      <c r="I781" s="116" t="str">
        <f>IF(D781&lt;&gt;"",VLOOKUP(ROW(E780),Beräkningshjälp!AC$2:AI$1082,COLUMN(Beräkningshjälp!AI$2)-COLUMN(Beräkningshjälp!AC$2)+1,FALSE),"")</f>
        <v/>
      </c>
    </row>
    <row r="782" spans="1:9" x14ac:dyDescent="0.25">
      <c r="A782" s="2" t="str">
        <f t="shared" si="24"/>
        <v/>
      </c>
      <c r="B782" s="136" t="str">
        <f>IF(D782&lt;&gt;"",'DATA TILL SLU'!$J$3,"")</f>
        <v/>
      </c>
      <c r="C782" s="146" t="str">
        <f>IF(D782&lt;&gt;"",'DATA TILL SLU'!$K$3,"")</f>
        <v/>
      </c>
      <c r="D782" s="2" t="str">
        <f>IF('DATA TILL SLU'!$D$7*1&lt;&gt;"",IF(COUNT(Beräkningshjälp!$AC$3:$AC$1082)&gt;=ROW(D781),'DATA TILL SLU'!$D$7*1,""),"")</f>
        <v/>
      </c>
      <c r="E782" s="136" t="str">
        <f>IF(D782&lt;&gt;"",VLOOKUP(ROW(E781),Beräkningshjälp!AC$2:AH$1082,COLUMN(Beräkningshjälp!AF$2)-COLUMN(Beräkningshjälp!AC$2)+1,FALSE),"")</f>
        <v/>
      </c>
      <c r="F782" s="352" t="str">
        <f t="shared" si="25"/>
        <v/>
      </c>
      <c r="G782" s="2" t="str">
        <f>IF(D782&lt;&gt;"",IF(VLOOKUP(VLOOKUP(E782,Beräkningshjälp!O$2:U$60,7,FALSE),Artuppgifter!$I$11:$P$22,8,FALSE)=TRUE,"Medelvikter!!","ALLA"),"")</f>
        <v/>
      </c>
      <c r="H782" s="2" t="str">
        <f>IF(D782&lt;&gt;"",VLOOKUP(ROW(H781),Beräkningshjälp!AC$2:AH$1082,COLUMN(Beräkningshjälp!AH$2)-COLUMN(Beräkningshjälp!AC$2)+1,FALSE),"")</f>
        <v/>
      </c>
      <c r="I782" s="116" t="str">
        <f>IF(D782&lt;&gt;"",VLOOKUP(ROW(E781),Beräkningshjälp!AC$2:AI$1082,COLUMN(Beräkningshjälp!AI$2)-COLUMN(Beräkningshjälp!AC$2)+1,FALSE),"")</f>
        <v/>
      </c>
    </row>
    <row r="783" spans="1:9" x14ac:dyDescent="0.25">
      <c r="A783" s="2" t="str">
        <f t="shared" si="24"/>
        <v/>
      </c>
      <c r="B783" s="136" t="str">
        <f>IF(D783&lt;&gt;"",'DATA TILL SLU'!$J$3,"")</f>
        <v/>
      </c>
      <c r="C783" s="146" t="str">
        <f>IF(D783&lt;&gt;"",'DATA TILL SLU'!$K$3,"")</f>
        <v/>
      </c>
      <c r="D783" s="2" t="str">
        <f>IF('DATA TILL SLU'!$D$7*1&lt;&gt;"",IF(COUNT(Beräkningshjälp!$AC$3:$AC$1082)&gt;=ROW(D782),'DATA TILL SLU'!$D$7*1,""),"")</f>
        <v/>
      </c>
      <c r="E783" s="136" t="str">
        <f>IF(D783&lt;&gt;"",VLOOKUP(ROW(E782),Beräkningshjälp!AC$2:AH$1082,COLUMN(Beräkningshjälp!AF$2)-COLUMN(Beräkningshjälp!AC$2)+1,FALSE),"")</f>
        <v/>
      </c>
      <c r="F783" s="352" t="str">
        <f t="shared" si="25"/>
        <v/>
      </c>
      <c r="G783" s="2" t="str">
        <f>IF(D783&lt;&gt;"",IF(VLOOKUP(VLOOKUP(E783,Beräkningshjälp!O$2:U$60,7,FALSE),Artuppgifter!$I$11:$P$22,8,FALSE)=TRUE,"Medelvikter!!","ALLA"),"")</f>
        <v/>
      </c>
      <c r="H783" s="2" t="str">
        <f>IF(D783&lt;&gt;"",VLOOKUP(ROW(H782),Beräkningshjälp!AC$2:AH$1082,COLUMN(Beräkningshjälp!AH$2)-COLUMN(Beräkningshjälp!AC$2)+1,FALSE),"")</f>
        <v/>
      </c>
      <c r="I783" s="116" t="str">
        <f>IF(D783&lt;&gt;"",VLOOKUP(ROW(E782),Beräkningshjälp!AC$2:AI$1082,COLUMN(Beräkningshjälp!AI$2)-COLUMN(Beräkningshjälp!AC$2)+1,FALSE),"")</f>
        <v/>
      </c>
    </row>
    <row r="784" spans="1:9" x14ac:dyDescent="0.25">
      <c r="A784" s="2" t="str">
        <f t="shared" si="24"/>
        <v/>
      </c>
      <c r="B784" s="136" t="str">
        <f>IF(D784&lt;&gt;"",'DATA TILL SLU'!$J$3,"")</f>
        <v/>
      </c>
      <c r="C784" s="146" t="str">
        <f>IF(D784&lt;&gt;"",'DATA TILL SLU'!$K$3,"")</f>
        <v/>
      </c>
      <c r="D784" s="2" t="str">
        <f>IF('DATA TILL SLU'!$D$7*1&lt;&gt;"",IF(COUNT(Beräkningshjälp!$AC$3:$AC$1082)&gt;=ROW(D783),'DATA TILL SLU'!$D$7*1,""),"")</f>
        <v/>
      </c>
      <c r="E784" s="136" t="str">
        <f>IF(D784&lt;&gt;"",VLOOKUP(ROW(E783),Beräkningshjälp!AC$2:AH$1082,COLUMN(Beräkningshjälp!AF$2)-COLUMN(Beräkningshjälp!AC$2)+1,FALSE),"")</f>
        <v/>
      </c>
      <c r="F784" s="352" t="str">
        <f t="shared" si="25"/>
        <v/>
      </c>
      <c r="G784" s="2" t="str">
        <f>IF(D784&lt;&gt;"",IF(VLOOKUP(VLOOKUP(E784,Beräkningshjälp!O$2:U$60,7,FALSE),Artuppgifter!$I$11:$P$22,8,FALSE)=TRUE,"Medelvikter!!","ALLA"),"")</f>
        <v/>
      </c>
      <c r="H784" s="2" t="str">
        <f>IF(D784&lt;&gt;"",VLOOKUP(ROW(H783),Beräkningshjälp!AC$2:AH$1082,COLUMN(Beräkningshjälp!AH$2)-COLUMN(Beräkningshjälp!AC$2)+1,FALSE),"")</f>
        <v/>
      </c>
      <c r="I784" s="116" t="str">
        <f>IF(D784&lt;&gt;"",VLOOKUP(ROW(E783),Beräkningshjälp!AC$2:AI$1082,COLUMN(Beräkningshjälp!AI$2)-COLUMN(Beräkningshjälp!AC$2)+1,FALSE),"")</f>
        <v/>
      </c>
    </row>
    <row r="785" spans="1:9" x14ac:dyDescent="0.25">
      <c r="A785" s="2" t="str">
        <f t="shared" si="24"/>
        <v/>
      </c>
      <c r="B785" s="136" t="str">
        <f>IF(D785&lt;&gt;"",'DATA TILL SLU'!$J$3,"")</f>
        <v/>
      </c>
      <c r="C785" s="146" t="str">
        <f>IF(D785&lt;&gt;"",'DATA TILL SLU'!$K$3,"")</f>
        <v/>
      </c>
      <c r="D785" s="2" t="str">
        <f>IF('DATA TILL SLU'!$D$7*1&lt;&gt;"",IF(COUNT(Beräkningshjälp!$AC$3:$AC$1082)&gt;=ROW(D784),'DATA TILL SLU'!$D$7*1,""),"")</f>
        <v/>
      </c>
      <c r="E785" s="136" t="str">
        <f>IF(D785&lt;&gt;"",VLOOKUP(ROW(E784),Beräkningshjälp!AC$2:AH$1082,COLUMN(Beräkningshjälp!AF$2)-COLUMN(Beräkningshjälp!AC$2)+1,FALSE),"")</f>
        <v/>
      </c>
      <c r="F785" s="352" t="str">
        <f t="shared" si="25"/>
        <v/>
      </c>
      <c r="G785" s="2" t="str">
        <f>IF(D785&lt;&gt;"",IF(VLOOKUP(VLOOKUP(E785,Beräkningshjälp!O$2:U$60,7,FALSE),Artuppgifter!$I$11:$P$22,8,FALSE)=TRUE,"Medelvikter!!","ALLA"),"")</f>
        <v/>
      </c>
      <c r="H785" s="2" t="str">
        <f>IF(D785&lt;&gt;"",VLOOKUP(ROW(H784),Beräkningshjälp!AC$2:AH$1082,COLUMN(Beräkningshjälp!AH$2)-COLUMN(Beräkningshjälp!AC$2)+1,FALSE),"")</f>
        <v/>
      </c>
      <c r="I785" s="116" t="str">
        <f>IF(D785&lt;&gt;"",VLOOKUP(ROW(E784),Beräkningshjälp!AC$2:AI$1082,COLUMN(Beräkningshjälp!AI$2)-COLUMN(Beräkningshjälp!AC$2)+1,FALSE),"")</f>
        <v/>
      </c>
    </row>
    <row r="786" spans="1:9" x14ac:dyDescent="0.25">
      <c r="A786" s="2" t="str">
        <f t="shared" si="24"/>
        <v/>
      </c>
      <c r="B786" s="136" t="str">
        <f>IF(D786&lt;&gt;"",'DATA TILL SLU'!$J$3,"")</f>
        <v/>
      </c>
      <c r="C786" s="146" t="str">
        <f>IF(D786&lt;&gt;"",'DATA TILL SLU'!$K$3,"")</f>
        <v/>
      </c>
      <c r="D786" s="2" t="str">
        <f>IF('DATA TILL SLU'!$D$7*1&lt;&gt;"",IF(COUNT(Beräkningshjälp!$AC$3:$AC$1082)&gt;=ROW(D785),'DATA TILL SLU'!$D$7*1,""),"")</f>
        <v/>
      </c>
      <c r="E786" s="136" t="str">
        <f>IF(D786&lt;&gt;"",VLOOKUP(ROW(E785),Beräkningshjälp!AC$2:AH$1082,COLUMN(Beräkningshjälp!AF$2)-COLUMN(Beräkningshjälp!AC$2)+1,FALSE),"")</f>
        <v/>
      </c>
      <c r="F786" s="352" t="str">
        <f t="shared" si="25"/>
        <v/>
      </c>
      <c r="G786" s="2" t="str">
        <f>IF(D786&lt;&gt;"",IF(VLOOKUP(VLOOKUP(E786,Beräkningshjälp!O$2:U$60,7,FALSE),Artuppgifter!$I$11:$P$22,8,FALSE)=TRUE,"Medelvikter!!","ALLA"),"")</f>
        <v/>
      </c>
      <c r="H786" s="2" t="str">
        <f>IF(D786&lt;&gt;"",VLOOKUP(ROW(H785),Beräkningshjälp!AC$2:AH$1082,COLUMN(Beräkningshjälp!AH$2)-COLUMN(Beräkningshjälp!AC$2)+1,FALSE),"")</f>
        <v/>
      </c>
      <c r="I786" s="116" t="str">
        <f>IF(D786&lt;&gt;"",VLOOKUP(ROW(E785),Beräkningshjälp!AC$2:AI$1082,COLUMN(Beräkningshjälp!AI$2)-COLUMN(Beräkningshjälp!AC$2)+1,FALSE),"")</f>
        <v/>
      </c>
    </row>
    <row r="787" spans="1:9" x14ac:dyDescent="0.25">
      <c r="A787" s="2" t="str">
        <f t="shared" si="24"/>
        <v/>
      </c>
      <c r="B787" s="136" t="str">
        <f>IF(D787&lt;&gt;"",'DATA TILL SLU'!$J$3,"")</f>
        <v/>
      </c>
      <c r="C787" s="146" t="str">
        <f>IF(D787&lt;&gt;"",'DATA TILL SLU'!$K$3,"")</f>
        <v/>
      </c>
      <c r="D787" s="2" t="str">
        <f>IF('DATA TILL SLU'!$D$7*1&lt;&gt;"",IF(COUNT(Beräkningshjälp!$AC$3:$AC$1082)&gt;=ROW(D786),'DATA TILL SLU'!$D$7*1,""),"")</f>
        <v/>
      </c>
      <c r="E787" s="136" t="str">
        <f>IF(D787&lt;&gt;"",VLOOKUP(ROW(E786),Beräkningshjälp!AC$2:AH$1082,COLUMN(Beräkningshjälp!AF$2)-COLUMN(Beräkningshjälp!AC$2)+1,FALSE),"")</f>
        <v/>
      </c>
      <c r="F787" s="352" t="str">
        <f t="shared" si="25"/>
        <v/>
      </c>
      <c r="G787" s="2" t="str">
        <f>IF(D787&lt;&gt;"",IF(VLOOKUP(VLOOKUP(E787,Beräkningshjälp!O$2:U$60,7,FALSE),Artuppgifter!$I$11:$P$22,8,FALSE)=TRUE,"Medelvikter!!","ALLA"),"")</f>
        <v/>
      </c>
      <c r="H787" s="2" t="str">
        <f>IF(D787&lt;&gt;"",VLOOKUP(ROW(H786),Beräkningshjälp!AC$2:AH$1082,COLUMN(Beräkningshjälp!AH$2)-COLUMN(Beräkningshjälp!AC$2)+1,FALSE),"")</f>
        <v/>
      </c>
      <c r="I787" s="116" t="str">
        <f>IF(D787&lt;&gt;"",VLOOKUP(ROW(E786),Beräkningshjälp!AC$2:AI$1082,COLUMN(Beräkningshjälp!AI$2)-COLUMN(Beräkningshjälp!AC$2)+1,FALSE),"")</f>
        <v/>
      </c>
    </row>
    <row r="788" spans="1:9" x14ac:dyDescent="0.25">
      <c r="A788" s="2" t="str">
        <f t="shared" si="24"/>
        <v/>
      </c>
      <c r="B788" s="136" t="str">
        <f>IF(D788&lt;&gt;"",'DATA TILL SLU'!$J$3,"")</f>
        <v/>
      </c>
      <c r="C788" s="146" t="str">
        <f>IF(D788&lt;&gt;"",'DATA TILL SLU'!$K$3,"")</f>
        <v/>
      </c>
      <c r="D788" s="2" t="str">
        <f>IF('DATA TILL SLU'!$D$7*1&lt;&gt;"",IF(COUNT(Beräkningshjälp!$AC$3:$AC$1082)&gt;=ROW(D787),'DATA TILL SLU'!$D$7*1,""),"")</f>
        <v/>
      </c>
      <c r="E788" s="136" t="str">
        <f>IF(D788&lt;&gt;"",VLOOKUP(ROW(E787),Beräkningshjälp!AC$2:AH$1082,COLUMN(Beräkningshjälp!AF$2)-COLUMN(Beräkningshjälp!AC$2)+1,FALSE),"")</f>
        <v/>
      </c>
      <c r="F788" s="352" t="str">
        <f t="shared" si="25"/>
        <v/>
      </c>
      <c r="G788" s="2" t="str">
        <f>IF(D788&lt;&gt;"",IF(VLOOKUP(VLOOKUP(E788,Beräkningshjälp!O$2:U$60,7,FALSE),Artuppgifter!$I$11:$P$22,8,FALSE)=TRUE,"Medelvikter!!","ALLA"),"")</f>
        <v/>
      </c>
      <c r="H788" s="2" t="str">
        <f>IF(D788&lt;&gt;"",VLOOKUP(ROW(H787),Beräkningshjälp!AC$2:AH$1082,COLUMN(Beräkningshjälp!AH$2)-COLUMN(Beräkningshjälp!AC$2)+1,FALSE),"")</f>
        <v/>
      </c>
      <c r="I788" s="116" t="str">
        <f>IF(D788&lt;&gt;"",VLOOKUP(ROW(E787),Beräkningshjälp!AC$2:AI$1082,COLUMN(Beräkningshjälp!AI$2)-COLUMN(Beräkningshjälp!AC$2)+1,FALSE),"")</f>
        <v/>
      </c>
    </row>
    <row r="789" spans="1:9" x14ac:dyDescent="0.25">
      <c r="A789" s="2" t="str">
        <f t="shared" si="24"/>
        <v/>
      </c>
      <c r="B789" s="136" t="str">
        <f>IF(D789&lt;&gt;"",'DATA TILL SLU'!$J$3,"")</f>
        <v/>
      </c>
      <c r="C789" s="146" t="str">
        <f>IF(D789&lt;&gt;"",'DATA TILL SLU'!$K$3,"")</f>
        <v/>
      </c>
      <c r="D789" s="2" t="str">
        <f>IF('DATA TILL SLU'!$D$7*1&lt;&gt;"",IF(COUNT(Beräkningshjälp!$AC$3:$AC$1082)&gt;=ROW(D788),'DATA TILL SLU'!$D$7*1,""),"")</f>
        <v/>
      </c>
      <c r="E789" s="136" t="str">
        <f>IF(D789&lt;&gt;"",VLOOKUP(ROW(E788),Beräkningshjälp!AC$2:AH$1082,COLUMN(Beräkningshjälp!AF$2)-COLUMN(Beräkningshjälp!AC$2)+1,FALSE),"")</f>
        <v/>
      </c>
      <c r="F789" s="352" t="str">
        <f t="shared" si="25"/>
        <v/>
      </c>
      <c r="G789" s="2" t="str">
        <f>IF(D789&lt;&gt;"",IF(VLOOKUP(VLOOKUP(E789,Beräkningshjälp!O$2:U$60,7,FALSE),Artuppgifter!$I$11:$P$22,8,FALSE)=TRUE,"Medelvikter!!","ALLA"),"")</f>
        <v/>
      </c>
      <c r="H789" s="2" t="str">
        <f>IF(D789&lt;&gt;"",VLOOKUP(ROW(H788),Beräkningshjälp!AC$2:AH$1082,COLUMN(Beräkningshjälp!AH$2)-COLUMN(Beräkningshjälp!AC$2)+1,FALSE),"")</f>
        <v/>
      </c>
      <c r="I789" s="116" t="str">
        <f>IF(D789&lt;&gt;"",VLOOKUP(ROW(E788),Beräkningshjälp!AC$2:AI$1082,COLUMN(Beräkningshjälp!AI$2)-COLUMN(Beräkningshjälp!AC$2)+1,FALSE),"")</f>
        <v/>
      </c>
    </row>
    <row r="790" spans="1:9" x14ac:dyDescent="0.25">
      <c r="A790" s="2" t="str">
        <f t="shared" si="24"/>
        <v/>
      </c>
      <c r="B790" s="136" t="str">
        <f>IF(D790&lt;&gt;"",'DATA TILL SLU'!$J$3,"")</f>
        <v/>
      </c>
      <c r="C790" s="146" t="str">
        <f>IF(D790&lt;&gt;"",'DATA TILL SLU'!$K$3,"")</f>
        <v/>
      </c>
      <c r="D790" s="2" t="str">
        <f>IF('DATA TILL SLU'!$D$7*1&lt;&gt;"",IF(COUNT(Beräkningshjälp!$AC$3:$AC$1082)&gt;=ROW(D789),'DATA TILL SLU'!$D$7*1,""),"")</f>
        <v/>
      </c>
      <c r="E790" s="136" t="str">
        <f>IF(D790&lt;&gt;"",VLOOKUP(ROW(E789),Beräkningshjälp!AC$2:AH$1082,COLUMN(Beräkningshjälp!AF$2)-COLUMN(Beräkningshjälp!AC$2)+1,FALSE),"")</f>
        <v/>
      </c>
      <c r="F790" s="352" t="str">
        <f t="shared" si="25"/>
        <v/>
      </c>
      <c r="G790" s="2" t="str">
        <f>IF(D790&lt;&gt;"",IF(VLOOKUP(VLOOKUP(E790,Beräkningshjälp!O$2:U$60,7,FALSE),Artuppgifter!$I$11:$P$22,8,FALSE)=TRUE,"Medelvikter!!","ALLA"),"")</f>
        <v/>
      </c>
      <c r="H790" s="2" t="str">
        <f>IF(D790&lt;&gt;"",VLOOKUP(ROW(H789),Beräkningshjälp!AC$2:AH$1082,COLUMN(Beräkningshjälp!AH$2)-COLUMN(Beräkningshjälp!AC$2)+1,FALSE),"")</f>
        <v/>
      </c>
      <c r="I790" s="116" t="str">
        <f>IF(D790&lt;&gt;"",VLOOKUP(ROW(E789),Beräkningshjälp!AC$2:AI$1082,COLUMN(Beräkningshjälp!AI$2)-COLUMN(Beräkningshjälp!AC$2)+1,FALSE),"")</f>
        <v/>
      </c>
    </row>
    <row r="791" spans="1:9" x14ac:dyDescent="0.25">
      <c r="A791" s="2" t="str">
        <f t="shared" si="24"/>
        <v/>
      </c>
      <c r="B791" s="136" t="str">
        <f>IF(D791&lt;&gt;"",'DATA TILL SLU'!$J$3,"")</f>
        <v/>
      </c>
      <c r="C791" s="146" t="str">
        <f>IF(D791&lt;&gt;"",'DATA TILL SLU'!$K$3,"")</f>
        <v/>
      </c>
      <c r="D791" s="2" t="str">
        <f>IF('DATA TILL SLU'!$D$7*1&lt;&gt;"",IF(COUNT(Beräkningshjälp!$AC$3:$AC$1082)&gt;=ROW(D790),'DATA TILL SLU'!$D$7*1,""),"")</f>
        <v/>
      </c>
      <c r="E791" s="136" t="str">
        <f>IF(D791&lt;&gt;"",VLOOKUP(ROW(E790),Beräkningshjälp!AC$2:AH$1082,COLUMN(Beräkningshjälp!AF$2)-COLUMN(Beräkningshjälp!AC$2)+1,FALSE),"")</f>
        <v/>
      </c>
      <c r="F791" s="352" t="str">
        <f t="shared" si="25"/>
        <v/>
      </c>
      <c r="G791" s="2" t="str">
        <f>IF(D791&lt;&gt;"",IF(VLOOKUP(VLOOKUP(E791,Beräkningshjälp!O$2:U$60,7,FALSE),Artuppgifter!$I$11:$P$22,8,FALSE)=TRUE,"Medelvikter!!","ALLA"),"")</f>
        <v/>
      </c>
      <c r="H791" s="2" t="str">
        <f>IF(D791&lt;&gt;"",VLOOKUP(ROW(H790),Beräkningshjälp!AC$2:AH$1082,COLUMN(Beräkningshjälp!AH$2)-COLUMN(Beräkningshjälp!AC$2)+1,FALSE),"")</f>
        <v/>
      </c>
      <c r="I791" s="116" t="str">
        <f>IF(D791&lt;&gt;"",VLOOKUP(ROW(E790),Beräkningshjälp!AC$2:AI$1082,COLUMN(Beräkningshjälp!AI$2)-COLUMN(Beräkningshjälp!AC$2)+1,FALSE),"")</f>
        <v/>
      </c>
    </row>
    <row r="792" spans="1:9" x14ac:dyDescent="0.25">
      <c r="A792" s="2" t="str">
        <f t="shared" si="24"/>
        <v/>
      </c>
      <c r="B792" s="136" t="str">
        <f>IF(D792&lt;&gt;"",'DATA TILL SLU'!$J$3,"")</f>
        <v/>
      </c>
      <c r="C792" s="146" t="str">
        <f>IF(D792&lt;&gt;"",'DATA TILL SLU'!$K$3,"")</f>
        <v/>
      </c>
      <c r="D792" s="2" t="str">
        <f>IF('DATA TILL SLU'!$D$7*1&lt;&gt;"",IF(COUNT(Beräkningshjälp!$AC$3:$AC$1082)&gt;=ROW(D791),'DATA TILL SLU'!$D$7*1,""),"")</f>
        <v/>
      </c>
      <c r="E792" s="136" t="str">
        <f>IF(D792&lt;&gt;"",VLOOKUP(ROW(E791),Beräkningshjälp!AC$2:AH$1082,COLUMN(Beräkningshjälp!AF$2)-COLUMN(Beräkningshjälp!AC$2)+1,FALSE),"")</f>
        <v/>
      </c>
      <c r="F792" s="352" t="str">
        <f t="shared" si="25"/>
        <v/>
      </c>
      <c r="G792" s="2" t="str">
        <f>IF(D792&lt;&gt;"",IF(VLOOKUP(VLOOKUP(E792,Beräkningshjälp!O$2:U$60,7,FALSE),Artuppgifter!$I$11:$P$22,8,FALSE)=TRUE,"Medelvikter!!","ALLA"),"")</f>
        <v/>
      </c>
      <c r="H792" s="2" t="str">
        <f>IF(D792&lt;&gt;"",VLOOKUP(ROW(H791),Beräkningshjälp!AC$2:AH$1082,COLUMN(Beräkningshjälp!AH$2)-COLUMN(Beräkningshjälp!AC$2)+1,FALSE),"")</f>
        <v/>
      </c>
      <c r="I792" s="116" t="str">
        <f>IF(D792&lt;&gt;"",VLOOKUP(ROW(E791),Beräkningshjälp!AC$2:AI$1082,COLUMN(Beräkningshjälp!AI$2)-COLUMN(Beräkningshjälp!AC$2)+1,FALSE),"")</f>
        <v/>
      </c>
    </row>
    <row r="793" spans="1:9" x14ac:dyDescent="0.25">
      <c r="A793" s="2" t="str">
        <f t="shared" si="24"/>
        <v/>
      </c>
      <c r="B793" s="136" t="str">
        <f>IF(D793&lt;&gt;"",'DATA TILL SLU'!$J$3,"")</f>
        <v/>
      </c>
      <c r="C793" s="146" t="str">
        <f>IF(D793&lt;&gt;"",'DATA TILL SLU'!$K$3,"")</f>
        <v/>
      </c>
      <c r="D793" s="2" t="str">
        <f>IF('DATA TILL SLU'!$D$7*1&lt;&gt;"",IF(COUNT(Beräkningshjälp!$AC$3:$AC$1082)&gt;=ROW(D792),'DATA TILL SLU'!$D$7*1,""),"")</f>
        <v/>
      </c>
      <c r="E793" s="136" t="str">
        <f>IF(D793&lt;&gt;"",VLOOKUP(ROW(E792),Beräkningshjälp!AC$2:AH$1082,COLUMN(Beräkningshjälp!AF$2)-COLUMN(Beräkningshjälp!AC$2)+1,FALSE),"")</f>
        <v/>
      </c>
      <c r="F793" s="352" t="str">
        <f t="shared" si="25"/>
        <v/>
      </c>
      <c r="G793" s="2" t="str">
        <f>IF(D793&lt;&gt;"",IF(VLOOKUP(VLOOKUP(E793,Beräkningshjälp!O$2:U$60,7,FALSE),Artuppgifter!$I$11:$P$22,8,FALSE)=TRUE,"Medelvikter!!","ALLA"),"")</f>
        <v/>
      </c>
      <c r="H793" s="2" t="str">
        <f>IF(D793&lt;&gt;"",VLOOKUP(ROW(H792),Beräkningshjälp!AC$2:AH$1082,COLUMN(Beräkningshjälp!AH$2)-COLUMN(Beräkningshjälp!AC$2)+1,FALSE),"")</f>
        <v/>
      </c>
      <c r="I793" s="116" t="str">
        <f>IF(D793&lt;&gt;"",VLOOKUP(ROW(E792),Beräkningshjälp!AC$2:AI$1082,COLUMN(Beräkningshjälp!AI$2)-COLUMN(Beräkningshjälp!AC$2)+1,FALSE),"")</f>
        <v/>
      </c>
    </row>
    <row r="794" spans="1:9" x14ac:dyDescent="0.25">
      <c r="A794" s="2" t="str">
        <f t="shared" si="24"/>
        <v/>
      </c>
      <c r="B794" s="136" t="str">
        <f>IF(D794&lt;&gt;"",'DATA TILL SLU'!$J$3,"")</f>
        <v/>
      </c>
      <c r="C794" s="146" t="str">
        <f>IF(D794&lt;&gt;"",'DATA TILL SLU'!$K$3,"")</f>
        <v/>
      </c>
      <c r="D794" s="2" t="str">
        <f>IF('DATA TILL SLU'!$D$7*1&lt;&gt;"",IF(COUNT(Beräkningshjälp!$AC$3:$AC$1082)&gt;=ROW(D793),'DATA TILL SLU'!$D$7*1,""),"")</f>
        <v/>
      </c>
      <c r="E794" s="136" t="str">
        <f>IF(D794&lt;&gt;"",VLOOKUP(ROW(E793),Beräkningshjälp!AC$2:AH$1082,COLUMN(Beräkningshjälp!AF$2)-COLUMN(Beräkningshjälp!AC$2)+1,FALSE),"")</f>
        <v/>
      </c>
      <c r="F794" s="352" t="str">
        <f t="shared" si="25"/>
        <v/>
      </c>
      <c r="G794" s="2" t="str">
        <f>IF(D794&lt;&gt;"",IF(VLOOKUP(VLOOKUP(E794,Beräkningshjälp!O$2:U$60,7,FALSE),Artuppgifter!$I$11:$P$22,8,FALSE)=TRUE,"Medelvikter!!","ALLA"),"")</f>
        <v/>
      </c>
      <c r="H794" s="2" t="str">
        <f>IF(D794&lt;&gt;"",VLOOKUP(ROW(H793),Beräkningshjälp!AC$2:AH$1082,COLUMN(Beräkningshjälp!AH$2)-COLUMN(Beräkningshjälp!AC$2)+1,FALSE),"")</f>
        <v/>
      </c>
      <c r="I794" s="116" t="str">
        <f>IF(D794&lt;&gt;"",VLOOKUP(ROW(E793),Beräkningshjälp!AC$2:AI$1082,COLUMN(Beräkningshjälp!AI$2)-COLUMN(Beräkningshjälp!AC$2)+1,FALSE),"")</f>
        <v/>
      </c>
    </row>
    <row r="795" spans="1:9" x14ac:dyDescent="0.25">
      <c r="A795" s="2" t="str">
        <f t="shared" si="24"/>
        <v/>
      </c>
      <c r="B795" s="136" t="str">
        <f>IF(D795&lt;&gt;"",'DATA TILL SLU'!$J$3,"")</f>
        <v/>
      </c>
      <c r="C795" s="146" t="str">
        <f>IF(D795&lt;&gt;"",'DATA TILL SLU'!$K$3,"")</f>
        <v/>
      </c>
      <c r="D795" s="2" t="str">
        <f>IF('DATA TILL SLU'!$D$7*1&lt;&gt;"",IF(COUNT(Beräkningshjälp!$AC$3:$AC$1082)&gt;=ROW(D794),'DATA TILL SLU'!$D$7*1,""),"")</f>
        <v/>
      </c>
      <c r="E795" s="136" t="str">
        <f>IF(D795&lt;&gt;"",VLOOKUP(ROW(E794),Beräkningshjälp!AC$2:AH$1082,COLUMN(Beräkningshjälp!AF$2)-COLUMN(Beräkningshjälp!AC$2)+1,FALSE),"")</f>
        <v/>
      </c>
      <c r="F795" s="352" t="str">
        <f t="shared" si="25"/>
        <v/>
      </c>
      <c r="G795" s="2" t="str">
        <f>IF(D795&lt;&gt;"",IF(VLOOKUP(VLOOKUP(E795,Beräkningshjälp!O$2:U$60,7,FALSE),Artuppgifter!$I$11:$P$22,8,FALSE)=TRUE,"Medelvikter!!","ALLA"),"")</f>
        <v/>
      </c>
      <c r="H795" s="2" t="str">
        <f>IF(D795&lt;&gt;"",VLOOKUP(ROW(H794),Beräkningshjälp!AC$2:AH$1082,COLUMN(Beräkningshjälp!AH$2)-COLUMN(Beräkningshjälp!AC$2)+1,FALSE),"")</f>
        <v/>
      </c>
      <c r="I795" s="116" t="str">
        <f>IF(D795&lt;&gt;"",VLOOKUP(ROW(E794),Beräkningshjälp!AC$2:AI$1082,COLUMN(Beräkningshjälp!AI$2)-COLUMN(Beräkningshjälp!AC$2)+1,FALSE),"")</f>
        <v/>
      </c>
    </row>
    <row r="796" spans="1:9" x14ac:dyDescent="0.25">
      <c r="A796" s="2" t="str">
        <f t="shared" si="24"/>
        <v/>
      </c>
      <c r="B796" s="136" t="str">
        <f>IF(D796&lt;&gt;"",'DATA TILL SLU'!$J$3,"")</f>
        <v/>
      </c>
      <c r="C796" s="146" t="str">
        <f>IF(D796&lt;&gt;"",'DATA TILL SLU'!$K$3,"")</f>
        <v/>
      </c>
      <c r="D796" s="2" t="str">
        <f>IF('DATA TILL SLU'!$D$7*1&lt;&gt;"",IF(COUNT(Beräkningshjälp!$AC$3:$AC$1082)&gt;=ROW(D795),'DATA TILL SLU'!$D$7*1,""),"")</f>
        <v/>
      </c>
      <c r="E796" s="136" t="str">
        <f>IF(D796&lt;&gt;"",VLOOKUP(ROW(E795),Beräkningshjälp!AC$2:AH$1082,COLUMN(Beräkningshjälp!AF$2)-COLUMN(Beräkningshjälp!AC$2)+1,FALSE),"")</f>
        <v/>
      </c>
      <c r="F796" s="352" t="str">
        <f t="shared" si="25"/>
        <v/>
      </c>
      <c r="G796" s="2" t="str">
        <f>IF(D796&lt;&gt;"",IF(VLOOKUP(VLOOKUP(E796,Beräkningshjälp!O$2:U$60,7,FALSE),Artuppgifter!$I$11:$P$22,8,FALSE)=TRUE,"Medelvikter!!","ALLA"),"")</f>
        <v/>
      </c>
      <c r="H796" s="2" t="str">
        <f>IF(D796&lt;&gt;"",VLOOKUP(ROW(H795),Beräkningshjälp!AC$2:AH$1082,COLUMN(Beräkningshjälp!AH$2)-COLUMN(Beräkningshjälp!AC$2)+1,FALSE),"")</f>
        <v/>
      </c>
      <c r="I796" s="116" t="str">
        <f>IF(D796&lt;&gt;"",VLOOKUP(ROW(E795),Beräkningshjälp!AC$2:AI$1082,COLUMN(Beräkningshjälp!AI$2)-COLUMN(Beräkningshjälp!AC$2)+1,FALSE),"")</f>
        <v/>
      </c>
    </row>
    <row r="797" spans="1:9" x14ac:dyDescent="0.25">
      <c r="A797" s="2" t="str">
        <f t="shared" si="24"/>
        <v/>
      </c>
      <c r="B797" s="136" t="str">
        <f>IF(D797&lt;&gt;"",'DATA TILL SLU'!$J$3,"")</f>
        <v/>
      </c>
      <c r="C797" s="146" t="str">
        <f>IF(D797&lt;&gt;"",'DATA TILL SLU'!$K$3,"")</f>
        <v/>
      </c>
      <c r="D797" s="2" t="str">
        <f>IF('DATA TILL SLU'!$D$7*1&lt;&gt;"",IF(COUNT(Beräkningshjälp!$AC$3:$AC$1082)&gt;=ROW(D796),'DATA TILL SLU'!$D$7*1,""),"")</f>
        <v/>
      </c>
      <c r="E797" s="136" t="str">
        <f>IF(D797&lt;&gt;"",VLOOKUP(ROW(E796),Beräkningshjälp!AC$2:AH$1082,COLUMN(Beräkningshjälp!AF$2)-COLUMN(Beräkningshjälp!AC$2)+1,FALSE),"")</f>
        <v/>
      </c>
      <c r="F797" s="352" t="str">
        <f t="shared" si="25"/>
        <v/>
      </c>
      <c r="G797" s="2" t="str">
        <f>IF(D797&lt;&gt;"",IF(VLOOKUP(VLOOKUP(E797,Beräkningshjälp!O$2:U$60,7,FALSE),Artuppgifter!$I$11:$P$22,8,FALSE)=TRUE,"Medelvikter!!","ALLA"),"")</f>
        <v/>
      </c>
      <c r="H797" s="2" t="str">
        <f>IF(D797&lt;&gt;"",VLOOKUP(ROW(H796),Beräkningshjälp!AC$2:AH$1082,COLUMN(Beräkningshjälp!AH$2)-COLUMN(Beräkningshjälp!AC$2)+1,FALSE),"")</f>
        <v/>
      </c>
      <c r="I797" s="116" t="str">
        <f>IF(D797&lt;&gt;"",VLOOKUP(ROW(E796),Beräkningshjälp!AC$2:AI$1082,COLUMN(Beräkningshjälp!AI$2)-COLUMN(Beräkningshjälp!AC$2)+1,FALSE),"")</f>
        <v/>
      </c>
    </row>
    <row r="798" spans="1:9" x14ac:dyDescent="0.25">
      <c r="A798" s="2" t="str">
        <f t="shared" si="24"/>
        <v/>
      </c>
      <c r="B798" s="136" t="str">
        <f>IF(D798&lt;&gt;"",'DATA TILL SLU'!$J$3,"")</f>
        <v/>
      </c>
      <c r="C798" s="146" t="str">
        <f>IF(D798&lt;&gt;"",'DATA TILL SLU'!$K$3,"")</f>
        <v/>
      </c>
      <c r="D798" s="2" t="str">
        <f>IF('DATA TILL SLU'!$D$7*1&lt;&gt;"",IF(COUNT(Beräkningshjälp!$AC$3:$AC$1082)&gt;=ROW(D797),'DATA TILL SLU'!$D$7*1,""),"")</f>
        <v/>
      </c>
      <c r="E798" s="136" t="str">
        <f>IF(D798&lt;&gt;"",VLOOKUP(ROW(E797),Beräkningshjälp!AC$2:AH$1082,COLUMN(Beräkningshjälp!AF$2)-COLUMN(Beräkningshjälp!AC$2)+1,FALSE),"")</f>
        <v/>
      </c>
      <c r="F798" s="352" t="str">
        <f t="shared" si="25"/>
        <v/>
      </c>
      <c r="G798" s="2" t="str">
        <f>IF(D798&lt;&gt;"",IF(VLOOKUP(VLOOKUP(E798,Beräkningshjälp!O$2:U$60,7,FALSE),Artuppgifter!$I$11:$P$22,8,FALSE)=TRUE,"Medelvikter!!","ALLA"),"")</f>
        <v/>
      </c>
      <c r="H798" s="2" t="str">
        <f>IF(D798&lt;&gt;"",VLOOKUP(ROW(H797),Beräkningshjälp!AC$2:AH$1082,COLUMN(Beräkningshjälp!AH$2)-COLUMN(Beräkningshjälp!AC$2)+1,FALSE),"")</f>
        <v/>
      </c>
      <c r="I798" s="116" t="str">
        <f>IF(D798&lt;&gt;"",VLOOKUP(ROW(E797),Beräkningshjälp!AC$2:AI$1082,COLUMN(Beräkningshjälp!AI$2)-COLUMN(Beräkningshjälp!AC$2)+1,FALSE),"")</f>
        <v/>
      </c>
    </row>
    <row r="799" spans="1:9" x14ac:dyDescent="0.25">
      <c r="A799" s="2" t="str">
        <f t="shared" si="24"/>
        <v/>
      </c>
      <c r="B799" s="136" t="str">
        <f>IF(D799&lt;&gt;"",'DATA TILL SLU'!$J$3,"")</f>
        <v/>
      </c>
      <c r="C799" s="146" t="str">
        <f>IF(D799&lt;&gt;"",'DATA TILL SLU'!$K$3,"")</f>
        <v/>
      </c>
      <c r="D799" s="2" t="str">
        <f>IF('DATA TILL SLU'!$D$7*1&lt;&gt;"",IF(COUNT(Beräkningshjälp!$AC$3:$AC$1082)&gt;=ROW(D798),'DATA TILL SLU'!$D$7*1,""),"")</f>
        <v/>
      </c>
      <c r="E799" s="136" t="str">
        <f>IF(D799&lt;&gt;"",VLOOKUP(ROW(E798),Beräkningshjälp!AC$2:AH$1082,COLUMN(Beräkningshjälp!AF$2)-COLUMN(Beräkningshjälp!AC$2)+1,FALSE),"")</f>
        <v/>
      </c>
      <c r="F799" s="352" t="str">
        <f t="shared" si="25"/>
        <v/>
      </c>
      <c r="G799" s="2" t="str">
        <f>IF(D799&lt;&gt;"",IF(VLOOKUP(VLOOKUP(E799,Beräkningshjälp!O$2:U$60,7,FALSE),Artuppgifter!$I$11:$P$22,8,FALSE)=TRUE,"Medelvikter!!","ALLA"),"")</f>
        <v/>
      </c>
      <c r="H799" s="2" t="str">
        <f>IF(D799&lt;&gt;"",VLOOKUP(ROW(H798),Beräkningshjälp!AC$2:AH$1082,COLUMN(Beräkningshjälp!AH$2)-COLUMN(Beräkningshjälp!AC$2)+1,FALSE),"")</f>
        <v/>
      </c>
      <c r="I799" s="116" t="str">
        <f>IF(D799&lt;&gt;"",VLOOKUP(ROW(E798),Beräkningshjälp!AC$2:AI$1082,COLUMN(Beräkningshjälp!AI$2)-COLUMN(Beräkningshjälp!AC$2)+1,FALSE),"")</f>
        <v/>
      </c>
    </row>
    <row r="800" spans="1:9" x14ac:dyDescent="0.25">
      <c r="A800" s="2" t="str">
        <f t="shared" si="24"/>
        <v/>
      </c>
      <c r="B800" s="136" t="str">
        <f>IF(D800&lt;&gt;"",'DATA TILL SLU'!$J$3,"")</f>
        <v/>
      </c>
      <c r="C800" s="146" t="str">
        <f>IF(D800&lt;&gt;"",'DATA TILL SLU'!$K$3,"")</f>
        <v/>
      </c>
      <c r="D800" s="2" t="str">
        <f>IF('DATA TILL SLU'!$D$7*1&lt;&gt;"",IF(COUNT(Beräkningshjälp!$AC$3:$AC$1082)&gt;=ROW(D799),'DATA TILL SLU'!$D$7*1,""),"")</f>
        <v/>
      </c>
      <c r="E800" s="136" t="str">
        <f>IF(D800&lt;&gt;"",VLOOKUP(ROW(E799),Beräkningshjälp!AC$2:AH$1082,COLUMN(Beräkningshjälp!AF$2)-COLUMN(Beräkningshjälp!AC$2)+1,FALSE),"")</f>
        <v/>
      </c>
      <c r="F800" s="352" t="str">
        <f t="shared" si="25"/>
        <v/>
      </c>
      <c r="G800" s="2" t="str">
        <f>IF(D800&lt;&gt;"",IF(VLOOKUP(VLOOKUP(E800,Beräkningshjälp!O$2:U$60,7,FALSE),Artuppgifter!$I$11:$P$22,8,FALSE)=TRUE,"Medelvikter!!","ALLA"),"")</f>
        <v/>
      </c>
      <c r="H800" s="2" t="str">
        <f>IF(D800&lt;&gt;"",VLOOKUP(ROW(H799),Beräkningshjälp!AC$2:AH$1082,COLUMN(Beräkningshjälp!AH$2)-COLUMN(Beräkningshjälp!AC$2)+1,FALSE),"")</f>
        <v/>
      </c>
      <c r="I800" s="116" t="str">
        <f>IF(D800&lt;&gt;"",VLOOKUP(ROW(E799),Beräkningshjälp!AC$2:AI$1082,COLUMN(Beräkningshjälp!AI$2)-COLUMN(Beräkningshjälp!AC$2)+1,FALSE),"")</f>
        <v/>
      </c>
    </row>
    <row r="801" spans="1:9" x14ac:dyDescent="0.25">
      <c r="A801" s="2" t="str">
        <f t="shared" si="24"/>
        <v/>
      </c>
      <c r="B801" s="136" t="str">
        <f>IF(D801&lt;&gt;"",'DATA TILL SLU'!$J$3,"")</f>
        <v/>
      </c>
      <c r="C801" s="146" t="str">
        <f>IF(D801&lt;&gt;"",'DATA TILL SLU'!$K$3,"")</f>
        <v/>
      </c>
      <c r="D801" s="2" t="str">
        <f>IF('DATA TILL SLU'!$D$7*1&lt;&gt;"",IF(COUNT(Beräkningshjälp!$AC$3:$AC$1082)&gt;=ROW(D800),'DATA TILL SLU'!$D$7*1,""),"")</f>
        <v/>
      </c>
      <c r="E801" s="136" t="str">
        <f>IF(D801&lt;&gt;"",VLOOKUP(ROW(E800),Beräkningshjälp!AC$2:AH$1082,COLUMN(Beräkningshjälp!AF$2)-COLUMN(Beräkningshjälp!AC$2)+1,FALSE),"")</f>
        <v/>
      </c>
      <c r="F801" s="352" t="str">
        <f t="shared" si="25"/>
        <v/>
      </c>
      <c r="G801" s="2" t="str">
        <f>IF(D801&lt;&gt;"",IF(VLOOKUP(VLOOKUP(E801,Beräkningshjälp!O$2:U$60,7,FALSE),Artuppgifter!$I$11:$P$22,8,FALSE)=TRUE,"Medelvikter!!","ALLA"),"")</f>
        <v/>
      </c>
      <c r="H801" s="2" t="str">
        <f>IF(D801&lt;&gt;"",VLOOKUP(ROW(H800),Beräkningshjälp!AC$2:AH$1082,COLUMN(Beräkningshjälp!AH$2)-COLUMN(Beräkningshjälp!AC$2)+1,FALSE),"")</f>
        <v/>
      </c>
      <c r="I801" s="116" t="str">
        <f>IF(D801&lt;&gt;"",VLOOKUP(ROW(E800),Beräkningshjälp!AC$2:AI$1082,COLUMN(Beräkningshjälp!AI$2)-COLUMN(Beräkningshjälp!AC$2)+1,FALSE),"")</f>
        <v/>
      </c>
    </row>
    <row r="802" spans="1:9" x14ac:dyDescent="0.25">
      <c r="A802" s="2" t="str">
        <f t="shared" si="24"/>
        <v/>
      </c>
      <c r="B802" s="136" t="str">
        <f>IF(D802&lt;&gt;"",'DATA TILL SLU'!$J$3,"")</f>
        <v/>
      </c>
      <c r="C802" s="146" t="str">
        <f>IF(D802&lt;&gt;"",'DATA TILL SLU'!$K$3,"")</f>
        <v/>
      </c>
      <c r="D802" s="2" t="str">
        <f>IF('DATA TILL SLU'!$D$7*1&lt;&gt;"",IF(COUNT(Beräkningshjälp!$AC$3:$AC$1082)&gt;=ROW(D801),'DATA TILL SLU'!$D$7*1,""),"")</f>
        <v/>
      </c>
      <c r="E802" s="136" t="str">
        <f>IF(D802&lt;&gt;"",VLOOKUP(ROW(E801),Beräkningshjälp!AC$2:AH$1082,COLUMN(Beräkningshjälp!AF$2)-COLUMN(Beräkningshjälp!AC$2)+1,FALSE),"")</f>
        <v/>
      </c>
      <c r="F802" s="352" t="str">
        <f t="shared" si="25"/>
        <v/>
      </c>
      <c r="G802" s="2" t="str">
        <f>IF(D802&lt;&gt;"",IF(VLOOKUP(VLOOKUP(E802,Beräkningshjälp!O$2:U$60,7,FALSE),Artuppgifter!$I$11:$P$22,8,FALSE)=TRUE,"Medelvikter!!","ALLA"),"")</f>
        <v/>
      </c>
      <c r="H802" s="2" t="str">
        <f>IF(D802&lt;&gt;"",VLOOKUP(ROW(H801),Beräkningshjälp!AC$2:AH$1082,COLUMN(Beräkningshjälp!AH$2)-COLUMN(Beräkningshjälp!AC$2)+1,FALSE),"")</f>
        <v/>
      </c>
      <c r="I802" s="116" t="str">
        <f>IF(D802&lt;&gt;"",VLOOKUP(ROW(E801),Beräkningshjälp!AC$2:AI$1082,COLUMN(Beräkningshjälp!AI$2)-COLUMN(Beräkningshjälp!AC$2)+1,FALSE),"")</f>
        <v/>
      </c>
    </row>
    <row r="803" spans="1:9" x14ac:dyDescent="0.25">
      <c r="A803" s="2" t="str">
        <f t="shared" si="24"/>
        <v/>
      </c>
      <c r="B803" s="136" t="str">
        <f>IF(D803&lt;&gt;"",'DATA TILL SLU'!$J$3,"")</f>
        <v/>
      </c>
      <c r="C803" s="146" t="str">
        <f>IF(D803&lt;&gt;"",'DATA TILL SLU'!$K$3,"")</f>
        <v/>
      </c>
      <c r="D803" s="2" t="str">
        <f>IF('DATA TILL SLU'!$D$7*1&lt;&gt;"",IF(COUNT(Beräkningshjälp!$AC$3:$AC$1082)&gt;=ROW(D802),'DATA TILL SLU'!$D$7*1,""),"")</f>
        <v/>
      </c>
      <c r="E803" s="136" t="str">
        <f>IF(D803&lt;&gt;"",VLOOKUP(ROW(E802),Beräkningshjälp!AC$2:AH$1082,COLUMN(Beräkningshjälp!AF$2)-COLUMN(Beräkningshjälp!AC$2)+1,FALSE),"")</f>
        <v/>
      </c>
      <c r="F803" s="352" t="str">
        <f t="shared" si="25"/>
        <v/>
      </c>
      <c r="G803" s="2" t="str">
        <f>IF(D803&lt;&gt;"",IF(VLOOKUP(VLOOKUP(E803,Beräkningshjälp!O$2:U$60,7,FALSE),Artuppgifter!$I$11:$P$22,8,FALSE)=TRUE,"Medelvikter!!","ALLA"),"")</f>
        <v/>
      </c>
      <c r="H803" s="2" t="str">
        <f>IF(D803&lt;&gt;"",VLOOKUP(ROW(H802),Beräkningshjälp!AC$2:AH$1082,COLUMN(Beräkningshjälp!AH$2)-COLUMN(Beräkningshjälp!AC$2)+1,FALSE),"")</f>
        <v/>
      </c>
      <c r="I803" s="116" t="str">
        <f>IF(D803&lt;&gt;"",VLOOKUP(ROW(E802),Beräkningshjälp!AC$2:AI$1082,COLUMN(Beräkningshjälp!AI$2)-COLUMN(Beräkningshjälp!AC$2)+1,FALSE),"")</f>
        <v/>
      </c>
    </row>
    <row r="804" spans="1:9" x14ac:dyDescent="0.25">
      <c r="A804" s="2" t="str">
        <f t="shared" si="24"/>
        <v/>
      </c>
      <c r="B804" s="136" t="str">
        <f>IF(D804&lt;&gt;"",'DATA TILL SLU'!$J$3,"")</f>
        <v/>
      </c>
      <c r="C804" s="146" t="str">
        <f>IF(D804&lt;&gt;"",'DATA TILL SLU'!$K$3,"")</f>
        <v/>
      </c>
      <c r="D804" s="2" t="str">
        <f>IF('DATA TILL SLU'!$D$7*1&lt;&gt;"",IF(COUNT(Beräkningshjälp!$AC$3:$AC$1082)&gt;=ROW(D803),'DATA TILL SLU'!$D$7*1,""),"")</f>
        <v/>
      </c>
      <c r="E804" s="136" t="str">
        <f>IF(D804&lt;&gt;"",VLOOKUP(ROW(E803),Beräkningshjälp!AC$2:AH$1082,COLUMN(Beräkningshjälp!AF$2)-COLUMN(Beräkningshjälp!AC$2)+1,FALSE),"")</f>
        <v/>
      </c>
      <c r="F804" s="352" t="str">
        <f t="shared" si="25"/>
        <v/>
      </c>
      <c r="G804" s="2" t="str">
        <f>IF(D804&lt;&gt;"",IF(VLOOKUP(VLOOKUP(E804,Beräkningshjälp!O$2:U$60,7,FALSE),Artuppgifter!$I$11:$P$22,8,FALSE)=TRUE,"Medelvikter!!","ALLA"),"")</f>
        <v/>
      </c>
      <c r="H804" s="2" t="str">
        <f>IF(D804&lt;&gt;"",VLOOKUP(ROW(H803),Beräkningshjälp!AC$2:AH$1082,COLUMN(Beräkningshjälp!AH$2)-COLUMN(Beräkningshjälp!AC$2)+1,FALSE),"")</f>
        <v/>
      </c>
      <c r="I804" s="116" t="str">
        <f>IF(D804&lt;&gt;"",VLOOKUP(ROW(E803),Beräkningshjälp!AC$2:AI$1082,COLUMN(Beräkningshjälp!AI$2)-COLUMN(Beräkningshjälp!AC$2)+1,FALSE),"")</f>
        <v/>
      </c>
    </row>
    <row r="805" spans="1:9" x14ac:dyDescent="0.25">
      <c r="A805" s="2" t="str">
        <f t="shared" si="24"/>
        <v/>
      </c>
      <c r="B805" s="136" t="str">
        <f>IF(D805&lt;&gt;"",'DATA TILL SLU'!$J$3,"")</f>
        <v/>
      </c>
      <c r="C805" s="146" t="str">
        <f>IF(D805&lt;&gt;"",'DATA TILL SLU'!$K$3,"")</f>
        <v/>
      </c>
      <c r="D805" s="2" t="str">
        <f>IF('DATA TILL SLU'!$D$7*1&lt;&gt;"",IF(COUNT(Beräkningshjälp!$AC$3:$AC$1082)&gt;=ROW(D804),'DATA TILL SLU'!$D$7*1,""),"")</f>
        <v/>
      </c>
      <c r="E805" s="136" t="str">
        <f>IF(D805&lt;&gt;"",VLOOKUP(ROW(E804),Beräkningshjälp!AC$2:AH$1082,COLUMN(Beräkningshjälp!AF$2)-COLUMN(Beräkningshjälp!AC$2)+1,FALSE),"")</f>
        <v/>
      </c>
      <c r="F805" s="352" t="str">
        <f t="shared" si="25"/>
        <v/>
      </c>
      <c r="G805" s="2" t="str">
        <f>IF(D805&lt;&gt;"",IF(VLOOKUP(VLOOKUP(E805,Beräkningshjälp!O$2:U$60,7,FALSE),Artuppgifter!$I$11:$P$22,8,FALSE)=TRUE,"Medelvikter!!","ALLA"),"")</f>
        <v/>
      </c>
      <c r="H805" s="2" t="str">
        <f>IF(D805&lt;&gt;"",VLOOKUP(ROW(H804),Beräkningshjälp!AC$2:AH$1082,COLUMN(Beräkningshjälp!AH$2)-COLUMN(Beräkningshjälp!AC$2)+1,FALSE),"")</f>
        <v/>
      </c>
      <c r="I805" s="116" t="str">
        <f>IF(D805&lt;&gt;"",VLOOKUP(ROW(E804),Beräkningshjälp!AC$2:AI$1082,COLUMN(Beräkningshjälp!AI$2)-COLUMN(Beräkningshjälp!AC$2)+1,FALSE),"")</f>
        <v/>
      </c>
    </row>
    <row r="806" spans="1:9" x14ac:dyDescent="0.25">
      <c r="A806" s="2" t="str">
        <f t="shared" si="24"/>
        <v/>
      </c>
      <c r="B806" s="136" t="str">
        <f>IF(D806&lt;&gt;"",'DATA TILL SLU'!$J$3,"")</f>
        <v/>
      </c>
      <c r="C806" s="146" t="str">
        <f>IF(D806&lt;&gt;"",'DATA TILL SLU'!$K$3,"")</f>
        <v/>
      </c>
      <c r="D806" s="2" t="str">
        <f>IF('DATA TILL SLU'!$D$7*1&lt;&gt;"",IF(COUNT(Beräkningshjälp!$AC$3:$AC$1082)&gt;=ROW(D805),'DATA TILL SLU'!$D$7*1,""),"")</f>
        <v/>
      </c>
      <c r="E806" s="136" t="str">
        <f>IF(D806&lt;&gt;"",VLOOKUP(ROW(E805),Beräkningshjälp!AC$2:AH$1082,COLUMN(Beräkningshjälp!AF$2)-COLUMN(Beräkningshjälp!AC$2)+1,FALSE),"")</f>
        <v/>
      </c>
      <c r="F806" s="352" t="str">
        <f t="shared" si="25"/>
        <v/>
      </c>
      <c r="G806" s="2" t="str">
        <f>IF(D806&lt;&gt;"",IF(VLOOKUP(VLOOKUP(E806,Beräkningshjälp!O$2:U$60,7,FALSE),Artuppgifter!$I$11:$P$22,8,FALSE)=TRUE,"Medelvikter!!","ALLA"),"")</f>
        <v/>
      </c>
      <c r="H806" s="2" t="str">
        <f>IF(D806&lt;&gt;"",VLOOKUP(ROW(H805),Beräkningshjälp!AC$2:AH$1082,COLUMN(Beräkningshjälp!AH$2)-COLUMN(Beräkningshjälp!AC$2)+1,FALSE),"")</f>
        <v/>
      </c>
      <c r="I806" s="116" t="str">
        <f>IF(D806&lt;&gt;"",VLOOKUP(ROW(E805),Beräkningshjälp!AC$2:AI$1082,COLUMN(Beräkningshjälp!AI$2)-COLUMN(Beräkningshjälp!AC$2)+1,FALSE),"")</f>
        <v/>
      </c>
    </row>
    <row r="807" spans="1:9" x14ac:dyDescent="0.25">
      <c r="A807" s="2" t="str">
        <f t="shared" si="24"/>
        <v/>
      </c>
      <c r="B807" s="136" t="str">
        <f>IF(D807&lt;&gt;"",'DATA TILL SLU'!$J$3,"")</f>
        <v/>
      </c>
      <c r="C807" s="146" t="str">
        <f>IF(D807&lt;&gt;"",'DATA TILL SLU'!$K$3,"")</f>
        <v/>
      </c>
      <c r="D807" s="2" t="str">
        <f>IF('DATA TILL SLU'!$D$7*1&lt;&gt;"",IF(COUNT(Beräkningshjälp!$AC$3:$AC$1082)&gt;=ROW(D806),'DATA TILL SLU'!$D$7*1,""),"")</f>
        <v/>
      </c>
      <c r="E807" s="136" t="str">
        <f>IF(D807&lt;&gt;"",VLOOKUP(ROW(E806),Beräkningshjälp!AC$2:AH$1082,COLUMN(Beräkningshjälp!AF$2)-COLUMN(Beräkningshjälp!AC$2)+1,FALSE),"")</f>
        <v/>
      </c>
      <c r="F807" s="352" t="str">
        <f t="shared" si="25"/>
        <v/>
      </c>
      <c r="G807" s="2" t="str">
        <f>IF(D807&lt;&gt;"",IF(VLOOKUP(VLOOKUP(E807,Beräkningshjälp!O$2:U$60,7,FALSE),Artuppgifter!$I$11:$P$22,8,FALSE)=TRUE,"Medelvikter!!","ALLA"),"")</f>
        <v/>
      </c>
      <c r="H807" s="2" t="str">
        <f>IF(D807&lt;&gt;"",VLOOKUP(ROW(H806),Beräkningshjälp!AC$2:AH$1082,COLUMN(Beräkningshjälp!AH$2)-COLUMN(Beräkningshjälp!AC$2)+1,FALSE),"")</f>
        <v/>
      </c>
      <c r="I807" s="116" t="str">
        <f>IF(D807&lt;&gt;"",VLOOKUP(ROW(E806),Beräkningshjälp!AC$2:AI$1082,COLUMN(Beräkningshjälp!AI$2)-COLUMN(Beräkningshjälp!AC$2)+1,FALSE),"")</f>
        <v/>
      </c>
    </row>
    <row r="808" spans="1:9" x14ac:dyDescent="0.25">
      <c r="A808" s="2" t="str">
        <f t="shared" si="24"/>
        <v/>
      </c>
      <c r="B808" s="136" t="str">
        <f>IF(D808&lt;&gt;"",'DATA TILL SLU'!$J$3,"")</f>
        <v/>
      </c>
      <c r="C808" s="146" t="str">
        <f>IF(D808&lt;&gt;"",'DATA TILL SLU'!$K$3,"")</f>
        <v/>
      </c>
      <c r="D808" s="2" t="str">
        <f>IF('DATA TILL SLU'!$D$7*1&lt;&gt;"",IF(COUNT(Beräkningshjälp!$AC$3:$AC$1082)&gt;=ROW(D807),'DATA TILL SLU'!$D$7*1,""),"")</f>
        <v/>
      </c>
      <c r="E808" s="136" t="str">
        <f>IF(D808&lt;&gt;"",VLOOKUP(ROW(E807),Beräkningshjälp!AC$2:AH$1082,COLUMN(Beräkningshjälp!AF$2)-COLUMN(Beräkningshjälp!AC$2)+1,FALSE),"")</f>
        <v/>
      </c>
      <c r="F808" s="352" t="str">
        <f t="shared" si="25"/>
        <v/>
      </c>
      <c r="G808" s="2" t="str">
        <f>IF(D808&lt;&gt;"",IF(VLOOKUP(VLOOKUP(E808,Beräkningshjälp!O$2:U$60,7,FALSE),Artuppgifter!$I$11:$P$22,8,FALSE)=TRUE,"Medelvikter!!","ALLA"),"")</f>
        <v/>
      </c>
      <c r="H808" s="2" t="str">
        <f>IF(D808&lt;&gt;"",VLOOKUP(ROW(H807),Beräkningshjälp!AC$2:AH$1082,COLUMN(Beräkningshjälp!AH$2)-COLUMN(Beräkningshjälp!AC$2)+1,FALSE),"")</f>
        <v/>
      </c>
      <c r="I808" s="116" t="str">
        <f>IF(D808&lt;&gt;"",VLOOKUP(ROW(E807),Beräkningshjälp!AC$2:AI$1082,COLUMN(Beräkningshjälp!AI$2)-COLUMN(Beräkningshjälp!AC$2)+1,FALSE),"")</f>
        <v/>
      </c>
    </row>
    <row r="809" spans="1:9" x14ac:dyDescent="0.25">
      <c r="A809" s="2" t="str">
        <f t="shared" si="24"/>
        <v/>
      </c>
      <c r="B809" s="136" t="str">
        <f>IF(D809&lt;&gt;"",'DATA TILL SLU'!$J$3,"")</f>
        <v/>
      </c>
      <c r="C809" s="146" t="str">
        <f>IF(D809&lt;&gt;"",'DATA TILL SLU'!$K$3,"")</f>
        <v/>
      </c>
      <c r="D809" s="2" t="str">
        <f>IF('DATA TILL SLU'!$D$7*1&lt;&gt;"",IF(COUNT(Beräkningshjälp!$AC$3:$AC$1082)&gt;=ROW(D808),'DATA TILL SLU'!$D$7*1,""),"")</f>
        <v/>
      </c>
      <c r="E809" s="136" t="str">
        <f>IF(D809&lt;&gt;"",VLOOKUP(ROW(E808),Beräkningshjälp!AC$2:AH$1082,COLUMN(Beräkningshjälp!AF$2)-COLUMN(Beräkningshjälp!AC$2)+1,FALSE),"")</f>
        <v/>
      </c>
      <c r="F809" s="352" t="str">
        <f t="shared" si="25"/>
        <v/>
      </c>
      <c r="G809" s="2" t="str">
        <f>IF(D809&lt;&gt;"",IF(VLOOKUP(VLOOKUP(E809,Beräkningshjälp!O$2:U$60,7,FALSE),Artuppgifter!$I$11:$P$22,8,FALSE)=TRUE,"Medelvikter!!","ALLA"),"")</f>
        <v/>
      </c>
      <c r="H809" s="2" t="str">
        <f>IF(D809&lt;&gt;"",VLOOKUP(ROW(H808),Beräkningshjälp!AC$2:AH$1082,COLUMN(Beräkningshjälp!AH$2)-COLUMN(Beräkningshjälp!AC$2)+1,FALSE),"")</f>
        <v/>
      </c>
      <c r="I809" s="116" t="str">
        <f>IF(D809&lt;&gt;"",VLOOKUP(ROW(E808),Beräkningshjälp!AC$2:AI$1082,COLUMN(Beräkningshjälp!AI$2)-COLUMN(Beräkningshjälp!AC$2)+1,FALSE),"")</f>
        <v/>
      </c>
    </row>
    <row r="810" spans="1:9" x14ac:dyDescent="0.25">
      <c r="A810" s="2" t="str">
        <f t="shared" si="24"/>
        <v/>
      </c>
      <c r="B810" s="136" t="str">
        <f>IF(D810&lt;&gt;"",'DATA TILL SLU'!$J$3,"")</f>
        <v/>
      </c>
      <c r="C810" s="146" t="str">
        <f>IF(D810&lt;&gt;"",'DATA TILL SLU'!$K$3,"")</f>
        <v/>
      </c>
      <c r="D810" s="2" t="str">
        <f>IF('DATA TILL SLU'!$D$7*1&lt;&gt;"",IF(COUNT(Beräkningshjälp!$AC$3:$AC$1082)&gt;=ROW(D809),'DATA TILL SLU'!$D$7*1,""),"")</f>
        <v/>
      </c>
      <c r="E810" s="136" t="str">
        <f>IF(D810&lt;&gt;"",VLOOKUP(ROW(E809),Beräkningshjälp!AC$2:AH$1082,COLUMN(Beräkningshjälp!AF$2)-COLUMN(Beräkningshjälp!AC$2)+1,FALSE),"")</f>
        <v/>
      </c>
      <c r="F810" s="352" t="str">
        <f t="shared" si="25"/>
        <v/>
      </c>
      <c r="G810" s="2" t="str">
        <f>IF(D810&lt;&gt;"",IF(VLOOKUP(VLOOKUP(E810,Beräkningshjälp!O$2:U$60,7,FALSE),Artuppgifter!$I$11:$P$22,8,FALSE)=TRUE,"Medelvikter!!","ALLA"),"")</f>
        <v/>
      </c>
      <c r="H810" s="2" t="str">
        <f>IF(D810&lt;&gt;"",VLOOKUP(ROW(H809),Beräkningshjälp!AC$2:AH$1082,COLUMN(Beräkningshjälp!AH$2)-COLUMN(Beräkningshjälp!AC$2)+1,FALSE),"")</f>
        <v/>
      </c>
      <c r="I810" s="116" t="str">
        <f>IF(D810&lt;&gt;"",VLOOKUP(ROW(E809),Beräkningshjälp!AC$2:AI$1082,COLUMN(Beräkningshjälp!AI$2)-COLUMN(Beräkningshjälp!AC$2)+1,FALSE),"")</f>
        <v/>
      </c>
    </row>
    <row r="811" spans="1:9" x14ac:dyDescent="0.25">
      <c r="A811" s="2" t="str">
        <f t="shared" si="24"/>
        <v/>
      </c>
      <c r="B811" s="136" t="str">
        <f>IF(D811&lt;&gt;"",'DATA TILL SLU'!$J$3,"")</f>
        <v/>
      </c>
      <c r="C811" s="146" t="str">
        <f>IF(D811&lt;&gt;"",'DATA TILL SLU'!$K$3,"")</f>
        <v/>
      </c>
      <c r="D811" s="2" t="str">
        <f>IF('DATA TILL SLU'!$D$7*1&lt;&gt;"",IF(COUNT(Beräkningshjälp!$AC$3:$AC$1082)&gt;=ROW(D810),'DATA TILL SLU'!$D$7*1,""),"")</f>
        <v/>
      </c>
      <c r="E811" s="136" t="str">
        <f>IF(D811&lt;&gt;"",VLOOKUP(ROW(E810),Beräkningshjälp!AC$2:AH$1082,COLUMN(Beräkningshjälp!AF$2)-COLUMN(Beräkningshjälp!AC$2)+1,FALSE),"")</f>
        <v/>
      </c>
      <c r="F811" s="352" t="str">
        <f t="shared" si="25"/>
        <v/>
      </c>
      <c r="G811" s="2" t="str">
        <f>IF(D811&lt;&gt;"",IF(VLOOKUP(VLOOKUP(E811,Beräkningshjälp!O$2:U$60,7,FALSE),Artuppgifter!$I$11:$P$22,8,FALSE)=TRUE,"Medelvikter!!","ALLA"),"")</f>
        <v/>
      </c>
      <c r="H811" s="2" t="str">
        <f>IF(D811&lt;&gt;"",VLOOKUP(ROW(H810),Beräkningshjälp!AC$2:AH$1082,COLUMN(Beräkningshjälp!AH$2)-COLUMN(Beräkningshjälp!AC$2)+1,FALSE),"")</f>
        <v/>
      </c>
      <c r="I811" s="116" t="str">
        <f>IF(D811&lt;&gt;"",VLOOKUP(ROW(E810),Beräkningshjälp!AC$2:AI$1082,COLUMN(Beräkningshjälp!AI$2)-COLUMN(Beräkningshjälp!AC$2)+1,FALSE),"")</f>
        <v/>
      </c>
    </row>
    <row r="812" spans="1:9" x14ac:dyDescent="0.25">
      <c r="A812" s="2" t="str">
        <f t="shared" si="24"/>
        <v/>
      </c>
      <c r="B812" s="136" t="str">
        <f>IF(D812&lt;&gt;"",'DATA TILL SLU'!$J$3,"")</f>
        <v/>
      </c>
      <c r="C812" s="146" t="str">
        <f>IF(D812&lt;&gt;"",'DATA TILL SLU'!$K$3,"")</f>
        <v/>
      </c>
      <c r="D812" s="2" t="str">
        <f>IF('DATA TILL SLU'!$D$7*1&lt;&gt;"",IF(COUNT(Beräkningshjälp!$AC$3:$AC$1082)&gt;=ROW(D811),'DATA TILL SLU'!$D$7*1,""),"")</f>
        <v/>
      </c>
      <c r="E812" s="136" t="str">
        <f>IF(D812&lt;&gt;"",VLOOKUP(ROW(E811),Beräkningshjälp!AC$2:AH$1082,COLUMN(Beräkningshjälp!AF$2)-COLUMN(Beräkningshjälp!AC$2)+1,FALSE),"")</f>
        <v/>
      </c>
      <c r="F812" s="352" t="str">
        <f t="shared" si="25"/>
        <v/>
      </c>
      <c r="G812" s="2" t="str">
        <f>IF(D812&lt;&gt;"",IF(VLOOKUP(VLOOKUP(E812,Beräkningshjälp!O$2:U$60,7,FALSE),Artuppgifter!$I$11:$P$22,8,FALSE)=TRUE,"Medelvikter!!","ALLA"),"")</f>
        <v/>
      </c>
      <c r="H812" s="2" t="str">
        <f>IF(D812&lt;&gt;"",VLOOKUP(ROW(H811),Beräkningshjälp!AC$2:AH$1082,COLUMN(Beräkningshjälp!AH$2)-COLUMN(Beräkningshjälp!AC$2)+1,FALSE),"")</f>
        <v/>
      </c>
      <c r="I812" s="116" t="str">
        <f>IF(D812&lt;&gt;"",VLOOKUP(ROW(E811),Beräkningshjälp!AC$2:AI$1082,COLUMN(Beräkningshjälp!AI$2)-COLUMN(Beräkningshjälp!AC$2)+1,FALSE),"")</f>
        <v/>
      </c>
    </row>
    <row r="813" spans="1:9" x14ac:dyDescent="0.25">
      <c r="A813" s="2" t="str">
        <f t="shared" si="24"/>
        <v/>
      </c>
      <c r="B813" s="136" t="str">
        <f>IF(D813&lt;&gt;"",'DATA TILL SLU'!$J$3,"")</f>
        <v/>
      </c>
      <c r="C813" s="146" t="str">
        <f>IF(D813&lt;&gt;"",'DATA TILL SLU'!$K$3,"")</f>
        <v/>
      </c>
      <c r="D813" s="2" t="str">
        <f>IF('DATA TILL SLU'!$D$7*1&lt;&gt;"",IF(COUNT(Beräkningshjälp!$AC$3:$AC$1082)&gt;=ROW(D812),'DATA TILL SLU'!$D$7*1,""),"")</f>
        <v/>
      </c>
      <c r="E813" s="136" t="str">
        <f>IF(D813&lt;&gt;"",VLOOKUP(ROW(E812),Beräkningshjälp!AC$2:AH$1082,COLUMN(Beräkningshjälp!AF$2)-COLUMN(Beräkningshjälp!AC$2)+1,FALSE),"")</f>
        <v/>
      </c>
      <c r="F813" s="352" t="str">
        <f t="shared" si="25"/>
        <v/>
      </c>
      <c r="G813" s="2" t="str">
        <f>IF(D813&lt;&gt;"",IF(VLOOKUP(VLOOKUP(E813,Beräkningshjälp!O$2:U$60,7,FALSE),Artuppgifter!$I$11:$P$22,8,FALSE)=TRUE,"Medelvikter!!","ALLA"),"")</f>
        <v/>
      </c>
      <c r="H813" s="2" t="str">
        <f>IF(D813&lt;&gt;"",VLOOKUP(ROW(H812),Beräkningshjälp!AC$2:AH$1082,COLUMN(Beräkningshjälp!AH$2)-COLUMN(Beräkningshjälp!AC$2)+1,FALSE),"")</f>
        <v/>
      </c>
      <c r="I813" s="116" t="str">
        <f>IF(D813&lt;&gt;"",VLOOKUP(ROW(E812),Beräkningshjälp!AC$2:AI$1082,COLUMN(Beräkningshjälp!AI$2)-COLUMN(Beräkningshjälp!AC$2)+1,FALSE),"")</f>
        <v/>
      </c>
    </row>
    <row r="814" spans="1:9" x14ac:dyDescent="0.25">
      <c r="A814" s="2" t="str">
        <f t="shared" si="24"/>
        <v/>
      </c>
      <c r="B814" s="136" t="str">
        <f>IF(D814&lt;&gt;"",'DATA TILL SLU'!$J$3,"")</f>
        <v/>
      </c>
      <c r="C814" s="146" t="str">
        <f>IF(D814&lt;&gt;"",'DATA TILL SLU'!$K$3,"")</f>
        <v/>
      </c>
      <c r="D814" s="2" t="str">
        <f>IF('DATA TILL SLU'!$D$7*1&lt;&gt;"",IF(COUNT(Beräkningshjälp!$AC$3:$AC$1082)&gt;=ROW(D813),'DATA TILL SLU'!$D$7*1,""),"")</f>
        <v/>
      </c>
      <c r="E814" s="136" t="str">
        <f>IF(D814&lt;&gt;"",VLOOKUP(ROW(E813),Beräkningshjälp!AC$2:AH$1082,COLUMN(Beräkningshjälp!AF$2)-COLUMN(Beräkningshjälp!AC$2)+1,FALSE),"")</f>
        <v/>
      </c>
      <c r="F814" s="352" t="str">
        <f t="shared" si="25"/>
        <v/>
      </c>
      <c r="G814" s="2" t="str">
        <f>IF(D814&lt;&gt;"",IF(VLOOKUP(VLOOKUP(E814,Beräkningshjälp!O$2:U$60,7,FALSE),Artuppgifter!$I$11:$P$22,8,FALSE)=TRUE,"Medelvikter!!","ALLA"),"")</f>
        <v/>
      </c>
      <c r="H814" s="2" t="str">
        <f>IF(D814&lt;&gt;"",VLOOKUP(ROW(H813),Beräkningshjälp!AC$2:AH$1082,COLUMN(Beräkningshjälp!AH$2)-COLUMN(Beräkningshjälp!AC$2)+1,FALSE),"")</f>
        <v/>
      </c>
      <c r="I814" s="116" t="str">
        <f>IF(D814&lt;&gt;"",VLOOKUP(ROW(E813),Beräkningshjälp!AC$2:AI$1082,COLUMN(Beräkningshjälp!AI$2)-COLUMN(Beräkningshjälp!AC$2)+1,FALSE),"")</f>
        <v/>
      </c>
    </row>
    <row r="815" spans="1:9" x14ac:dyDescent="0.25">
      <c r="A815" s="2" t="str">
        <f t="shared" si="24"/>
        <v/>
      </c>
      <c r="B815" s="136" t="str">
        <f>IF(D815&lt;&gt;"",'DATA TILL SLU'!$J$3,"")</f>
        <v/>
      </c>
      <c r="C815" s="146" t="str">
        <f>IF(D815&lt;&gt;"",'DATA TILL SLU'!$K$3,"")</f>
        <v/>
      </c>
      <c r="D815" s="2" t="str">
        <f>IF('DATA TILL SLU'!$D$7*1&lt;&gt;"",IF(COUNT(Beräkningshjälp!$AC$3:$AC$1082)&gt;=ROW(D814),'DATA TILL SLU'!$D$7*1,""),"")</f>
        <v/>
      </c>
      <c r="E815" s="136" t="str">
        <f>IF(D815&lt;&gt;"",VLOOKUP(ROW(E814),Beräkningshjälp!AC$2:AH$1082,COLUMN(Beräkningshjälp!AF$2)-COLUMN(Beräkningshjälp!AC$2)+1,FALSE),"")</f>
        <v/>
      </c>
      <c r="F815" s="352" t="str">
        <f t="shared" si="25"/>
        <v/>
      </c>
      <c r="G815" s="2" t="str">
        <f>IF(D815&lt;&gt;"",IF(VLOOKUP(VLOOKUP(E815,Beräkningshjälp!O$2:U$60,7,FALSE),Artuppgifter!$I$11:$P$22,8,FALSE)=TRUE,"Medelvikter!!","ALLA"),"")</f>
        <v/>
      </c>
      <c r="H815" s="2" t="str">
        <f>IF(D815&lt;&gt;"",VLOOKUP(ROW(H814),Beräkningshjälp!AC$2:AH$1082,COLUMN(Beräkningshjälp!AH$2)-COLUMN(Beräkningshjälp!AC$2)+1,FALSE),"")</f>
        <v/>
      </c>
      <c r="I815" s="116" t="str">
        <f>IF(D815&lt;&gt;"",VLOOKUP(ROW(E814),Beräkningshjälp!AC$2:AI$1082,COLUMN(Beräkningshjälp!AI$2)-COLUMN(Beräkningshjälp!AC$2)+1,FALSE),"")</f>
        <v/>
      </c>
    </row>
    <row r="816" spans="1:9" x14ac:dyDescent="0.25">
      <c r="A816" s="2" t="str">
        <f t="shared" si="24"/>
        <v/>
      </c>
      <c r="B816" s="136" t="str">
        <f>IF(D816&lt;&gt;"",'DATA TILL SLU'!$J$3,"")</f>
        <v/>
      </c>
      <c r="C816" s="146" t="str">
        <f>IF(D816&lt;&gt;"",'DATA TILL SLU'!$K$3,"")</f>
        <v/>
      </c>
      <c r="D816" s="2" t="str">
        <f>IF('DATA TILL SLU'!$D$7*1&lt;&gt;"",IF(COUNT(Beräkningshjälp!$AC$3:$AC$1082)&gt;=ROW(D815),'DATA TILL SLU'!$D$7*1,""),"")</f>
        <v/>
      </c>
      <c r="E816" s="136" t="str">
        <f>IF(D816&lt;&gt;"",VLOOKUP(ROW(E815),Beräkningshjälp!AC$2:AH$1082,COLUMN(Beräkningshjälp!AF$2)-COLUMN(Beräkningshjälp!AC$2)+1,FALSE),"")</f>
        <v/>
      </c>
      <c r="F816" s="352" t="str">
        <f t="shared" si="25"/>
        <v/>
      </c>
      <c r="G816" s="2" t="str">
        <f>IF(D816&lt;&gt;"",IF(VLOOKUP(VLOOKUP(E816,Beräkningshjälp!O$2:U$60,7,FALSE),Artuppgifter!$I$11:$P$22,8,FALSE)=TRUE,"Medelvikter!!","ALLA"),"")</f>
        <v/>
      </c>
      <c r="H816" s="2" t="str">
        <f>IF(D816&lt;&gt;"",VLOOKUP(ROW(H815),Beräkningshjälp!AC$2:AH$1082,COLUMN(Beräkningshjälp!AH$2)-COLUMN(Beräkningshjälp!AC$2)+1,FALSE),"")</f>
        <v/>
      </c>
      <c r="I816" s="116" t="str">
        <f>IF(D816&lt;&gt;"",VLOOKUP(ROW(E815),Beräkningshjälp!AC$2:AI$1082,COLUMN(Beräkningshjälp!AI$2)-COLUMN(Beräkningshjälp!AC$2)+1,FALSE),"")</f>
        <v/>
      </c>
    </row>
    <row r="817" spans="1:9" x14ac:dyDescent="0.25">
      <c r="A817" s="2" t="str">
        <f t="shared" si="24"/>
        <v/>
      </c>
      <c r="B817" s="136" t="str">
        <f>IF(D817&lt;&gt;"",'DATA TILL SLU'!$J$3,"")</f>
        <v/>
      </c>
      <c r="C817" s="146" t="str">
        <f>IF(D817&lt;&gt;"",'DATA TILL SLU'!$K$3,"")</f>
        <v/>
      </c>
      <c r="D817" s="2" t="str">
        <f>IF('DATA TILL SLU'!$D$7*1&lt;&gt;"",IF(COUNT(Beräkningshjälp!$AC$3:$AC$1082)&gt;=ROW(D816),'DATA TILL SLU'!$D$7*1,""),"")</f>
        <v/>
      </c>
      <c r="E817" s="136" t="str">
        <f>IF(D817&lt;&gt;"",VLOOKUP(ROW(E816),Beräkningshjälp!AC$2:AH$1082,COLUMN(Beräkningshjälp!AF$2)-COLUMN(Beräkningshjälp!AC$2)+1,FALSE),"")</f>
        <v/>
      </c>
      <c r="F817" s="352" t="str">
        <f t="shared" si="25"/>
        <v/>
      </c>
      <c r="G817" s="2" t="str">
        <f>IF(D817&lt;&gt;"",IF(VLOOKUP(VLOOKUP(E817,Beräkningshjälp!O$2:U$60,7,FALSE),Artuppgifter!$I$11:$P$22,8,FALSE)=TRUE,"Medelvikter!!","ALLA"),"")</f>
        <v/>
      </c>
      <c r="H817" s="2" t="str">
        <f>IF(D817&lt;&gt;"",VLOOKUP(ROW(H816),Beräkningshjälp!AC$2:AH$1082,COLUMN(Beräkningshjälp!AH$2)-COLUMN(Beräkningshjälp!AC$2)+1,FALSE),"")</f>
        <v/>
      </c>
      <c r="I817" s="116" t="str">
        <f>IF(D817&lt;&gt;"",VLOOKUP(ROW(E816),Beräkningshjälp!AC$2:AI$1082,COLUMN(Beräkningshjälp!AI$2)-COLUMN(Beräkningshjälp!AC$2)+1,FALSE),"")</f>
        <v/>
      </c>
    </row>
    <row r="818" spans="1:9" x14ac:dyDescent="0.25">
      <c r="A818" s="2" t="str">
        <f t="shared" si="24"/>
        <v/>
      </c>
      <c r="B818" s="136" t="str">
        <f>IF(D818&lt;&gt;"",'DATA TILL SLU'!$J$3,"")</f>
        <v/>
      </c>
      <c r="C818" s="146" t="str">
        <f>IF(D818&lt;&gt;"",'DATA TILL SLU'!$K$3,"")</f>
        <v/>
      </c>
      <c r="D818" s="2" t="str">
        <f>IF('DATA TILL SLU'!$D$7*1&lt;&gt;"",IF(COUNT(Beräkningshjälp!$AC$3:$AC$1082)&gt;=ROW(D817),'DATA TILL SLU'!$D$7*1,""),"")</f>
        <v/>
      </c>
      <c r="E818" s="136" t="str">
        <f>IF(D818&lt;&gt;"",VLOOKUP(ROW(E817),Beräkningshjälp!AC$2:AH$1082,COLUMN(Beräkningshjälp!AF$2)-COLUMN(Beräkningshjälp!AC$2)+1,FALSE),"")</f>
        <v/>
      </c>
      <c r="F818" s="352" t="str">
        <f t="shared" si="25"/>
        <v/>
      </c>
      <c r="G818" s="2" t="str">
        <f>IF(D818&lt;&gt;"",IF(VLOOKUP(VLOOKUP(E818,Beräkningshjälp!O$2:U$60,7,FALSE),Artuppgifter!$I$11:$P$22,8,FALSE)=TRUE,"Medelvikter!!","ALLA"),"")</f>
        <v/>
      </c>
      <c r="H818" s="2" t="str">
        <f>IF(D818&lt;&gt;"",VLOOKUP(ROW(H817),Beräkningshjälp!AC$2:AH$1082,COLUMN(Beräkningshjälp!AH$2)-COLUMN(Beräkningshjälp!AC$2)+1,FALSE),"")</f>
        <v/>
      </c>
      <c r="I818" s="116" t="str">
        <f>IF(D818&lt;&gt;"",VLOOKUP(ROW(E817),Beräkningshjälp!AC$2:AI$1082,COLUMN(Beräkningshjälp!AI$2)-COLUMN(Beräkningshjälp!AC$2)+1,FALSE),"")</f>
        <v/>
      </c>
    </row>
    <row r="819" spans="1:9" x14ac:dyDescent="0.25">
      <c r="A819" s="2" t="str">
        <f t="shared" si="24"/>
        <v/>
      </c>
      <c r="B819" s="136" t="str">
        <f>IF(D819&lt;&gt;"",'DATA TILL SLU'!$J$3,"")</f>
        <v/>
      </c>
      <c r="C819" s="146" t="str">
        <f>IF(D819&lt;&gt;"",'DATA TILL SLU'!$K$3,"")</f>
        <v/>
      </c>
      <c r="D819" s="2" t="str">
        <f>IF('DATA TILL SLU'!$D$7*1&lt;&gt;"",IF(COUNT(Beräkningshjälp!$AC$3:$AC$1082)&gt;=ROW(D818),'DATA TILL SLU'!$D$7*1,""),"")</f>
        <v/>
      </c>
      <c r="E819" s="136" t="str">
        <f>IF(D819&lt;&gt;"",VLOOKUP(ROW(E818),Beräkningshjälp!AC$2:AH$1082,COLUMN(Beräkningshjälp!AF$2)-COLUMN(Beräkningshjälp!AC$2)+1,FALSE),"")</f>
        <v/>
      </c>
      <c r="F819" s="352" t="str">
        <f t="shared" si="25"/>
        <v/>
      </c>
      <c r="G819" s="2" t="str">
        <f>IF(D819&lt;&gt;"",IF(VLOOKUP(VLOOKUP(E819,Beräkningshjälp!O$2:U$60,7,FALSE),Artuppgifter!$I$11:$P$22,8,FALSE)=TRUE,"Medelvikter!!","ALLA"),"")</f>
        <v/>
      </c>
      <c r="H819" s="2" t="str">
        <f>IF(D819&lt;&gt;"",VLOOKUP(ROW(H818),Beräkningshjälp!AC$2:AH$1082,COLUMN(Beräkningshjälp!AH$2)-COLUMN(Beräkningshjälp!AC$2)+1,FALSE),"")</f>
        <v/>
      </c>
      <c r="I819" s="116" t="str">
        <f>IF(D819&lt;&gt;"",VLOOKUP(ROW(E818),Beräkningshjälp!AC$2:AI$1082,COLUMN(Beräkningshjälp!AI$2)-COLUMN(Beräkningshjälp!AC$2)+1,FALSE),"")</f>
        <v/>
      </c>
    </row>
    <row r="820" spans="1:9" x14ac:dyDescent="0.25">
      <c r="A820" s="2" t="str">
        <f t="shared" si="24"/>
        <v/>
      </c>
      <c r="B820" s="136" t="str">
        <f>IF(D820&lt;&gt;"",'DATA TILL SLU'!$J$3,"")</f>
        <v/>
      </c>
      <c r="C820" s="146" t="str">
        <f>IF(D820&lt;&gt;"",'DATA TILL SLU'!$K$3,"")</f>
        <v/>
      </c>
      <c r="D820" s="2" t="str">
        <f>IF('DATA TILL SLU'!$D$7*1&lt;&gt;"",IF(COUNT(Beräkningshjälp!$AC$3:$AC$1082)&gt;=ROW(D819),'DATA TILL SLU'!$D$7*1,""),"")</f>
        <v/>
      </c>
      <c r="E820" s="136" t="str">
        <f>IF(D820&lt;&gt;"",VLOOKUP(ROW(E819),Beräkningshjälp!AC$2:AH$1082,COLUMN(Beräkningshjälp!AF$2)-COLUMN(Beräkningshjälp!AC$2)+1,FALSE),"")</f>
        <v/>
      </c>
      <c r="F820" s="352" t="str">
        <f t="shared" si="25"/>
        <v/>
      </c>
      <c r="G820" s="2" t="str">
        <f>IF(D820&lt;&gt;"",IF(VLOOKUP(VLOOKUP(E820,Beräkningshjälp!O$2:U$60,7,FALSE),Artuppgifter!$I$11:$P$22,8,FALSE)=TRUE,"Medelvikter!!","ALLA"),"")</f>
        <v/>
      </c>
      <c r="H820" s="2" t="str">
        <f>IF(D820&lt;&gt;"",VLOOKUP(ROW(H819),Beräkningshjälp!AC$2:AH$1082,COLUMN(Beräkningshjälp!AH$2)-COLUMN(Beräkningshjälp!AC$2)+1,FALSE),"")</f>
        <v/>
      </c>
      <c r="I820" s="116" t="str">
        <f>IF(D820&lt;&gt;"",VLOOKUP(ROW(E819),Beräkningshjälp!AC$2:AI$1082,COLUMN(Beräkningshjälp!AI$2)-COLUMN(Beräkningshjälp!AC$2)+1,FALSE),"")</f>
        <v/>
      </c>
    </row>
    <row r="821" spans="1:9" x14ac:dyDescent="0.25">
      <c r="A821" s="2" t="str">
        <f t="shared" si="24"/>
        <v/>
      </c>
      <c r="B821" s="136" t="str">
        <f>IF(D821&lt;&gt;"",'DATA TILL SLU'!$J$3,"")</f>
        <v/>
      </c>
      <c r="C821" s="146" t="str">
        <f>IF(D821&lt;&gt;"",'DATA TILL SLU'!$K$3,"")</f>
        <v/>
      </c>
      <c r="D821" s="2" t="str">
        <f>IF('DATA TILL SLU'!$D$7*1&lt;&gt;"",IF(COUNT(Beräkningshjälp!$AC$3:$AC$1082)&gt;=ROW(D820),'DATA TILL SLU'!$D$7*1,""),"")</f>
        <v/>
      </c>
      <c r="E821" s="136" t="str">
        <f>IF(D821&lt;&gt;"",VLOOKUP(ROW(E820),Beräkningshjälp!AC$2:AH$1082,COLUMN(Beräkningshjälp!AF$2)-COLUMN(Beräkningshjälp!AC$2)+1,FALSE),"")</f>
        <v/>
      </c>
      <c r="F821" s="352" t="str">
        <f t="shared" si="25"/>
        <v/>
      </c>
      <c r="G821" s="2" t="str">
        <f>IF(D821&lt;&gt;"",IF(VLOOKUP(VLOOKUP(E821,Beräkningshjälp!O$2:U$60,7,FALSE),Artuppgifter!$I$11:$P$22,8,FALSE)=TRUE,"Medelvikter!!","ALLA"),"")</f>
        <v/>
      </c>
      <c r="H821" s="2" t="str">
        <f>IF(D821&lt;&gt;"",VLOOKUP(ROW(H820),Beräkningshjälp!AC$2:AH$1082,COLUMN(Beräkningshjälp!AH$2)-COLUMN(Beräkningshjälp!AC$2)+1,FALSE),"")</f>
        <v/>
      </c>
      <c r="I821" s="116" t="str">
        <f>IF(D821&lt;&gt;"",VLOOKUP(ROW(E820),Beräkningshjälp!AC$2:AI$1082,COLUMN(Beräkningshjälp!AI$2)-COLUMN(Beräkningshjälp!AC$2)+1,FALSE),"")</f>
        <v/>
      </c>
    </row>
    <row r="822" spans="1:9" x14ac:dyDescent="0.25">
      <c r="A822" s="2" t="str">
        <f t="shared" si="24"/>
        <v/>
      </c>
      <c r="B822" s="136" t="str">
        <f>IF(D822&lt;&gt;"",'DATA TILL SLU'!$J$3,"")</f>
        <v/>
      </c>
      <c r="C822" s="146" t="str">
        <f>IF(D822&lt;&gt;"",'DATA TILL SLU'!$K$3,"")</f>
        <v/>
      </c>
      <c r="D822" s="2" t="str">
        <f>IF('DATA TILL SLU'!$D$7*1&lt;&gt;"",IF(COUNT(Beräkningshjälp!$AC$3:$AC$1082)&gt;=ROW(D821),'DATA TILL SLU'!$D$7*1,""),"")</f>
        <v/>
      </c>
      <c r="E822" s="136" t="str">
        <f>IF(D822&lt;&gt;"",VLOOKUP(ROW(E821),Beräkningshjälp!AC$2:AH$1082,COLUMN(Beräkningshjälp!AF$2)-COLUMN(Beräkningshjälp!AC$2)+1,FALSE),"")</f>
        <v/>
      </c>
      <c r="F822" s="352" t="str">
        <f t="shared" si="25"/>
        <v/>
      </c>
      <c r="G822" s="2" t="str">
        <f>IF(D822&lt;&gt;"",IF(VLOOKUP(VLOOKUP(E822,Beräkningshjälp!O$2:U$60,7,FALSE),Artuppgifter!$I$11:$P$22,8,FALSE)=TRUE,"Medelvikter!!","ALLA"),"")</f>
        <v/>
      </c>
      <c r="H822" s="2" t="str">
        <f>IF(D822&lt;&gt;"",VLOOKUP(ROW(H821),Beräkningshjälp!AC$2:AH$1082,COLUMN(Beräkningshjälp!AH$2)-COLUMN(Beräkningshjälp!AC$2)+1,FALSE),"")</f>
        <v/>
      </c>
      <c r="I822" s="116" t="str">
        <f>IF(D822&lt;&gt;"",VLOOKUP(ROW(E821),Beräkningshjälp!AC$2:AI$1082,COLUMN(Beräkningshjälp!AI$2)-COLUMN(Beräkningshjälp!AC$2)+1,FALSE),"")</f>
        <v/>
      </c>
    </row>
    <row r="823" spans="1:9" x14ac:dyDescent="0.25">
      <c r="A823" s="2" t="str">
        <f t="shared" si="24"/>
        <v/>
      </c>
      <c r="B823" s="136" t="str">
        <f>IF(D823&lt;&gt;"",'DATA TILL SLU'!$J$3,"")</f>
        <v/>
      </c>
      <c r="C823" s="146" t="str">
        <f>IF(D823&lt;&gt;"",'DATA TILL SLU'!$K$3,"")</f>
        <v/>
      </c>
      <c r="D823" s="2" t="str">
        <f>IF('DATA TILL SLU'!$D$7*1&lt;&gt;"",IF(COUNT(Beräkningshjälp!$AC$3:$AC$1082)&gt;=ROW(D822),'DATA TILL SLU'!$D$7*1,""),"")</f>
        <v/>
      </c>
      <c r="E823" s="136" t="str">
        <f>IF(D823&lt;&gt;"",VLOOKUP(ROW(E822),Beräkningshjälp!AC$2:AH$1082,COLUMN(Beräkningshjälp!AF$2)-COLUMN(Beräkningshjälp!AC$2)+1,FALSE),"")</f>
        <v/>
      </c>
      <c r="F823" s="352" t="str">
        <f t="shared" si="25"/>
        <v/>
      </c>
      <c r="G823" s="2" t="str">
        <f>IF(D823&lt;&gt;"",IF(VLOOKUP(VLOOKUP(E823,Beräkningshjälp!O$2:U$60,7,FALSE),Artuppgifter!$I$11:$P$22,8,FALSE)=TRUE,"Medelvikter!!","ALLA"),"")</f>
        <v/>
      </c>
      <c r="H823" s="2" t="str">
        <f>IF(D823&lt;&gt;"",VLOOKUP(ROW(H822),Beräkningshjälp!AC$2:AH$1082,COLUMN(Beräkningshjälp!AH$2)-COLUMN(Beräkningshjälp!AC$2)+1,FALSE),"")</f>
        <v/>
      </c>
      <c r="I823" s="116" t="str">
        <f>IF(D823&lt;&gt;"",VLOOKUP(ROW(E822),Beräkningshjälp!AC$2:AI$1082,COLUMN(Beräkningshjälp!AI$2)-COLUMN(Beräkningshjälp!AC$2)+1,FALSE),"")</f>
        <v/>
      </c>
    </row>
    <row r="824" spans="1:9" x14ac:dyDescent="0.25">
      <c r="A824" s="2" t="str">
        <f t="shared" si="24"/>
        <v/>
      </c>
      <c r="B824" s="136" t="str">
        <f>IF(D824&lt;&gt;"",'DATA TILL SLU'!$J$3,"")</f>
        <v/>
      </c>
      <c r="C824" s="146" t="str">
        <f>IF(D824&lt;&gt;"",'DATA TILL SLU'!$K$3,"")</f>
        <v/>
      </c>
      <c r="D824" s="2" t="str">
        <f>IF('DATA TILL SLU'!$D$7*1&lt;&gt;"",IF(COUNT(Beräkningshjälp!$AC$3:$AC$1082)&gt;=ROW(D823),'DATA TILL SLU'!$D$7*1,""),"")</f>
        <v/>
      </c>
      <c r="E824" s="136" t="str">
        <f>IF(D824&lt;&gt;"",VLOOKUP(ROW(E823),Beräkningshjälp!AC$2:AH$1082,COLUMN(Beräkningshjälp!AF$2)-COLUMN(Beräkningshjälp!AC$2)+1,FALSE),"")</f>
        <v/>
      </c>
      <c r="F824" s="352" t="str">
        <f t="shared" si="25"/>
        <v/>
      </c>
      <c r="G824" s="2" t="str">
        <f>IF(D824&lt;&gt;"",IF(VLOOKUP(VLOOKUP(E824,Beräkningshjälp!O$2:U$60,7,FALSE),Artuppgifter!$I$11:$P$22,8,FALSE)=TRUE,"Medelvikter!!","ALLA"),"")</f>
        <v/>
      </c>
      <c r="H824" s="2" t="str">
        <f>IF(D824&lt;&gt;"",VLOOKUP(ROW(H823),Beräkningshjälp!AC$2:AH$1082,COLUMN(Beräkningshjälp!AH$2)-COLUMN(Beräkningshjälp!AC$2)+1,FALSE),"")</f>
        <v/>
      </c>
      <c r="I824" s="116" t="str">
        <f>IF(D824&lt;&gt;"",VLOOKUP(ROW(E823),Beräkningshjälp!AC$2:AI$1082,COLUMN(Beräkningshjälp!AI$2)-COLUMN(Beräkningshjälp!AC$2)+1,FALSE),"")</f>
        <v/>
      </c>
    </row>
    <row r="825" spans="1:9" x14ac:dyDescent="0.25">
      <c r="A825" s="2" t="str">
        <f t="shared" si="24"/>
        <v/>
      </c>
      <c r="B825" s="136" t="str">
        <f>IF(D825&lt;&gt;"",'DATA TILL SLU'!$J$3,"")</f>
        <v/>
      </c>
      <c r="C825" s="146" t="str">
        <f>IF(D825&lt;&gt;"",'DATA TILL SLU'!$K$3,"")</f>
        <v/>
      </c>
      <c r="D825" s="2" t="str">
        <f>IF('DATA TILL SLU'!$D$7*1&lt;&gt;"",IF(COUNT(Beräkningshjälp!$AC$3:$AC$1082)&gt;=ROW(D824),'DATA TILL SLU'!$D$7*1,""),"")</f>
        <v/>
      </c>
      <c r="E825" s="136" t="str">
        <f>IF(D825&lt;&gt;"",VLOOKUP(ROW(E824),Beräkningshjälp!AC$2:AH$1082,COLUMN(Beräkningshjälp!AF$2)-COLUMN(Beräkningshjälp!AC$2)+1,FALSE),"")</f>
        <v/>
      </c>
      <c r="F825" s="352" t="str">
        <f t="shared" si="25"/>
        <v/>
      </c>
      <c r="G825" s="2" t="str">
        <f>IF(D825&lt;&gt;"",IF(VLOOKUP(VLOOKUP(E825,Beräkningshjälp!O$2:U$60,7,FALSE),Artuppgifter!$I$11:$P$22,8,FALSE)=TRUE,"Medelvikter!!","ALLA"),"")</f>
        <v/>
      </c>
      <c r="H825" s="2" t="str">
        <f>IF(D825&lt;&gt;"",VLOOKUP(ROW(H824),Beräkningshjälp!AC$2:AH$1082,COLUMN(Beräkningshjälp!AH$2)-COLUMN(Beräkningshjälp!AC$2)+1,FALSE),"")</f>
        <v/>
      </c>
      <c r="I825" s="116" t="str">
        <f>IF(D825&lt;&gt;"",VLOOKUP(ROW(E824),Beräkningshjälp!AC$2:AI$1082,COLUMN(Beräkningshjälp!AI$2)-COLUMN(Beräkningshjälp!AC$2)+1,FALSE),"")</f>
        <v/>
      </c>
    </row>
    <row r="826" spans="1:9" x14ac:dyDescent="0.25">
      <c r="A826" s="2" t="str">
        <f t="shared" si="24"/>
        <v/>
      </c>
      <c r="B826" s="136" t="str">
        <f>IF(D826&lt;&gt;"",'DATA TILL SLU'!$J$3,"")</f>
        <v/>
      </c>
      <c r="C826" s="146" t="str">
        <f>IF(D826&lt;&gt;"",'DATA TILL SLU'!$K$3,"")</f>
        <v/>
      </c>
      <c r="D826" s="2" t="str">
        <f>IF('DATA TILL SLU'!$D$7*1&lt;&gt;"",IF(COUNT(Beräkningshjälp!$AC$3:$AC$1082)&gt;=ROW(D825),'DATA TILL SLU'!$D$7*1,""),"")</f>
        <v/>
      </c>
      <c r="E826" s="136" t="str">
        <f>IF(D826&lt;&gt;"",VLOOKUP(ROW(E825),Beräkningshjälp!AC$2:AH$1082,COLUMN(Beräkningshjälp!AF$2)-COLUMN(Beräkningshjälp!AC$2)+1,FALSE),"")</f>
        <v/>
      </c>
      <c r="F826" s="352" t="str">
        <f t="shared" si="25"/>
        <v/>
      </c>
      <c r="G826" s="2" t="str">
        <f>IF(D826&lt;&gt;"",IF(VLOOKUP(VLOOKUP(E826,Beräkningshjälp!O$2:U$60,7,FALSE),Artuppgifter!$I$11:$P$22,8,FALSE)=TRUE,"Medelvikter!!","ALLA"),"")</f>
        <v/>
      </c>
      <c r="H826" s="2" t="str">
        <f>IF(D826&lt;&gt;"",VLOOKUP(ROW(H825),Beräkningshjälp!AC$2:AH$1082,COLUMN(Beräkningshjälp!AH$2)-COLUMN(Beräkningshjälp!AC$2)+1,FALSE),"")</f>
        <v/>
      </c>
      <c r="I826" s="116" t="str">
        <f>IF(D826&lt;&gt;"",VLOOKUP(ROW(E825),Beräkningshjälp!AC$2:AI$1082,COLUMN(Beräkningshjälp!AI$2)-COLUMN(Beräkningshjälp!AC$2)+1,FALSE),"")</f>
        <v/>
      </c>
    </row>
    <row r="827" spans="1:9" x14ac:dyDescent="0.25">
      <c r="A827" s="2" t="str">
        <f t="shared" si="24"/>
        <v/>
      </c>
      <c r="B827" s="136" t="str">
        <f>IF(D827&lt;&gt;"",'DATA TILL SLU'!$J$3,"")</f>
        <v/>
      </c>
      <c r="C827" s="146" t="str">
        <f>IF(D827&lt;&gt;"",'DATA TILL SLU'!$K$3,"")</f>
        <v/>
      </c>
      <c r="D827" s="2" t="str">
        <f>IF('DATA TILL SLU'!$D$7*1&lt;&gt;"",IF(COUNT(Beräkningshjälp!$AC$3:$AC$1082)&gt;=ROW(D826),'DATA TILL SLU'!$D$7*1,""),"")</f>
        <v/>
      </c>
      <c r="E827" s="136" t="str">
        <f>IF(D827&lt;&gt;"",VLOOKUP(ROW(E826),Beräkningshjälp!AC$2:AH$1082,COLUMN(Beräkningshjälp!AF$2)-COLUMN(Beräkningshjälp!AC$2)+1,FALSE),"")</f>
        <v/>
      </c>
      <c r="F827" s="352" t="str">
        <f t="shared" si="25"/>
        <v/>
      </c>
      <c r="G827" s="2" t="str">
        <f>IF(D827&lt;&gt;"",IF(VLOOKUP(VLOOKUP(E827,Beräkningshjälp!O$2:U$60,7,FALSE),Artuppgifter!$I$11:$P$22,8,FALSE)=TRUE,"Medelvikter!!","ALLA"),"")</f>
        <v/>
      </c>
      <c r="H827" s="2" t="str">
        <f>IF(D827&lt;&gt;"",VLOOKUP(ROW(H826),Beräkningshjälp!AC$2:AH$1082,COLUMN(Beräkningshjälp!AH$2)-COLUMN(Beräkningshjälp!AC$2)+1,FALSE),"")</f>
        <v/>
      </c>
      <c r="I827" s="116" t="str">
        <f>IF(D827&lt;&gt;"",VLOOKUP(ROW(E826),Beräkningshjälp!AC$2:AI$1082,COLUMN(Beräkningshjälp!AI$2)-COLUMN(Beräkningshjälp!AC$2)+1,FALSE),"")</f>
        <v/>
      </c>
    </row>
    <row r="828" spans="1:9" x14ac:dyDescent="0.25">
      <c r="A828" s="2" t="str">
        <f t="shared" si="24"/>
        <v/>
      </c>
      <c r="B828" s="136" t="str">
        <f>IF(D828&lt;&gt;"",'DATA TILL SLU'!$J$3,"")</f>
        <v/>
      </c>
      <c r="C828" s="146" t="str">
        <f>IF(D828&lt;&gt;"",'DATA TILL SLU'!$K$3,"")</f>
        <v/>
      </c>
      <c r="D828" s="2" t="str">
        <f>IF('DATA TILL SLU'!$D$7*1&lt;&gt;"",IF(COUNT(Beräkningshjälp!$AC$3:$AC$1082)&gt;=ROW(D827),'DATA TILL SLU'!$D$7*1,""),"")</f>
        <v/>
      </c>
      <c r="E828" s="136" t="str">
        <f>IF(D828&lt;&gt;"",VLOOKUP(ROW(E827),Beräkningshjälp!AC$2:AH$1082,COLUMN(Beräkningshjälp!AF$2)-COLUMN(Beräkningshjälp!AC$2)+1,FALSE),"")</f>
        <v/>
      </c>
      <c r="F828" s="352" t="str">
        <f t="shared" si="25"/>
        <v/>
      </c>
      <c r="G828" s="2" t="str">
        <f>IF(D828&lt;&gt;"",IF(VLOOKUP(VLOOKUP(E828,Beräkningshjälp!O$2:U$60,7,FALSE),Artuppgifter!$I$11:$P$22,8,FALSE)=TRUE,"Medelvikter!!","ALLA"),"")</f>
        <v/>
      </c>
      <c r="H828" s="2" t="str">
        <f>IF(D828&lt;&gt;"",VLOOKUP(ROW(H827),Beräkningshjälp!AC$2:AH$1082,COLUMN(Beräkningshjälp!AH$2)-COLUMN(Beräkningshjälp!AC$2)+1,FALSE),"")</f>
        <v/>
      </c>
      <c r="I828" s="116" t="str">
        <f>IF(D828&lt;&gt;"",VLOOKUP(ROW(E827),Beräkningshjälp!AC$2:AI$1082,COLUMN(Beräkningshjälp!AI$2)-COLUMN(Beräkningshjälp!AC$2)+1,FALSE),"")</f>
        <v/>
      </c>
    </row>
    <row r="829" spans="1:9" x14ac:dyDescent="0.25">
      <c r="A829" s="2" t="str">
        <f t="shared" si="24"/>
        <v/>
      </c>
      <c r="B829" s="136" t="str">
        <f>IF(D829&lt;&gt;"",'DATA TILL SLU'!$J$3,"")</f>
        <v/>
      </c>
      <c r="C829" s="146" t="str">
        <f>IF(D829&lt;&gt;"",'DATA TILL SLU'!$K$3,"")</f>
        <v/>
      </c>
      <c r="D829" s="2" t="str">
        <f>IF('DATA TILL SLU'!$D$7*1&lt;&gt;"",IF(COUNT(Beräkningshjälp!$AC$3:$AC$1082)&gt;=ROW(D828),'DATA TILL SLU'!$D$7*1,""),"")</f>
        <v/>
      </c>
      <c r="E829" s="136" t="str">
        <f>IF(D829&lt;&gt;"",VLOOKUP(ROW(E828),Beräkningshjälp!AC$2:AH$1082,COLUMN(Beräkningshjälp!AF$2)-COLUMN(Beräkningshjälp!AC$2)+1,FALSE),"")</f>
        <v/>
      </c>
      <c r="F829" s="352" t="str">
        <f t="shared" si="25"/>
        <v/>
      </c>
      <c r="G829" s="2" t="str">
        <f>IF(D829&lt;&gt;"",IF(VLOOKUP(VLOOKUP(E829,Beräkningshjälp!O$2:U$60,7,FALSE),Artuppgifter!$I$11:$P$22,8,FALSE)=TRUE,"Medelvikter!!","ALLA"),"")</f>
        <v/>
      </c>
      <c r="H829" s="2" t="str">
        <f>IF(D829&lt;&gt;"",VLOOKUP(ROW(H828),Beräkningshjälp!AC$2:AH$1082,COLUMN(Beräkningshjälp!AH$2)-COLUMN(Beräkningshjälp!AC$2)+1,FALSE),"")</f>
        <v/>
      </c>
      <c r="I829" s="116" t="str">
        <f>IF(D829&lt;&gt;"",VLOOKUP(ROW(E828),Beräkningshjälp!AC$2:AI$1082,COLUMN(Beräkningshjälp!AI$2)-COLUMN(Beräkningshjälp!AC$2)+1,FALSE),"")</f>
        <v/>
      </c>
    </row>
    <row r="830" spans="1:9" x14ac:dyDescent="0.25">
      <c r="A830" s="2" t="str">
        <f t="shared" si="24"/>
        <v/>
      </c>
      <c r="B830" s="136" t="str">
        <f>IF(D830&lt;&gt;"",'DATA TILL SLU'!$J$3,"")</f>
        <v/>
      </c>
      <c r="C830" s="146" t="str">
        <f>IF(D830&lt;&gt;"",'DATA TILL SLU'!$K$3,"")</f>
        <v/>
      </c>
      <c r="D830" s="2" t="str">
        <f>IF('DATA TILL SLU'!$D$7*1&lt;&gt;"",IF(COUNT(Beräkningshjälp!$AC$3:$AC$1082)&gt;=ROW(D829),'DATA TILL SLU'!$D$7*1,""),"")</f>
        <v/>
      </c>
      <c r="E830" s="136" t="str">
        <f>IF(D830&lt;&gt;"",VLOOKUP(ROW(E829),Beräkningshjälp!AC$2:AH$1082,COLUMN(Beräkningshjälp!AF$2)-COLUMN(Beräkningshjälp!AC$2)+1,FALSE),"")</f>
        <v/>
      </c>
      <c r="F830" s="352" t="str">
        <f t="shared" si="25"/>
        <v/>
      </c>
      <c r="G830" s="2" t="str">
        <f>IF(D830&lt;&gt;"",IF(VLOOKUP(VLOOKUP(E830,Beräkningshjälp!O$2:U$60,7,FALSE),Artuppgifter!$I$11:$P$22,8,FALSE)=TRUE,"Medelvikter!!","ALLA"),"")</f>
        <v/>
      </c>
      <c r="H830" s="2" t="str">
        <f>IF(D830&lt;&gt;"",VLOOKUP(ROW(H829),Beräkningshjälp!AC$2:AH$1082,COLUMN(Beräkningshjälp!AH$2)-COLUMN(Beräkningshjälp!AC$2)+1,FALSE),"")</f>
        <v/>
      </c>
      <c r="I830" s="116" t="str">
        <f>IF(D830&lt;&gt;"",VLOOKUP(ROW(E829),Beräkningshjälp!AC$2:AI$1082,COLUMN(Beräkningshjälp!AI$2)-COLUMN(Beräkningshjälp!AC$2)+1,FALSE),"")</f>
        <v/>
      </c>
    </row>
    <row r="831" spans="1:9" x14ac:dyDescent="0.25">
      <c r="A831" s="2" t="str">
        <f t="shared" si="24"/>
        <v/>
      </c>
      <c r="B831" s="136" t="str">
        <f>IF(D831&lt;&gt;"",'DATA TILL SLU'!$J$3,"")</f>
        <v/>
      </c>
      <c r="C831" s="146" t="str">
        <f>IF(D831&lt;&gt;"",'DATA TILL SLU'!$K$3,"")</f>
        <v/>
      </c>
      <c r="D831" s="2" t="str">
        <f>IF('DATA TILL SLU'!$D$7*1&lt;&gt;"",IF(COUNT(Beräkningshjälp!$AC$3:$AC$1082)&gt;=ROW(D830),'DATA TILL SLU'!$D$7*1,""),"")</f>
        <v/>
      </c>
      <c r="E831" s="136" t="str">
        <f>IF(D831&lt;&gt;"",VLOOKUP(ROW(E830),Beräkningshjälp!AC$2:AH$1082,COLUMN(Beräkningshjälp!AF$2)-COLUMN(Beräkningshjälp!AC$2)+1,FALSE),"")</f>
        <v/>
      </c>
      <c r="F831" s="352" t="str">
        <f t="shared" si="25"/>
        <v/>
      </c>
      <c r="G831" s="2" t="str">
        <f>IF(D831&lt;&gt;"",IF(VLOOKUP(VLOOKUP(E831,Beräkningshjälp!O$2:U$60,7,FALSE),Artuppgifter!$I$11:$P$22,8,FALSE)=TRUE,"Medelvikter!!","ALLA"),"")</f>
        <v/>
      </c>
      <c r="H831" s="2" t="str">
        <f>IF(D831&lt;&gt;"",VLOOKUP(ROW(H830),Beräkningshjälp!AC$2:AH$1082,COLUMN(Beräkningshjälp!AH$2)-COLUMN(Beräkningshjälp!AC$2)+1,FALSE),"")</f>
        <v/>
      </c>
      <c r="I831" s="116" t="str">
        <f>IF(D831&lt;&gt;"",VLOOKUP(ROW(E830),Beräkningshjälp!AC$2:AI$1082,COLUMN(Beräkningshjälp!AI$2)-COLUMN(Beräkningshjälp!AC$2)+1,FALSE),"")</f>
        <v/>
      </c>
    </row>
    <row r="832" spans="1:9" x14ac:dyDescent="0.25">
      <c r="A832" s="2" t="str">
        <f t="shared" si="24"/>
        <v/>
      </c>
      <c r="B832" s="136" t="str">
        <f>IF(D832&lt;&gt;"",'DATA TILL SLU'!$J$3,"")</f>
        <v/>
      </c>
      <c r="C832" s="146" t="str">
        <f>IF(D832&lt;&gt;"",'DATA TILL SLU'!$K$3,"")</f>
        <v/>
      </c>
      <c r="D832" s="2" t="str">
        <f>IF('DATA TILL SLU'!$D$7*1&lt;&gt;"",IF(COUNT(Beräkningshjälp!$AC$3:$AC$1082)&gt;=ROW(D831),'DATA TILL SLU'!$D$7*1,""),"")</f>
        <v/>
      </c>
      <c r="E832" s="136" t="str">
        <f>IF(D832&lt;&gt;"",VLOOKUP(ROW(E831),Beräkningshjälp!AC$2:AH$1082,COLUMN(Beräkningshjälp!AF$2)-COLUMN(Beräkningshjälp!AC$2)+1,FALSE),"")</f>
        <v/>
      </c>
      <c r="F832" s="352" t="str">
        <f t="shared" si="25"/>
        <v/>
      </c>
      <c r="G832" s="2" t="str">
        <f>IF(D832&lt;&gt;"",IF(VLOOKUP(VLOOKUP(E832,Beräkningshjälp!O$2:U$60,7,FALSE),Artuppgifter!$I$11:$P$22,8,FALSE)=TRUE,"Medelvikter!!","ALLA"),"")</f>
        <v/>
      </c>
      <c r="H832" s="2" t="str">
        <f>IF(D832&lt;&gt;"",VLOOKUP(ROW(H831),Beräkningshjälp!AC$2:AH$1082,COLUMN(Beräkningshjälp!AH$2)-COLUMN(Beräkningshjälp!AC$2)+1,FALSE),"")</f>
        <v/>
      </c>
      <c r="I832" s="116" t="str">
        <f>IF(D832&lt;&gt;"",VLOOKUP(ROW(E831),Beräkningshjälp!AC$2:AI$1082,COLUMN(Beräkningshjälp!AI$2)-COLUMN(Beräkningshjälp!AC$2)+1,FALSE),"")</f>
        <v/>
      </c>
    </row>
    <row r="833" spans="1:9" x14ac:dyDescent="0.25">
      <c r="A833" s="2" t="str">
        <f t="shared" si="24"/>
        <v/>
      </c>
      <c r="B833" s="136" t="str">
        <f>IF(D833&lt;&gt;"",'DATA TILL SLU'!$J$3,"")</f>
        <v/>
      </c>
      <c r="C833" s="146" t="str">
        <f>IF(D833&lt;&gt;"",'DATA TILL SLU'!$K$3,"")</f>
        <v/>
      </c>
      <c r="D833" s="2" t="str">
        <f>IF('DATA TILL SLU'!$D$7*1&lt;&gt;"",IF(COUNT(Beräkningshjälp!$AC$3:$AC$1082)&gt;=ROW(D832),'DATA TILL SLU'!$D$7*1,""),"")</f>
        <v/>
      </c>
      <c r="E833" s="136" t="str">
        <f>IF(D833&lt;&gt;"",VLOOKUP(ROW(E832),Beräkningshjälp!AC$2:AH$1082,COLUMN(Beräkningshjälp!AF$2)-COLUMN(Beräkningshjälp!AC$2)+1,FALSE),"")</f>
        <v/>
      </c>
      <c r="F833" s="352" t="str">
        <f t="shared" si="25"/>
        <v/>
      </c>
      <c r="G833" s="2" t="str">
        <f>IF(D833&lt;&gt;"",IF(VLOOKUP(VLOOKUP(E833,Beräkningshjälp!O$2:U$60,7,FALSE),Artuppgifter!$I$11:$P$22,8,FALSE)=TRUE,"Medelvikter!!","ALLA"),"")</f>
        <v/>
      </c>
      <c r="H833" s="2" t="str">
        <f>IF(D833&lt;&gt;"",VLOOKUP(ROW(H832),Beräkningshjälp!AC$2:AH$1082,COLUMN(Beräkningshjälp!AH$2)-COLUMN(Beräkningshjälp!AC$2)+1,FALSE),"")</f>
        <v/>
      </c>
      <c r="I833" s="116" t="str">
        <f>IF(D833&lt;&gt;"",VLOOKUP(ROW(E832),Beräkningshjälp!AC$2:AI$1082,COLUMN(Beräkningshjälp!AI$2)-COLUMN(Beräkningshjälp!AC$2)+1,FALSE),"")</f>
        <v/>
      </c>
    </row>
    <row r="834" spans="1:9" x14ac:dyDescent="0.25">
      <c r="A834" s="2" t="str">
        <f t="shared" si="24"/>
        <v/>
      </c>
      <c r="B834" s="136" t="str">
        <f>IF(D834&lt;&gt;"",'DATA TILL SLU'!$J$3,"")</f>
        <v/>
      </c>
      <c r="C834" s="146" t="str">
        <f>IF(D834&lt;&gt;"",'DATA TILL SLU'!$K$3,"")</f>
        <v/>
      </c>
      <c r="D834" s="2" t="str">
        <f>IF('DATA TILL SLU'!$D$7*1&lt;&gt;"",IF(COUNT(Beräkningshjälp!$AC$3:$AC$1082)&gt;=ROW(D833),'DATA TILL SLU'!$D$7*1,""),"")</f>
        <v/>
      </c>
      <c r="E834" s="136" t="str">
        <f>IF(D834&lt;&gt;"",VLOOKUP(ROW(E833),Beräkningshjälp!AC$2:AH$1082,COLUMN(Beräkningshjälp!AF$2)-COLUMN(Beräkningshjälp!AC$2)+1,FALSE),"")</f>
        <v/>
      </c>
      <c r="F834" s="352" t="str">
        <f t="shared" si="25"/>
        <v/>
      </c>
      <c r="G834" s="2" t="str">
        <f>IF(D834&lt;&gt;"",IF(VLOOKUP(VLOOKUP(E834,Beräkningshjälp!O$2:U$60,7,FALSE),Artuppgifter!$I$11:$P$22,8,FALSE)=TRUE,"Medelvikter!!","ALLA"),"")</f>
        <v/>
      </c>
      <c r="H834" s="2" t="str">
        <f>IF(D834&lt;&gt;"",VLOOKUP(ROW(H833),Beräkningshjälp!AC$2:AH$1082,COLUMN(Beräkningshjälp!AH$2)-COLUMN(Beräkningshjälp!AC$2)+1,FALSE),"")</f>
        <v/>
      </c>
      <c r="I834" s="116" t="str">
        <f>IF(D834&lt;&gt;"",VLOOKUP(ROW(E833),Beräkningshjälp!AC$2:AI$1082,COLUMN(Beräkningshjälp!AI$2)-COLUMN(Beräkningshjälp!AC$2)+1,FALSE),"")</f>
        <v/>
      </c>
    </row>
    <row r="835" spans="1:9" x14ac:dyDescent="0.25">
      <c r="A835" s="2" t="str">
        <f t="shared" ref="A835:A898" si="26">IF(D835&lt;&gt;"","LANGDVIKTER","")</f>
        <v/>
      </c>
      <c r="B835" s="136" t="str">
        <f>IF(D835&lt;&gt;"",'DATA TILL SLU'!$J$3,"")</f>
        <v/>
      </c>
      <c r="C835" s="146" t="str">
        <f>IF(D835&lt;&gt;"",'DATA TILL SLU'!$K$3,"")</f>
        <v/>
      </c>
      <c r="D835" s="2" t="str">
        <f>IF('DATA TILL SLU'!$D$7*1&lt;&gt;"",IF(COUNT(Beräkningshjälp!$AC$3:$AC$1082)&gt;=ROW(D834),'DATA TILL SLU'!$D$7*1,""),"")</f>
        <v/>
      </c>
      <c r="E835" s="136" t="str">
        <f>IF(D835&lt;&gt;"",VLOOKUP(ROW(E834),Beräkningshjälp!AC$2:AH$1082,COLUMN(Beräkningshjälp!AF$2)-COLUMN(Beräkningshjälp!AC$2)+1,FALSE),"")</f>
        <v/>
      </c>
      <c r="F835" s="352" t="str">
        <f t="shared" ref="F835:F898" si="27">IF(D835&lt;&gt;"","IND","")</f>
        <v/>
      </c>
      <c r="G835" s="2" t="str">
        <f>IF(D835&lt;&gt;"",IF(VLOOKUP(VLOOKUP(E835,Beräkningshjälp!O$2:U$60,7,FALSE),Artuppgifter!$I$11:$P$22,8,FALSE)=TRUE,"Medelvikter!!","ALLA"),"")</f>
        <v/>
      </c>
      <c r="H835" s="2" t="str">
        <f>IF(D835&lt;&gt;"",VLOOKUP(ROW(H834),Beräkningshjälp!AC$2:AH$1082,COLUMN(Beräkningshjälp!AH$2)-COLUMN(Beräkningshjälp!AC$2)+1,FALSE),"")</f>
        <v/>
      </c>
      <c r="I835" s="116" t="str">
        <f>IF(D835&lt;&gt;"",VLOOKUP(ROW(E834),Beräkningshjälp!AC$2:AI$1082,COLUMN(Beräkningshjälp!AI$2)-COLUMN(Beräkningshjälp!AC$2)+1,FALSE),"")</f>
        <v/>
      </c>
    </row>
    <row r="836" spans="1:9" x14ac:dyDescent="0.25">
      <c r="A836" s="2" t="str">
        <f t="shared" si="26"/>
        <v/>
      </c>
      <c r="B836" s="136" t="str">
        <f>IF(D836&lt;&gt;"",'DATA TILL SLU'!$J$3,"")</f>
        <v/>
      </c>
      <c r="C836" s="146" t="str">
        <f>IF(D836&lt;&gt;"",'DATA TILL SLU'!$K$3,"")</f>
        <v/>
      </c>
      <c r="D836" s="2" t="str">
        <f>IF('DATA TILL SLU'!$D$7*1&lt;&gt;"",IF(COUNT(Beräkningshjälp!$AC$3:$AC$1082)&gt;=ROW(D835),'DATA TILL SLU'!$D$7*1,""),"")</f>
        <v/>
      </c>
      <c r="E836" s="136" t="str">
        <f>IF(D836&lt;&gt;"",VLOOKUP(ROW(E835),Beräkningshjälp!AC$2:AH$1082,COLUMN(Beräkningshjälp!AF$2)-COLUMN(Beräkningshjälp!AC$2)+1,FALSE),"")</f>
        <v/>
      </c>
      <c r="F836" s="352" t="str">
        <f t="shared" si="27"/>
        <v/>
      </c>
      <c r="G836" s="2" t="str">
        <f>IF(D836&lt;&gt;"",IF(VLOOKUP(VLOOKUP(E836,Beräkningshjälp!O$2:U$60,7,FALSE),Artuppgifter!$I$11:$P$22,8,FALSE)=TRUE,"Medelvikter!!","ALLA"),"")</f>
        <v/>
      </c>
      <c r="H836" s="2" t="str">
        <f>IF(D836&lt;&gt;"",VLOOKUP(ROW(H835),Beräkningshjälp!AC$2:AH$1082,COLUMN(Beräkningshjälp!AH$2)-COLUMN(Beräkningshjälp!AC$2)+1,FALSE),"")</f>
        <v/>
      </c>
      <c r="I836" s="116" t="str">
        <f>IF(D836&lt;&gt;"",VLOOKUP(ROW(E835),Beräkningshjälp!AC$2:AI$1082,COLUMN(Beräkningshjälp!AI$2)-COLUMN(Beräkningshjälp!AC$2)+1,FALSE),"")</f>
        <v/>
      </c>
    </row>
    <row r="837" spans="1:9" x14ac:dyDescent="0.25">
      <c r="A837" s="2" t="str">
        <f t="shared" si="26"/>
        <v/>
      </c>
      <c r="B837" s="136" t="str">
        <f>IF(D837&lt;&gt;"",'DATA TILL SLU'!$J$3,"")</f>
        <v/>
      </c>
      <c r="C837" s="146" t="str">
        <f>IF(D837&lt;&gt;"",'DATA TILL SLU'!$K$3,"")</f>
        <v/>
      </c>
      <c r="D837" s="2" t="str">
        <f>IF('DATA TILL SLU'!$D$7*1&lt;&gt;"",IF(COUNT(Beräkningshjälp!$AC$3:$AC$1082)&gt;=ROW(D836),'DATA TILL SLU'!$D$7*1,""),"")</f>
        <v/>
      </c>
      <c r="E837" s="136" t="str">
        <f>IF(D837&lt;&gt;"",VLOOKUP(ROW(E836),Beräkningshjälp!AC$2:AH$1082,COLUMN(Beräkningshjälp!AF$2)-COLUMN(Beräkningshjälp!AC$2)+1,FALSE),"")</f>
        <v/>
      </c>
      <c r="F837" s="352" t="str">
        <f t="shared" si="27"/>
        <v/>
      </c>
      <c r="G837" s="2" t="str">
        <f>IF(D837&lt;&gt;"",IF(VLOOKUP(VLOOKUP(E837,Beräkningshjälp!O$2:U$60,7,FALSE),Artuppgifter!$I$11:$P$22,8,FALSE)=TRUE,"Medelvikter!!","ALLA"),"")</f>
        <v/>
      </c>
      <c r="H837" s="2" t="str">
        <f>IF(D837&lt;&gt;"",VLOOKUP(ROW(H836),Beräkningshjälp!AC$2:AH$1082,COLUMN(Beräkningshjälp!AH$2)-COLUMN(Beräkningshjälp!AC$2)+1,FALSE),"")</f>
        <v/>
      </c>
      <c r="I837" s="116" t="str">
        <f>IF(D837&lt;&gt;"",VLOOKUP(ROW(E836),Beräkningshjälp!AC$2:AI$1082,COLUMN(Beräkningshjälp!AI$2)-COLUMN(Beräkningshjälp!AC$2)+1,FALSE),"")</f>
        <v/>
      </c>
    </row>
    <row r="838" spans="1:9" x14ac:dyDescent="0.25">
      <c r="A838" s="2" t="str">
        <f t="shared" si="26"/>
        <v/>
      </c>
      <c r="B838" s="136" t="str">
        <f>IF(D838&lt;&gt;"",'DATA TILL SLU'!$J$3,"")</f>
        <v/>
      </c>
      <c r="C838" s="146" t="str">
        <f>IF(D838&lt;&gt;"",'DATA TILL SLU'!$K$3,"")</f>
        <v/>
      </c>
      <c r="D838" s="2" t="str">
        <f>IF('DATA TILL SLU'!$D$7*1&lt;&gt;"",IF(COUNT(Beräkningshjälp!$AC$3:$AC$1082)&gt;=ROW(D837),'DATA TILL SLU'!$D$7*1,""),"")</f>
        <v/>
      </c>
      <c r="E838" s="136" t="str">
        <f>IF(D838&lt;&gt;"",VLOOKUP(ROW(E837),Beräkningshjälp!AC$2:AH$1082,COLUMN(Beräkningshjälp!AF$2)-COLUMN(Beräkningshjälp!AC$2)+1,FALSE),"")</f>
        <v/>
      </c>
      <c r="F838" s="352" t="str">
        <f t="shared" si="27"/>
        <v/>
      </c>
      <c r="G838" s="2" t="str">
        <f>IF(D838&lt;&gt;"",IF(VLOOKUP(VLOOKUP(E838,Beräkningshjälp!O$2:U$60,7,FALSE),Artuppgifter!$I$11:$P$22,8,FALSE)=TRUE,"Medelvikter!!","ALLA"),"")</f>
        <v/>
      </c>
      <c r="H838" s="2" t="str">
        <f>IF(D838&lt;&gt;"",VLOOKUP(ROW(H837),Beräkningshjälp!AC$2:AH$1082,COLUMN(Beräkningshjälp!AH$2)-COLUMN(Beräkningshjälp!AC$2)+1,FALSE),"")</f>
        <v/>
      </c>
      <c r="I838" s="116" t="str">
        <f>IF(D838&lt;&gt;"",VLOOKUP(ROW(E837),Beräkningshjälp!AC$2:AI$1082,COLUMN(Beräkningshjälp!AI$2)-COLUMN(Beräkningshjälp!AC$2)+1,FALSE),"")</f>
        <v/>
      </c>
    </row>
    <row r="839" spans="1:9" x14ac:dyDescent="0.25">
      <c r="A839" s="2" t="str">
        <f t="shared" si="26"/>
        <v/>
      </c>
      <c r="B839" s="136" t="str">
        <f>IF(D839&lt;&gt;"",'DATA TILL SLU'!$J$3,"")</f>
        <v/>
      </c>
      <c r="C839" s="146" t="str">
        <f>IF(D839&lt;&gt;"",'DATA TILL SLU'!$K$3,"")</f>
        <v/>
      </c>
      <c r="D839" s="2" t="str">
        <f>IF('DATA TILL SLU'!$D$7*1&lt;&gt;"",IF(COUNT(Beräkningshjälp!$AC$3:$AC$1082)&gt;=ROW(D838),'DATA TILL SLU'!$D$7*1,""),"")</f>
        <v/>
      </c>
      <c r="E839" s="136" t="str">
        <f>IF(D839&lt;&gt;"",VLOOKUP(ROW(E838),Beräkningshjälp!AC$2:AH$1082,COLUMN(Beräkningshjälp!AF$2)-COLUMN(Beräkningshjälp!AC$2)+1,FALSE),"")</f>
        <v/>
      </c>
      <c r="F839" s="352" t="str">
        <f t="shared" si="27"/>
        <v/>
      </c>
      <c r="G839" s="2" t="str">
        <f>IF(D839&lt;&gt;"",IF(VLOOKUP(VLOOKUP(E839,Beräkningshjälp!O$2:U$60,7,FALSE),Artuppgifter!$I$11:$P$22,8,FALSE)=TRUE,"Medelvikter!!","ALLA"),"")</f>
        <v/>
      </c>
      <c r="H839" s="2" t="str">
        <f>IF(D839&lt;&gt;"",VLOOKUP(ROW(H838),Beräkningshjälp!AC$2:AH$1082,COLUMN(Beräkningshjälp!AH$2)-COLUMN(Beräkningshjälp!AC$2)+1,FALSE),"")</f>
        <v/>
      </c>
      <c r="I839" s="116" t="str">
        <f>IF(D839&lt;&gt;"",VLOOKUP(ROW(E838),Beräkningshjälp!AC$2:AI$1082,COLUMN(Beräkningshjälp!AI$2)-COLUMN(Beräkningshjälp!AC$2)+1,FALSE),"")</f>
        <v/>
      </c>
    </row>
    <row r="840" spans="1:9" x14ac:dyDescent="0.25">
      <c r="A840" s="2" t="str">
        <f t="shared" si="26"/>
        <v/>
      </c>
      <c r="B840" s="136" t="str">
        <f>IF(D840&lt;&gt;"",'DATA TILL SLU'!$J$3,"")</f>
        <v/>
      </c>
      <c r="C840" s="146" t="str">
        <f>IF(D840&lt;&gt;"",'DATA TILL SLU'!$K$3,"")</f>
        <v/>
      </c>
      <c r="D840" s="2" t="str">
        <f>IF('DATA TILL SLU'!$D$7*1&lt;&gt;"",IF(COUNT(Beräkningshjälp!$AC$3:$AC$1082)&gt;=ROW(D839),'DATA TILL SLU'!$D$7*1,""),"")</f>
        <v/>
      </c>
      <c r="E840" s="136" t="str">
        <f>IF(D840&lt;&gt;"",VLOOKUP(ROW(E839),Beräkningshjälp!AC$2:AH$1082,COLUMN(Beräkningshjälp!AF$2)-COLUMN(Beräkningshjälp!AC$2)+1,FALSE),"")</f>
        <v/>
      </c>
      <c r="F840" s="352" t="str">
        <f t="shared" si="27"/>
        <v/>
      </c>
      <c r="G840" s="2" t="str">
        <f>IF(D840&lt;&gt;"",IF(VLOOKUP(VLOOKUP(E840,Beräkningshjälp!O$2:U$60,7,FALSE),Artuppgifter!$I$11:$P$22,8,FALSE)=TRUE,"Medelvikter!!","ALLA"),"")</f>
        <v/>
      </c>
      <c r="H840" s="2" t="str">
        <f>IF(D840&lt;&gt;"",VLOOKUP(ROW(H839),Beräkningshjälp!AC$2:AH$1082,COLUMN(Beräkningshjälp!AH$2)-COLUMN(Beräkningshjälp!AC$2)+1,FALSE),"")</f>
        <v/>
      </c>
      <c r="I840" s="116" t="str">
        <f>IF(D840&lt;&gt;"",VLOOKUP(ROW(E839),Beräkningshjälp!AC$2:AI$1082,COLUMN(Beräkningshjälp!AI$2)-COLUMN(Beräkningshjälp!AC$2)+1,FALSE),"")</f>
        <v/>
      </c>
    </row>
    <row r="841" spans="1:9" x14ac:dyDescent="0.25">
      <c r="A841" s="2" t="str">
        <f t="shared" si="26"/>
        <v/>
      </c>
      <c r="B841" s="136" t="str">
        <f>IF(D841&lt;&gt;"",'DATA TILL SLU'!$J$3,"")</f>
        <v/>
      </c>
      <c r="C841" s="146" t="str">
        <f>IF(D841&lt;&gt;"",'DATA TILL SLU'!$K$3,"")</f>
        <v/>
      </c>
      <c r="D841" s="2" t="str">
        <f>IF('DATA TILL SLU'!$D$7*1&lt;&gt;"",IF(COUNT(Beräkningshjälp!$AC$3:$AC$1082)&gt;=ROW(D840),'DATA TILL SLU'!$D$7*1,""),"")</f>
        <v/>
      </c>
      <c r="E841" s="136" t="str">
        <f>IF(D841&lt;&gt;"",VLOOKUP(ROW(E840),Beräkningshjälp!AC$2:AH$1082,COLUMN(Beräkningshjälp!AF$2)-COLUMN(Beräkningshjälp!AC$2)+1,FALSE),"")</f>
        <v/>
      </c>
      <c r="F841" s="352" t="str">
        <f t="shared" si="27"/>
        <v/>
      </c>
      <c r="G841" s="2" t="str">
        <f>IF(D841&lt;&gt;"",IF(VLOOKUP(VLOOKUP(E841,Beräkningshjälp!O$2:U$60,7,FALSE),Artuppgifter!$I$11:$P$22,8,FALSE)=TRUE,"Medelvikter!!","ALLA"),"")</f>
        <v/>
      </c>
      <c r="H841" s="2" t="str">
        <f>IF(D841&lt;&gt;"",VLOOKUP(ROW(H840),Beräkningshjälp!AC$2:AH$1082,COLUMN(Beräkningshjälp!AH$2)-COLUMN(Beräkningshjälp!AC$2)+1,FALSE),"")</f>
        <v/>
      </c>
      <c r="I841" s="116" t="str">
        <f>IF(D841&lt;&gt;"",VLOOKUP(ROW(E840),Beräkningshjälp!AC$2:AI$1082,COLUMN(Beräkningshjälp!AI$2)-COLUMN(Beräkningshjälp!AC$2)+1,FALSE),"")</f>
        <v/>
      </c>
    </row>
    <row r="842" spans="1:9" x14ac:dyDescent="0.25">
      <c r="A842" s="2" t="str">
        <f t="shared" si="26"/>
        <v/>
      </c>
      <c r="B842" s="136" t="str">
        <f>IF(D842&lt;&gt;"",'DATA TILL SLU'!$J$3,"")</f>
        <v/>
      </c>
      <c r="C842" s="146" t="str">
        <f>IF(D842&lt;&gt;"",'DATA TILL SLU'!$K$3,"")</f>
        <v/>
      </c>
      <c r="D842" s="2" t="str">
        <f>IF('DATA TILL SLU'!$D$7*1&lt;&gt;"",IF(COUNT(Beräkningshjälp!$AC$3:$AC$1082)&gt;=ROW(D841),'DATA TILL SLU'!$D$7*1,""),"")</f>
        <v/>
      </c>
      <c r="E842" s="136" t="str">
        <f>IF(D842&lt;&gt;"",VLOOKUP(ROW(E841),Beräkningshjälp!AC$2:AH$1082,COLUMN(Beräkningshjälp!AF$2)-COLUMN(Beräkningshjälp!AC$2)+1,FALSE),"")</f>
        <v/>
      </c>
      <c r="F842" s="352" t="str">
        <f t="shared" si="27"/>
        <v/>
      </c>
      <c r="G842" s="2" t="str">
        <f>IF(D842&lt;&gt;"",IF(VLOOKUP(VLOOKUP(E842,Beräkningshjälp!O$2:U$60,7,FALSE),Artuppgifter!$I$11:$P$22,8,FALSE)=TRUE,"Medelvikter!!","ALLA"),"")</f>
        <v/>
      </c>
      <c r="H842" s="2" t="str">
        <f>IF(D842&lt;&gt;"",VLOOKUP(ROW(H841),Beräkningshjälp!AC$2:AH$1082,COLUMN(Beräkningshjälp!AH$2)-COLUMN(Beräkningshjälp!AC$2)+1,FALSE),"")</f>
        <v/>
      </c>
      <c r="I842" s="116" t="str">
        <f>IF(D842&lt;&gt;"",VLOOKUP(ROW(E841),Beräkningshjälp!AC$2:AI$1082,COLUMN(Beräkningshjälp!AI$2)-COLUMN(Beräkningshjälp!AC$2)+1,FALSE),"")</f>
        <v/>
      </c>
    </row>
    <row r="843" spans="1:9" x14ac:dyDescent="0.25">
      <c r="A843" s="2" t="str">
        <f t="shared" si="26"/>
        <v/>
      </c>
      <c r="B843" s="136" t="str">
        <f>IF(D843&lt;&gt;"",'DATA TILL SLU'!$J$3,"")</f>
        <v/>
      </c>
      <c r="C843" s="146" t="str">
        <f>IF(D843&lt;&gt;"",'DATA TILL SLU'!$K$3,"")</f>
        <v/>
      </c>
      <c r="D843" s="2" t="str">
        <f>IF('DATA TILL SLU'!$D$7*1&lt;&gt;"",IF(COUNT(Beräkningshjälp!$AC$3:$AC$1082)&gt;=ROW(D842),'DATA TILL SLU'!$D$7*1,""),"")</f>
        <v/>
      </c>
      <c r="E843" s="136" t="str">
        <f>IF(D843&lt;&gt;"",VLOOKUP(ROW(E842),Beräkningshjälp!AC$2:AH$1082,COLUMN(Beräkningshjälp!AF$2)-COLUMN(Beräkningshjälp!AC$2)+1,FALSE),"")</f>
        <v/>
      </c>
      <c r="F843" s="352" t="str">
        <f t="shared" si="27"/>
        <v/>
      </c>
      <c r="G843" s="2" t="str">
        <f>IF(D843&lt;&gt;"",IF(VLOOKUP(VLOOKUP(E843,Beräkningshjälp!O$2:U$60,7,FALSE),Artuppgifter!$I$11:$P$22,8,FALSE)=TRUE,"Medelvikter!!","ALLA"),"")</f>
        <v/>
      </c>
      <c r="H843" s="2" t="str">
        <f>IF(D843&lt;&gt;"",VLOOKUP(ROW(H842),Beräkningshjälp!AC$2:AH$1082,COLUMN(Beräkningshjälp!AH$2)-COLUMN(Beräkningshjälp!AC$2)+1,FALSE),"")</f>
        <v/>
      </c>
      <c r="I843" s="116" t="str">
        <f>IF(D843&lt;&gt;"",VLOOKUP(ROW(E842),Beräkningshjälp!AC$2:AI$1082,COLUMN(Beräkningshjälp!AI$2)-COLUMN(Beräkningshjälp!AC$2)+1,FALSE),"")</f>
        <v/>
      </c>
    </row>
    <row r="844" spans="1:9" x14ac:dyDescent="0.25">
      <c r="A844" s="2" t="str">
        <f t="shared" si="26"/>
        <v/>
      </c>
      <c r="B844" s="136" t="str">
        <f>IF(D844&lt;&gt;"",'DATA TILL SLU'!$J$3,"")</f>
        <v/>
      </c>
      <c r="C844" s="146" t="str">
        <f>IF(D844&lt;&gt;"",'DATA TILL SLU'!$K$3,"")</f>
        <v/>
      </c>
      <c r="D844" s="2" t="str">
        <f>IF('DATA TILL SLU'!$D$7*1&lt;&gt;"",IF(COUNT(Beräkningshjälp!$AC$3:$AC$1082)&gt;=ROW(D843),'DATA TILL SLU'!$D$7*1,""),"")</f>
        <v/>
      </c>
      <c r="E844" s="136" t="str">
        <f>IF(D844&lt;&gt;"",VLOOKUP(ROW(E843),Beräkningshjälp!AC$2:AH$1082,COLUMN(Beräkningshjälp!AF$2)-COLUMN(Beräkningshjälp!AC$2)+1,FALSE),"")</f>
        <v/>
      </c>
      <c r="F844" s="352" t="str">
        <f t="shared" si="27"/>
        <v/>
      </c>
      <c r="G844" s="2" t="str">
        <f>IF(D844&lt;&gt;"",IF(VLOOKUP(VLOOKUP(E844,Beräkningshjälp!O$2:U$60,7,FALSE),Artuppgifter!$I$11:$P$22,8,FALSE)=TRUE,"Medelvikter!!","ALLA"),"")</f>
        <v/>
      </c>
      <c r="H844" s="2" t="str">
        <f>IF(D844&lt;&gt;"",VLOOKUP(ROW(H843),Beräkningshjälp!AC$2:AH$1082,COLUMN(Beräkningshjälp!AH$2)-COLUMN(Beräkningshjälp!AC$2)+1,FALSE),"")</f>
        <v/>
      </c>
      <c r="I844" s="116" t="str">
        <f>IF(D844&lt;&gt;"",VLOOKUP(ROW(E843),Beräkningshjälp!AC$2:AI$1082,COLUMN(Beräkningshjälp!AI$2)-COLUMN(Beräkningshjälp!AC$2)+1,FALSE),"")</f>
        <v/>
      </c>
    </row>
    <row r="845" spans="1:9" x14ac:dyDescent="0.25">
      <c r="A845" s="2" t="str">
        <f t="shared" si="26"/>
        <v/>
      </c>
      <c r="B845" s="136" t="str">
        <f>IF(D845&lt;&gt;"",'DATA TILL SLU'!$J$3,"")</f>
        <v/>
      </c>
      <c r="C845" s="146" t="str">
        <f>IF(D845&lt;&gt;"",'DATA TILL SLU'!$K$3,"")</f>
        <v/>
      </c>
      <c r="D845" s="2" t="str">
        <f>IF('DATA TILL SLU'!$D$7*1&lt;&gt;"",IF(COUNT(Beräkningshjälp!$AC$3:$AC$1082)&gt;=ROW(D844),'DATA TILL SLU'!$D$7*1,""),"")</f>
        <v/>
      </c>
      <c r="E845" s="136" t="str">
        <f>IF(D845&lt;&gt;"",VLOOKUP(ROW(E844),Beräkningshjälp!AC$2:AH$1082,COLUMN(Beräkningshjälp!AF$2)-COLUMN(Beräkningshjälp!AC$2)+1,FALSE),"")</f>
        <v/>
      </c>
      <c r="F845" s="352" t="str">
        <f t="shared" si="27"/>
        <v/>
      </c>
      <c r="G845" s="2" t="str">
        <f>IF(D845&lt;&gt;"",IF(VLOOKUP(VLOOKUP(E845,Beräkningshjälp!O$2:U$60,7,FALSE),Artuppgifter!$I$11:$P$22,8,FALSE)=TRUE,"Medelvikter!!","ALLA"),"")</f>
        <v/>
      </c>
      <c r="H845" s="2" t="str">
        <f>IF(D845&lt;&gt;"",VLOOKUP(ROW(H844),Beräkningshjälp!AC$2:AH$1082,COLUMN(Beräkningshjälp!AH$2)-COLUMN(Beräkningshjälp!AC$2)+1,FALSE),"")</f>
        <v/>
      </c>
      <c r="I845" s="116" t="str">
        <f>IF(D845&lt;&gt;"",VLOOKUP(ROW(E844),Beräkningshjälp!AC$2:AI$1082,COLUMN(Beräkningshjälp!AI$2)-COLUMN(Beräkningshjälp!AC$2)+1,FALSE),"")</f>
        <v/>
      </c>
    </row>
    <row r="846" spans="1:9" x14ac:dyDescent="0.25">
      <c r="A846" s="2" t="str">
        <f t="shared" si="26"/>
        <v/>
      </c>
      <c r="B846" s="136" t="str">
        <f>IF(D846&lt;&gt;"",'DATA TILL SLU'!$J$3,"")</f>
        <v/>
      </c>
      <c r="C846" s="146" t="str">
        <f>IF(D846&lt;&gt;"",'DATA TILL SLU'!$K$3,"")</f>
        <v/>
      </c>
      <c r="D846" s="2" t="str">
        <f>IF('DATA TILL SLU'!$D$7*1&lt;&gt;"",IF(COUNT(Beräkningshjälp!$AC$3:$AC$1082)&gt;=ROW(D845),'DATA TILL SLU'!$D$7*1,""),"")</f>
        <v/>
      </c>
      <c r="E846" s="136" t="str">
        <f>IF(D846&lt;&gt;"",VLOOKUP(ROW(E845),Beräkningshjälp!AC$2:AH$1082,COLUMN(Beräkningshjälp!AF$2)-COLUMN(Beräkningshjälp!AC$2)+1,FALSE),"")</f>
        <v/>
      </c>
      <c r="F846" s="352" t="str">
        <f t="shared" si="27"/>
        <v/>
      </c>
      <c r="G846" s="2" t="str">
        <f>IF(D846&lt;&gt;"",IF(VLOOKUP(VLOOKUP(E846,Beräkningshjälp!O$2:U$60,7,FALSE),Artuppgifter!$I$11:$P$22,8,FALSE)=TRUE,"Medelvikter!!","ALLA"),"")</f>
        <v/>
      </c>
      <c r="H846" s="2" t="str">
        <f>IF(D846&lt;&gt;"",VLOOKUP(ROW(H845),Beräkningshjälp!AC$2:AH$1082,COLUMN(Beräkningshjälp!AH$2)-COLUMN(Beräkningshjälp!AC$2)+1,FALSE),"")</f>
        <v/>
      </c>
      <c r="I846" s="116" t="str">
        <f>IF(D846&lt;&gt;"",VLOOKUP(ROW(E845),Beräkningshjälp!AC$2:AI$1082,COLUMN(Beräkningshjälp!AI$2)-COLUMN(Beräkningshjälp!AC$2)+1,FALSE),"")</f>
        <v/>
      </c>
    </row>
    <row r="847" spans="1:9" x14ac:dyDescent="0.25">
      <c r="A847" s="2" t="str">
        <f t="shared" si="26"/>
        <v/>
      </c>
      <c r="B847" s="136" t="str">
        <f>IF(D847&lt;&gt;"",'DATA TILL SLU'!$J$3,"")</f>
        <v/>
      </c>
      <c r="C847" s="146" t="str">
        <f>IF(D847&lt;&gt;"",'DATA TILL SLU'!$K$3,"")</f>
        <v/>
      </c>
      <c r="D847" s="2" t="str">
        <f>IF('DATA TILL SLU'!$D$7*1&lt;&gt;"",IF(COUNT(Beräkningshjälp!$AC$3:$AC$1082)&gt;=ROW(D846),'DATA TILL SLU'!$D$7*1,""),"")</f>
        <v/>
      </c>
      <c r="E847" s="136" t="str">
        <f>IF(D847&lt;&gt;"",VLOOKUP(ROW(E846),Beräkningshjälp!AC$2:AH$1082,COLUMN(Beräkningshjälp!AF$2)-COLUMN(Beräkningshjälp!AC$2)+1,FALSE),"")</f>
        <v/>
      </c>
      <c r="F847" s="352" t="str">
        <f t="shared" si="27"/>
        <v/>
      </c>
      <c r="G847" s="2" t="str">
        <f>IF(D847&lt;&gt;"",IF(VLOOKUP(VLOOKUP(E847,Beräkningshjälp!O$2:U$60,7,FALSE),Artuppgifter!$I$11:$P$22,8,FALSE)=TRUE,"Medelvikter!!","ALLA"),"")</f>
        <v/>
      </c>
      <c r="H847" s="2" t="str">
        <f>IF(D847&lt;&gt;"",VLOOKUP(ROW(H846),Beräkningshjälp!AC$2:AH$1082,COLUMN(Beräkningshjälp!AH$2)-COLUMN(Beräkningshjälp!AC$2)+1,FALSE),"")</f>
        <v/>
      </c>
      <c r="I847" s="116" t="str">
        <f>IF(D847&lt;&gt;"",VLOOKUP(ROW(E846),Beräkningshjälp!AC$2:AI$1082,COLUMN(Beräkningshjälp!AI$2)-COLUMN(Beräkningshjälp!AC$2)+1,FALSE),"")</f>
        <v/>
      </c>
    </row>
    <row r="848" spans="1:9" x14ac:dyDescent="0.25">
      <c r="A848" s="2" t="str">
        <f t="shared" si="26"/>
        <v/>
      </c>
      <c r="B848" s="136" t="str">
        <f>IF(D848&lt;&gt;"",'DATA TILL SLU'!$J$3,"")</f>
        <v/>
      </c>
      <c r="C848" s="146" t="str">
        <f>IF(D848&lt;&gt;"",'DATA TILL SLU'!$K$3,"")</f>
        <v/>
      </c>
      <c r="D848" s="2" t="str">
        <f>IF('DATA TILL SLU'!$D$7*1&lt;&gt;"",IF(COUNT(Beräkningshjälp!$AC$3:$AC$1082)&gt;=ROW(D847),'DATA TILL SLU'!$D$7*1,""),"")</f>
        <v/>
      </c>
      <c r="E848" s="136" t="str">
        <f>IF(D848&lt;&gt;"",VLOOKUP(ROW(E847),Beräkningshjälp!AC$2:AH$1082,COLUMN(Beräkningshjälp!AF$2)-COLUMN(Beräkningshjälp!AC$2)+1,FALSE),"")</f>
        <v/>
      </c>
      <c r="F848" s="352" t="str">
        <f t="shared" si="27"/>
        <v/>
      </c>
      <c r="G848" s="2" t="str">
        <f>IF(D848&lt;&gt;"",IF(VLOOKUP(VLOOKUP(E848,Beräkningshjälp!O$2:U$60,7,FALSE),Artuppgifter!$I$11:$P$22,8,FALSE)=TRUE,"Medelvikter!!","ALLA"),"")</f>
        <v/>
      </c>
      <c r="H848" s="2" t="str">
        <f>IF(D848&lt;&gt;"",VLOOKUP(ROW(H847),Beräkningshjälp!AC$2:AH$1082,COLUMN(Beräkningshjälp!AH$2)-COLUMN(Beräkningshjälp!AC$2)+1,FALSE),"")</f>
        <v/>
      </c>
      <c r="I848" s="116" t="str">
        <f>IF(D848&lt;&gt;"",VLOOKUP(ROW(E847),Beräkningshjälp!AC$2:AI$1082,COLUMN(Beräkningshjälp!AI$2)-COLUMN(Beräkningshjälp!AC$2)+1,FALSE),"")</f>
        <v/>
      </c>
    </row>
    <row r="849" spans="1:9" x14ac:dyDescent="0.25">
      <c r="A849" s="2" t="str">
        <f t="shared" si="26"/>
        <v/>
      </c>
      <c r="B849" s="136" t="str">
        <f>IF(D849&lt;&gt;"",'DATA TILL SLU'!$J$3,"")</f>
        <v/>
      </c>
      <c r="C849" s="146" t="str">
        <f>IF(D849&lt;&gt;"",'DATA TILL SLU'!$K$3,"")</f>
        <v/>
      </c>
      <c r="D849" s="2" t="str">
        <f>IF('DATA TILL SLU'!$D$7*1&lt;&gt;"",IF(COUNT(Beräkningshjälp!$AC$3:$AC$1082)&gt;=ROW(D848),'DATA TILL SLU'!$D$7*1,""),"")</f>
        <v/>
      </c>
      <c r="E849" s="136" t="str">
        <f>IF(D849&lt;&gt;"",VLOOKUP(ROW(E848),Beräkningshjälp!AC$2:AH$1082,COLUMN(Beräkningshjälp!AF$2)-COLUMN(Beräkningshjälp!AC$2)+1,FALSE),"")</f>
        <v/>
      </c>
      <c r="F849" s="352" t="str">
        <f t="shared" si="27"/>
        <v/>
      </c>
      <c r="G849" s="2" t="str">
        <f>IF(D849&lt;&gt;"",IF(VLOOKUP(VLOOKUP(E849,Beräkningshjälp!O$2:U$60,7,FALSE),Artuppgifter!$I$11:$P$22,8,FALSE)=TRUE,"Medelvikter!!","ALLA"),"")</f>
        <v/>
      </c>
      <c r="H849" s="2" t="str">
        <f>IF(D849&lt;&gt;"",VLOOKUP(ROW(H848),Beräkningshjälp!AC$2:AH$1082,COLUMN(Beräkningshjälp!AH$2)-COLUMN(Beräkningshjälp!AC$2)+1,FALSE),"")</f>
        <v/>
      </c>
      <c r="I849" s="116" t="str">
        <f>IF(D849&lt;&gt;"",VLOOKUP(ROW(E848),Beräkningshjälp!AC$2:AI$1082,COLUMN(Beräkningshjälp!AI$2)-COLUMN(Beräkningshjälp!AC$2)+1,FALSE),"")</f>
        <v/>
      </c>
    </row>
    <row r="850" spans="1:9" x14ac:dyDescent="0.25">
      <c r="A850" s="2" t="str">
        <f t="shared" si="26"/>
        <v/>
      </c>
      <c r="B850" s="136" t="str">
        <f>IF(D850&lt;&gt;"",'DATA TILL SLU'!$J$3,"")</f>
        <v/>
      </c>
      <c r="C850" s="146" t="str">
        <f>IF(D850&lt;&gt;"",'DATA TILL SLU'!$K$3,"")</f>
        <v/>
      </c>
      <c r="D850" s="2" t="str">
        <f>IF('DATA TILL SLU'!$D$7*1&lt;&gt;"",IF(COUNT(Beräkningshjälp!$AC$3:$AC$1082)&gt;=ROW(D849),'DATA TILL SLU'!$D$7*1,""),"")</f>
        <v/>
      </c>
      <c r="E850" s="136" t="str">
        <f>IF(D850&lt;&gt;"",VLOOKUP(ROW(E849),Beräkningshjälp!AC$2:AH$1082,COLUMN(Beräkningshjälp!AF$2)-COLUMN(Beräkningshjälp!AC$2)+1,FALSE),"")</f>
        <v/>
      </c>
      <c r="F850" s="352" t="str">
        <f t="shared" si="27"/>
        <v/>
      </c>
      <c r="G850" s="2" t="str">
        <f>IF(D850&lt;&gt;"",IF(VLOOKUP(VLOOKUP(E850,Beräkningshjälp!O$2:U$60,7,FALSE),Artuppgifter!$I$11:$P$22,8,FALSE)=TRUE,"Medelvikter!!","ALLA"),"")</f>
        <v/>
      </c>
      <c r="H850" s="2" t="str">
        <f>IF(D850&lt;&gt;"",VLOOKUP(ROW(H849),Beräkningshjälp!AC$2:AH$1082,COLUMN(Beräkningshjälp!AH$2)-COLUMN(Beräkningshjälp!AC$2)+1,FALSE),"")</f>
        <v/>
      </c>
      <c r="I850" s="116" t="str">
        <f>IF(D850&lt;&gt;"",VLOOKUP(ROW(E849),Beräkningshjälp!AC$2:AI$1082,COLUMN(Beräkningshjälp!AI$2)-COLUMN(Beräkningshjälp!AC$2)+1,FALSE),"")</f>
        <v/>
      </c>
    </row>
    <row r="851" spans="1:9" x14ac:dyDescent="0.25">
      <c r="A851" s="2" t="str">
        <f t="shared" si="26"/>
        <v/>
      </c>
      <c r="B851" s="136" t="str">
        <f>IF(D851&lt;&gt;"",'DATA TILL SLU'!$J$3,"")</f>
        <v/>
      </c>
      <c r="C851" s="146" t="str">
        <f>IF(D851&lt;&gt;"",'DATA TILL SLU'!$K$3,"")</f>
        <v/>
      </c>
      <c r="D851" s="2" t="str">
        <f>IF('DATA TILL SLU'!$D$7*1&lt;&gt;"",IF(COUNT(Beräkningshjälp!$AC$3:$AC$1082)&gt;=ROW(D850),'DATA TILL SLU'!$D$7*1,""),"")</f>
        <v/>
      </c>
      <c r="E851" s="136" t="str">
        <f>IF(D851&lt;&gt;"",VLOOKUP(ROW(E850),Beräkningshjälp!AC$2:AH$1082,COLUMN(Beräkningshjälp!AF$2)-COLUMN(Beräkningshjälp!AC$2)+1,FALSE),"")</f>
        <v/>
      </c>
      <c r="F851" s="352" t="str">
        <f t="shared" si="27"/>
        <v/>
      </c>
      <c r="G851" s="2" t="str">
        <f>IF(D851&lt;&gt;"",IF(VLOOKUP(VLOOKUP(E851,Beräkningshjälp!O$2:U$60,7,FALSE),Artuppgifter!$I$11:$P$22,8,FALSE)=TRUE,"Medelvikter!!","ALLA"),"")</f>
        <v/>
      </c>
      <c r="H851" s="2" t="str">
        <f>IF(D851&lt;&gt;"",VLOOKUP(ROW(H850),Beräkningshjälp!AC$2:AH$1082,COLUMN(Beräkningshjälp!AH$2)-COLUMN(Beräkningshjälp!AC$2)+1,FALSE),"")</f>
        <v/>
      </c>
      <c r="I851" s="116" t="str">
        <f>IF(D851&lt;&gt;"",VLOOKUP(ROW(E850),Beräkningshjälp!AC$2:AI$1082,COLUMN(Beräkningshjälp!AI$2)-COLUMN(Beräkningshjälp!AC$2)+1,FALSE),"")</f>
        <v/>
      </c>
    </row>
    <row r="852" spans="1:9" x14ac:dyDescent="0.25">
      <c r="A852" s="2" t="str">
        <f t="shared" si="26"/>
        <v/>
      </c>
      <c r="B852" s="136" t="str">
        <f>IF(D852&lt;&gt;"",'DATA TILL SLU'!$J$3,"")</f>
        <v/>
      </c>
      <c r="C852" s="146" t="str">
        <f>IF(D852&lt;&gt;"",'DATA TILL SLU'!$K$3,"")</f>
        <v/>
      </c>
      <c r="D852" s="2" t="str">
        <f>IF('DATA TILL SLU'!$D$7*1&lt;&gt;"",IF(COUNT(Beräkningshjälp!$AC$3:$AC$1082)&gt;=ROW(D851),'DATA TILL SLU'!$D$7*1,""),"")</f>
        <v/>
      </c>
      <c r="E852" s="136" t="str">
        <f>IF(D852&lt;&gt;"",VLOOKUP(ROW(E851),Beräkningshjälp!AC$2:AH$1082,COLUMN(Beräkningshjälp!AF$2)-COLUMN(Beräkningshjälp!AC$2)+1,FALSE),"")</f>
        <v/>
      </c>
      <c r="F852" s="352" t="str">
        <f t="shared" si="27"/>
        <v/>
      </c>
      <c r="G852" s="2" t="str">
        <f>IF(D852&lt;&gt;"",IF(VLOOKUP(VLOOKUP(E852,Beräkningshjälp!O$2:U$60,7,FALSE),Artuppgifter!$I$11:$P$22,8,FALSE)=TRUE,"Medelvikter!!","ALLA"),"")</f>
        <v/>
      </c>
      <c r="H852" s="2" t="str">
        <f>IF(D852&lt;&gt;"",VLOOKUP(ROW(H851),Beräkningshjälp!AC$2:AH$1082,COLUMN(Beräkningshjälp!AH$2)-COLUMN(Beräkningshjälp!AC$2)+1,FALSE),"")</f>
        <v/>
      </c>
      <c r="I852" s="116" t="str">
        <f>IF(D852&lt;&gt;"",VLOOKUP(ROW(E851),Beräkningshjälp!AC$2:AI$1082,COLUMN(Beräkningshjälp!AI$2)-COLUMN(Beräkningshjälp!AC$2)+1,FALSE),"")</f>
        <v/>
      </c>
    </row>
    <row r="853" spans="1:9" x14ac:dyDescent="0.25">
      <c r="A853" s="2" t="str">
        <f t="shared" si="26"/>
        <v/>
      </c>
      <c r="B853" s="136" t="str">
        <f>IF(D853&lt;&gt;"",'DATA TILL SLU'!$J$3,"")</f>
        <v/>
      </c>
      <c r="C853" s="146" t="str">
        <f>IF(D853&lt;&gt;"",'DATA TILL SLU'!$K$3,"")</f>
        <v/>
      </c>
      <c r="D853" s="2" t="str">
        <f>IF('DATA TILL SLU'!$D$7*1&lt;&gt;"",IF(COUNT(Beräkningshjälp!$AC$3:$AC$1082)&gt;=ROW(D852),'DATA TILL SLU'!$D$7*1,""),"")</f>
        <v/>
      </c>
      <c r="E853" s="136" t="str">
        <f>IF(D853&lt;&gt;"",VLOOKUP(ROW(E852),Beräkningshjälp!AC$2:AH$1082,COLUMN(Beräkningshjälp!AF$2)-COLUMN(Beräkningshjälp!AC$2)+1,FALSE),"")</f>
        <v/>
      </c>
      <c r="F853" s="352" t="str">
        <f t="shared" si="27"/>
        <v/>
      </c>
      <c r="G853" s="2" t="str">
        <f>IF(D853&lt;&gt;"",IF(VLOOKUP(VLOOKUP(E853,Beräkningshjälp!O$2:U$60,7,FALSE),Artuppgifter!$I$11:$P$22,8,FALSE)=TRUE,"Medelvikter!!","ALLA"),"")</f>
        <v/>
      </c>
      <c r="H853" s="2" t="str">
        <f>IF(D853&lt;&gt;"",VLOOKUP(ROW(H852),Beräkningshjälp!AC$2:AH$1082,COLUMN(Beräkningshjälp!AH$2)-COLUMN(Beräkningshjälp!AC$2)+1,FALSE),"")</f>
        <v/>
      </c>
      <c r="I853" s="116" t="str">
        <f>IF(D853&lt;&gt;"",VLOOKUP(ROW(E852),Beräkningshjälp!AC$2:AI$1082,COLUMN(Beräkningshjälp!AI$2)-COLUMN(Beräkningshjälp!AC$2)+1,FALSE),"")</f>
        <v/>
      </c>
    </row>
    <row r="854" spans="1:9" x14ac:dyDescent="0.25">
      <c r="A854" s="2" t="str">
        <f t="shared" si="26"/>
        <v/>
      </c>
      <c r="B854" s="136" t="str">
        <f>IF(D854&lt;&gt;"",'DATA TILL SLU'!$J$3,"")</f>
        <v/>
      </c>
      <c r="C854" s="146" t="str">
        <f>IF(D854&lt;&gt;"",'DATA TILL SLU'!$K$3,"")</f>
        <v/>
      </c>
      <c r="D854" s="2" t="str">
        <f>IF('DATA TILL SLU'!$D$7*1&lt;&gt;"",IF(COUNT(Beräkningshjälp!$AC$3:$AC$1082)&gt;=ROW(D853),'DATA TILL SLU'!$D$7*1,""),"")</f>
        <v/>
      </c>
      <c r="E854" s="136" t="str">
        <f>IF(D854&lt;&gt;"",VLOOKUP(ROW(E853),Beräkningshjälp!AC$2:AH$1082,COLUMN(Beräkningshjälp!AF$2)-COLUMN(Beräkningshjälp!AC$2)+1,FALSE),"")</f>
        <v/>
      </c>
      <c r="F854" s="352" t="str">
        <f t="shared" si="27"/>
        <v/>
      </c>
      <c r="G854" s="2" t="str">
        <f>IF(D854&lt;&gt;"",IF(VLOOKUP(VLOOKUP(E854,Beräkningshjälp!O$2:U$60,7,FALSE),Artuppgifter!$I$11:$P$22,8,FALSE)=TRUE,"Medelvikter!!","ALLA"),"")</f>
        <v/>
      </c>
      <c r="H854" s="2" t="str">
        <f>IF(D854&lt;&gt;"",VLOOKUP(ROW(H853),Beräkningshjälp!AC$2:AH$1082,COLUMN(Beräkningshjälp!AH$2)-COLUMN(Beräkningshjälp!AC$2)+1,FALSE),"")</f>
        <v/>
      </c>
      <c r="I854" s="116" t="str">
        <f>IF(D854&lt;&gt;"",VLOOKUP(ROW(E853),Beräkningshjälp!AC$2:AI$1082,COLUMN(Beräkningshjälp!AI$2)-COLUMN(Beräkningshjälp!AC$2)+1,FALSE),"")</f>
        <v/>
      </c>
    </row>
    <row r="855" spans="1:9" x14ac:dyDescent="0.25">
      <c r="A855" s="2" t="str">
        <f t="shared" si="26"/>
        <v/>
      </c>
      <c r="B855" s="136" t="str">
        <f>IF(D855&lt;&gt;"",'DATA TILL SLU'!$J$3,"")</f>
        <v/>
      </c>
      <c r="C855" s="146" t="str">
        <f>IF(D855&lt;&gt;"",'DATA TILL SLU'!$K$3,"")</f>
        <v/>
      </c>
      <c r="D855" s="2" t="str">
        <f>IF('DATA TILL SLU'!$D$7*1&lt;&gt;"",IF(COUNT(Beräkningshjälp!$AC$3:$AC$1082)&gt;=ROW(D854),'DATA TILL SLU'!$D$7*1,""),"")</f>
        <v/>
      </c>
      <c r="E855" s="136" t="str">
        <f>IF(D855&lt;&gt;"",VLOOKUP(ROW(E854),Beräkningshjälp!AC$2:AH$1082,COLUMN(Beräkningshjälp!AF$2)-COLUMN(Beräkningshjälp!AC$2)+1,FALSE),"")</f>
        <v/>
      </c>
      <c r="F855" s="352" t="str">
        <f t="shared" si="27"/>
        <v/>
      </c>
      <c r="G855" s="2" t="str">
        <f>IF(D855&lt;&gt;"",IF(VLOOKUP(VLOOKUP(E855,Beräkningshjälp!O$2:U$60,7,FALSE),Artuppgifter!$I$11:$P$22,8,FALSE)=TRUE,"Medelvikter!!","ALLA"),"")</f>
        <v/>
      </c>
      <c r="H855" s="2" t="str">
        <f>IF(D855&lt;&gt;"",VLOOKUP(ROW(H854),Beräkningshjälp!AC$2:AH$1082,COLUMN(Beräkningshjälp!AH$2)-COLUMN(Beräkningshjälp!AC$2)+1,FALSE),"")</f>
        <v/>
      </c>
      <c r="I855" s="116" t="str">
        <f>IF(D855&lt;&gt;"",VLOOKUP(ROW(E854),Beräkningshjälp!AC$2:AI$1082,COLUMN(Beräkningshjälp!AI$2)-COLUMN(Beräkningshjälp!AC$2)+1,FALSE),"")</f>
        <v/>
      </c>
    </row>
    <row r="856" spans="1:9" x14ac:dyDescent="0.25">
      <c r="A856" s="2" t="str">
        <f t="shared" si="26"/>
        <v/>
      </c>
      <c r="B856" s="136" t="str">
        <f>IF(D856&lt;&gt;"",'DATA TILL SLU'!$J$3,"")</f>
        <v/>
      </c>
      <c r="C856" s="146" t="str">
        <f>IF(D856&lt;&gt;"",'DATA TILL SLU'!$K$3,"")</f>
        <v/>
      </c>
      <c r="D856" s="2" t="str">
        <f>IF('DATA TILL SLU'!$D$7*1&lt;&gt;"",IF(COUNT(Beräkningshjälp!$AC$3:$AC$1082)&gt;=ROW(D855),'DATA TILL SLU'!$D$7*1,""),"")</f>
        <v/>
      </c>
      <c r="E856" s="136" t="str">
        <f>IF(D856&lt;&gt;"",VLOOKUP(ROW(E855),Beräkningshjälp!AC$2:AH$1082,COLUMN(Beräkningshjälp!AF$2)-COLUMN(Beräkningshjälp!AC$2)+1,FALSE),"")</f>
        <v/>
      </c>
      <c r="F856" s="352" t="str">
        <f t="shared" si="27"/>
        <v/>
      </c>
      <c r="G856" s="2" t="str">
        <f>IF(D856&lt;&gt;"",IF(VLOOKUP(VLOOKUP(E856,Beräkningshjälp!O$2:U$60,7,FALSE),Artuppgifter!$I$11:$P$22,8,FALSE)=TRUE,"Medelvikter!!","ALLA"),"")</f>
        <v/>
      </c>
      <c r="H856" s="2" t="str">
        <f>IF(D856&lt;&gt;"",VLOOKUP(ROW(H855),Beräkningshjälp!AC$2:AH$1082,COLUMN(Beräkningshjälp!AH$2)-COLUMN(Beräkningshjälp!AC$2)+1,FALSE),"")</f>
        <v/>
      </c>
      <c r="I856" s="116" t="str">
        <f>IF(D856&lt;&gt;"",VLOOKUP(ROW(E855),Beräkningshjälp!AC$2:AI$1082,COLUMN(Beräkningshjälp!AI$2)-COLUMN(Beräkningshjälp!AC$2)+1,FALSE),"")</f>
        <v/>
      </c>
    </row>
    <row r="857" spans="1:9" x14ac:dyDescent="0.25">
      <c r="A857" s="2" t="str">
        <f t="shared" si="26"/>
        <v/>
      </c>
      <c r="B857" s="136" t="str">
        <f>IF(D857&lt;&gt;"",'DATA TILL SLU'!$J$3,"")</f>
        <v/>
      </c>
      <c r="C857" s="146" t="str">
        <f>IF(D857&lt;&gt;"",'DATA TILL SLU'!$K$3,"")</f>
        <v/>
      </c>
      <c r="D857" s="2" t="str">
        <f>IF('DATA TILL SLU'!$D$7*1&lt;&gt;"",IF(COUNT(Beräkningshjälp!$AC$3:$AC$1082)&gt;=ROW(D856),'DATA TILL SLU'!$D$7*1,""),"")</f>
        <v/>
      </c>
      <c r="E857" s="136" t="str">
        <f>IF(D857&lt;&gt;"",VLOOKUP(ROW(E856),Beräkningshjälp!AC$2:AH$1082,COLUMN(Beräkningshjälp!AF$2)-COLUMN(Beräkningshjälp!AC$2)+1,FALSE),"")</f>
        <v/>
      </c>
      <c r="F857" s="352" t="str">
        <f t="shared" si="27"/>
        <v/>
      </c>
      <c r="G857" s="2" t="str">
        <f>IF(D857&lt;&gt;"",IF(VLOOKUP(VLOOKUP(E857,Beräkningshjälp!O$2:U$60,7,FALSE),Artuppgifter!$I$11:$P$22,8,FALSE)=TRUE,"Medelvikter!!","ALLA"),"")</f>
        <v/>
      </c>
      <c r="H857" s="2" t="str">
        <f>IF(D857&lt;&gt;"",VLOOKUP(ROW(H856),Beräkningshjälp!AC$2:AH$1082,COLUMN(Beräkningshjälp!AH$2)-COLUMN(Beräkningshjälp!AC$2)+1,FALSE),"")</f>
        <v/>
      </c>
      <c r="I857" s="116" t="str">
        <f>IF(D857&lt;&gt;"",VLOOKUP(ROW(E856),Beräkningshjälp!AC$2:AI$1082,COLUMN(Beräkningshjälp!AI$2)-COLUMN(Beräkningshjälp!AC$2)+1,FALSE),"")</f>
        <v/>
      </c>
    </row>
    <row r="858" spans="1:9" x14ac:dyDescent="0.25">
      <c r="A858" s="2" t="str">
        <f t="shared" si="26"/>
        <v/>
      </c>
      <c r="B858" s="136" t="str">
        <f>IF(D858&lt;&gt;"",'DATA TILL SLU'!$J$3,"")</f>
        <v/>
      </c>
      <c r="C858" s="146" t="str">
        <f>IF(D858&lt;&gt;"",'DATA TILL SLU'!$K$3,"")</f>
        <v/>
      </c>
      <c r="D858" s="2" t="str">
        <f>IF('DATA TILL SLU'!$D$7*1&lt;&gt;"",IF(COUNT(Beräkningshjälp!$AC$3:$AC$1082)&gt;=ROW(D857),'DATA TILL SLU'!$D$7*1,""),"")</f>
        <v/>
      </c>
      <c r="E858" s="136" t="str">
        <f>IF(D858&lt;&gt;"",VLOOKUP(ROW(E857),Beräkningshjälp!AC$2:AH$1082,COLUMN(Beräkningshjälp!AF$2)-COLUMN(Beräkningshjälp!AC$2)+1,FALSE),"")</f>
        <v/>
      </c>
      <c r="F858" s="352" t="str">
        <f t="shared" si="27"/>
        <v/>
      </c>
      <c r="G858" s="2" t="str">
        <f>IF(D858&lt;&gt;"",IF(VLOOKUP(VLOOKUP(E858,Beräkningshjälp!O$2:U$60,7,FALSE),Artuppgifter!$I$11:$P$22,8,FALSE)=TRUE,"Medelvikter!!","ALLA"),"")</f>
        <v/>
      </c>
      <c r="H858" s="2" t="str">
        <f>IF(D858&lt;&gt;"",VLOOKUP(ROW(H857),Beräkningshjälp!AC$2:AH$1082,COLUMN(Beräkningshjälp!AH$2)-COLUMN(Beräkningshjälp!AC$2)+1,FALSE),"")</f>
        <v/>
      </c>
      <c r="I858" s="116" t="str">
        <f>IF(D858&lt;&gt;"",VLOOKUP(ROW(E857),Beräkningshjälp!AC$2:AI$1082,COLUMN(Beräkningshjälp!AI$2)-COLUMN(Beräkningshjälp!AC$2)+1,FALSE),"")</f>
        <v/>
      </c>
    </row>
    <row r="859" spans="1:9" x14ac:dyDescent="0.25">
      <c r="A859" s="2" t="str">
        <f t="shared" si="26"/>
        <v/>
      </c>
      <c r="B859" s="136" t="str">
        <f>IF(D859&lt;&gt;"",'DATA TILL SLU'!$J$3,"")</f>
        <v/>
      </c>
      <c r="C859" s="146" t="str">
        <f>IF(D859&lt;&gt;"",'DATA TILL SLU'!$K$3,"")</f>
        <v/>
      </c>
      <c r="D859" s="2" t="str">
        <f>IF('DATA TILL SLU'!$D$7*1&lt;&gt;"",IF(COUNT(Beräkningshjälp!$AC$3:$AC$1082)&gt;=ROW(D858),'DATA TILL SLU'!$D$7*1,""),"")</f>
        <v/>
      </c>
      <c r="E859" s="136" t="str">
        <f>IF(D859&lt;&gt;"",VLOOKUP(ROW(E858),Beräkningshjälp!AC$2:AH$1082,COLUMN(Beräkningshjälp!AF$2)-COLUMN(Beräkningshjälp!AC$2)+1,FALSE),"")</f>
        <v/>
      </c>
      <c r="F859" s="352" t="str">
        <f t="shared" si="27"/>
        <v/>
      </c>
      <c r="G859" s="2" t="str">
        <f>IF(D859&lt;&gt;"",IF(VLOOKUP(VLOOKUP(E859,Beräkningshjälp!O$2:U$60,7,FALSE),Artuppgifter!$I$11:$P$22,8,FALSE)=TRUE,"Medelvikter!!","ALLA"),"")</f>
        <v/>
      </c>
      <c r="H859" s="2" t="str">
        <f>IF(D859&lt;&gt;"",VLOOKUP(ROW(H858),Beräkningshjälp!AC$2:AH$1082,COLUMN(Beräkningshjälp!AH$2)-COLUMN(Beräkningshjälp!AC$2)+1,FALSE),"")</f>
        <v/>
      </c>
      <c r="I859" s="116" t="str">
        <f>IF(D859&lt;&gt;"",VLOOKUP(ROW(E858),Beräkningshjälp!AC$2:AI$1082,COLUMN(Beräkningshjälp!AI$2)-COLUMN(Beräkningshjälp!AC$2)+1,FALSE),"")</f>
        <v/>
      </c>
    </row>
    <row r="860" spans="1:9" x14ac:dyDescent="0.25">
      <c r="A860" s="2" t="str">
        <f t="shared" si="26"/>
        <v/>
      </c>
      <c r="B860" s="136" t="str">
        <f>IF(D860&lt;&gt;"",'DATA TILL SLU'!$J$3,"")</f>
        <v/>
      </c>
      <c r="C860" s="146" t="str">
        <f>IF(D860&lt;&gt;"",'DATA TILL SLU'!$K$3,"")</f>
        <v/>
      </c>
      <c r="D860" s="2" t="str">
        <f>IF('DATA TILL SLU'!$D$7*1&lt;&gt;"",IF(COUNT(Beräkningshjälp!$AC$3:$AC$1082)&gt;=ROW(D859),'DATA TILL SLU'!$D$7*1,""),"")</f>
        <v/>
      </c>
      <c r="E860" s="136" t="str">
        <f>IF(D860&lt;&gt;"",VLOOKUP(ROW(E859),Beräkningshjälp!AC$2:AH$1082,COLUMN(Beräkningshjälp!AF$2)-COLUMN(Beräkningshjälp!AC$2)+1,FALSE),"")</f>
        <v/>
      </c>
      <c r="F860" s="352" t="str">
        <f t="shared" si="27"/>
        <v/>
      </c>
      <c r="G860" s="2" t="str">
        <f>IF(D860&lt;&gt;"",IF(VLOOKUP(VLOOKUP(E860,Beräkningshjälp!O$2:U$60,7,FALSE),Artuppgifter!$I$11:$P$22,8,FALSE)=TRUE,"Medelvikter!!","ALLA"),"")</f>
        <v/>
      </c>
      <c r="H860" s="2" t="str">
        <f>IF(D860&lt;&gt;"",VLOOKUP(ROW(H859),Beräkningshjälp!AC$2:AH$1082,COLUMN(Beräkningshjälp!AH$2)-COLUMN(Beräkningshjälp!AC$2)+1,FALSE),"")</f>
        <v/>
      </c>
      <c r="I860" s="116" t="str">
        <f>IF(D860&lt;&gt;"",VLOOKUP(ROW(E859),Beräkningshjälp!AC$2:AI$1082,COLUMN(Beräkningshjälp!AI$2)-COLUMN(Beräkningshjälp!AC$2)+1,FALSE),"")</f>
        <v/>
      </c>
    </row>
    <row r="861" spans="1:9" x14ac:dyDescent="0.25">
      <c r="A861" s="2" t="str">
        <f t="shared" si="26"/>
        <v/>
      </c>
      <c r="B861" s="136" t="str">
        <f>IF(D861&lt;&gt;"",'DATA TILL SLU'!$J$3,"")</f>
        <v/>
      </c>
      <c r="C861" s="146" t="str">
        <f>IF(D861&lt;&gt;"",'DATA TILL SLU'!$K$3,"")</f>
        <v/>
      </c>
      <c r="D861" s="2" t="str">
        <f>IF('DATA TILL SLU'!$D$7*1&lt;&gt;"",IF(COUNT(Beräkningshjälp!$AC$3:$AC$1082)&gt;=ROW(D860),'DATA TILL SLU'!$D$7*1,""),"")</f>
        <v/>
      </c>
      <c r="E861" s="136" t="str">
        <f>IF(D861&lt;&gt;"",VLOOKUP(ROW(E860),Beräkningshjälp!AC$2:AH$1082,COLUMN(Beräkningshjälp!AF$2)-COLUMN(Beräkningshjälp!AC$2)+1,FALSE),"")</f>
        <v/>
      </c>
      <c r="F861" s="352" t="str">
        <f t="shared" si="27"/>
        <v/>
      </c>
      <c r="G861" s="2" t="str">
        <f>IF(D861&lt;&gt;"",IF(VLOOKUP(VLOOKUP(E861,Beräkningshjälp!O$2:U$60,7,FALSE),Artuppgifter!$I$11:$P$22,8,FALSE)=TRUE,"Medelvikter!!","ALLA"),"")</f>
        <v/>
      </c>
      <c r="H861" s="2" t="str">
        <f>IF(D861&lt;&gt;"",VLOOKUP(ROW(H860),Beräkningshjälp!AC$2:AH$1082,COLUMN(Beräkningshjälp!AH$2)-COLUMN(Beräkningshjälp!AC$2)+1,FALSE),"")</f>
        <v/>
      </c>
      <c r="I861" s="116" t="str">
        <f>IF(D861&lt;&gt;"",VLOOKUP(ROW(E860),Beräkningshjälp!AC$2:AI$1082,COLUMN(Beräkningshjälp!AI$2)-COLUMN(Beräkningshjälp!AC$2)+1,FALSE),"")</f>
        <v/>
      </c>
    </row>
    <row r="862" spans="1:9" x14ac:dyDescent="0.25">
      <c r="A862" s="2" t="str">
        <f t="shared" si="26"/>
        <v/>
      </c>
      <c r="B862" s="136" t="str">
        <f>IF(D862&lt;&gt;"",'DATA TILL SLU'!$J$3,"")</f>
        <v/>
      </c>
      <c r="C862" s="146" t="str">
        <f>IF(D862&lt;&gt;"",'DATA TILL SLU'!$K$3,"")</f>
        <v/>
      </c>
      <c r="D862" s="2" t="str">
        <f>IF('DATA TILL SLU'!$D$7*1&lt;&gt;"",IF(COUNT(Beräkningshjälp!$AC$3:$AC$1082)&gt;=ROW(D861),'DATA TILL SLU'!$D$7*1,""),"")</f>
        <v/>
      </c>
      <c r="E862" s="136" t="str">
        <f>IF(D862&lt;&gt;"",VLOOKUP(ROW(E861),Beräkningshjälp!AC$2:AH$1082,COLUMN(Beräkningshjälp!AF$2)-COLUMN(Beräkningshjälp!AC$2)+1,FALSE),"")</f>
        <v/>
      </c>
      <c r="F862" s="352" t="str">
        <f t="shared" si="27"/>
        <v/>
      </c>
      <c r="G862" s="2" t="str">
        <f>IF(D862&lt;&gt;"",IF(VLOOKUP(VLOOKUP(E862,Beräkningshjälp!O$2:U$60,7,FALSE),Artuppgifter!$I$11:$P$22,8,FALSE)=TRUE,"Medelvikter!!","ALLA"),"")</f>
        <v/>
      </c>
      <c r="H862" s="2" t="str">
        <f>IF(D862&lt;&gt;"",VLOOKUP(ROW(H861),Beräkningshjälp!AC$2:AH$1082,COLUMN(Beräkningshjälp!AH$2)-COLUMN(Beräkningshjälp!AC$2)+1,FALSE),"")</f>
        <v/>
      </c>
      <c r="I862" s="116" t="str">
        <f>IF(D862&lt;&gt;"",VLOOKUP(ROW(E861),Beräkningshjälp!AC$2:AI$1082,COLUMN(Beräkningshjälp!AI$2)-COLUMN(Beräkningshjälp!AC$2)+1,FALSE),"")</f>
        <v/>
      </c>
    </row>
    <row r="863" spans="1:9" x14ac:dyDescent="0.25">
      <c r="A863" s="2" t="str">
        <f t="shared" si="26"/>
        <v/>
      </c>
      <c r="B863" s="136" t="str">
        <f>IF(D863&lt;&gt;"",'DATA TILL SLU'!$J$3,"")</f>
        <v/>
      </c>
      <c r="C863" s="146" t="str">
        <f>IF(D863&lt;&gt;"",'DATA TILL SLU'!$K$3,"")</f>
        <v/>
      </c>
      <c r="D863" s="2" t="str">
        <f>IF('DATA TILL SLU'!$D$7*1&lt;&gt;"",IF(COUNT(Beräkningshjälp!$AC$3:$AC$1082)&gt;=ROW(D862),'DATA TILL SLU'!$D$7*1,""),"")</f>
        <v/>
      </c>
      <c r="E863" s="136" t="str">
        <f>IF(D863&lt;&gt;"",VLOOKUP(ROW(E862),Beräkningshjälp!AC$2:AH$1082,COLUMN(Beräkningshjälp!AF$2)-COLUMN(Beräkningshjälp!AC$2)+1,FALSE),"")</f>
        <v/>
      </c>
      <c r="F863" s="352" t="str">
        <f t="shared" si="27"/>
        <v/>
      </c>
      <c r="G863" s="2" t="str">
        <f>IF(D863&lt;&gt;"",IF(VLOOKUP(VLOOKUP(E863,Beräkningshjälp!O$2:U$60,7,FALSE),Artuppgifter!$I$11:$P$22,8,FALSE)=TRUE,"Medelvikter!!","ALLA"),"")</f>
        <v/>
      </c>
      <c r="H863" s="2" t="str">
        <f>IF(D863&lt;&gt;"",VLOOKUP(ROW(H862),Beräkningshjälp!AC$2:AH$1082,COLUMN(Beräkningshjälp!AH$2)-COLUMN(Beräkningshjälp!AC$2)+1,FALSE),"")</f>
        <v/>
      </c>
      <c r="I863" s="116" t="str">
        <f>IF(D863&lt;&gt;"",VLOOKUP(ROW(E862),Beräkningshjälp!AC$2:AI$1082,COLUMN(Beräkningshjälp!AI$2)-COLUMN(Beräkningshjälp!AC$2)+1,FALSE),"")</f>
        <v/>
      </c>
    </row>
    <row r="864" spans="1:9" x14ac:dyDescent="0.25">
      <c r="A864" s="2" t="str">
        <f t="shared" si="26"/>
        <v/>
      </c>
      <c r="B864" s="136" t="str">
        <f>IF(D864&lt;&gt;"",'DATA TILL SLU'!$J$3,"")</f>
        <v/>
      </c>
      <c r="C864" s="146" t="str">
        <f>IF(D864&lt;&gt;"",'DATA TILL SLU'!$K$3,"")</f>
        <v/>
      </c>
      <c r="D864" s="2" t="str">
        <f>IF('DATA TILL SLU'!$D$7*1&lt;&gt;"",IF(COUNT(Beräkningshjälp!$AC$3:$AC$1082)&gt;=ROW(D863),'DATA TILL SLU'!$D$7*1,""),"")</f>
        <v/>
      </c>
      <c r="E864" s="136" t="str">
        <f>IF(D864&lt;&gt;"",VLOOKUP(ROW(E863),Beräkningshjälp!AC$2:AH$1082,COLUMN(Beräkningshjälp!AF$2)-COLUMN(Beräkningshjälp!AC$2)+1,FALSE),"")</f>
        <v/>
      </c>
      <c r="F864" s="352" t="str">
        <f t="shared" si="27"/>
        <v/>
      </c>
      <c r="G864" s="2" t="str">
        <f>IF(D864&lt;&gt;"",IF(VLOOKUP(VLOOKUP(E864,Beräkningshjälp!O$2:U$60,7,FALSE),Artuppgifter!$I$11:$P$22,8,FALSE)=TRUE,"Medelvikter!!","ALLA"),"")</f>
        <v/>
      </c>
      <c r="H864" s="2" t="str">
        <f>IF(D864&lt;&gt;"",VLOOKUP(ROW(H863),Beräkningshjälp!AC$2:AH$1082,COLUMN(Beräkningshjälp!AH$2)-COLUMN(Beräkningshjälp!AC$2)+1,FALSE),"")</f>
        <v/>
      </c>
      <c r="I864" s="116" t="str">
        <f>IF(D864&lt;&gt;"",VLOOKUP(ROW(E863),Beräkningshjälp!AC$2:AI$1082,COLUMN(Beräkningshjälp!AI$2)-COLUMN(Beräkningshjälp!AC$2)+1,FALSE),"")</f>
        <v/>
      </c>
    </row>
    <row r="865" spans="1:9" x14ac:dyDescent="0.25">
      <c r="A865" s="2" t="str">
        <f t="shared" si="26"/>
        <v/>
      </c>
      <c r="B865" s="136" t="str">
        <f>IF(D865&lt;&gt;"",'DATA TILL SLU'!$J$3,"")</f>
        <v/>
      </c>
      <c r="C865" s="146" t="str">
        <f>IF(D865&lt;&gt;"",'DATA TILL SLU'!$K$3,"")</f>
        <v/>
      </c>
      <c r="D865" s="2" t="str">
        <f>IF('DATA TILL SLU'!$D$7*1&lt;&gt;"",IF(COUNT(Beräkningshjälp!$AC$3:$AC$1082)&gt;=ROW(D864),'DATA TILL SLU'!$D$7*1,""),"")</f>
        <v/>
      </c>
      <c r="E865" s="136" t="str">
        <f>IF(D865&lt;&gt;"",VLOOKUP(ROW(E864),Beräkningshjälp!AC$2:AH$1082,COLUMN(Beräkningshjälp!AF$2)-COLUMN(Beräkningshjälp!AC$2)+1,FALSE),"")</f>
        <v/>
      </c>
      <c r="F865" s="352" t="str">
        <f t="shared" si="27"/>
        <v/>
      </c>
      <c r="G865" s="2" t="str">
        <f>IF(D865&lt;&gt;"",IF(VLOOKUP(VLOOKUP(E865,Beräkningshjälp!O$2:U$60,7,FALSE),Artuppgifter!$I$11:$P$22,8,FALSE)=TRUE,"Medelvikter!!","ALLA"),"")</f>
        <v/>
      </c>
      <c r="H865" s="2" t="str">
        <f>IF(D865&lt;&gt;"",VLOOKUP(ROW(H864),Beräkningshjälp!AC$2:AH$1082,COLUMN(Beräkningshjälp!AH$2)-COLUMN(Beräkningshjälp!AC$2)+1,FALSE),"")</f>
        <v/>
      </c>
      <c r="I865" s="116" t="str">
        <f>IF(D865&lt;&gt;"",VLOOKUP(ROW(E864),Beräkningshjälp!AC$2:AI$1082,COLUMN(Beräkningshjälp!AI$2)-COLUMN(Beräkningshjälp!AC$2)+1,FALSE),"")</f>
        <v/>
      </c>
    </row>
    <row r="866" spans="1:9" x14ac:dyDescent="0.25">
      <c r="A866" s="2" t="str">
        <f t="shared" si="26"/>
        <v/>
      </c>
      <c r="B866" s="136" t="str">
        <f>IF(D866&lt;&gt;"",'DATA TILL SLU'!$J$3,"")</f>
        <v/>
      </c>
      <c r="C866" s="146" t="str">
        <f>IF(D866&lt;&gt;"",'DATA TILL SLU'!$K$3,"")</f>
        <v/>
      </c>
      <c r="D866" s="2" t="str">
        <f>IF('DATA TILL SLU'!$D$7*1&lt;&gt;"",IF(COUNT(Beräkningshjälp!$AC$3:$AC$1082)&gt;=ROW(D865),'DATA TILL SLU'!$D$7*1,""),"")</f>
        <v/>
      </c>
      <c r="E866" s="136" t="str">
        <f>IF(D866&lt;&gt;"",VLOOKUP(ROW(E865),Beräkningshjälp!AC$2:AH$1082,COLUMN(Beräkningshjälp!AF$2)-COLUMN(Beräkningshjälp!AC$2)+1,FALSE),"")</f>
        <v/>
      </c>
      <c r="F866" s="352" t="str">
        <f t="shared" si="27"/>
        <v/>
      </c>
      <c r="G866" s="2" t="str">
        <f>IF(D866&lt;&gt;"",IF(VLOOKUP(VLOOKUP(E866,Beräkningshjälp!O$2:U$60,7,FALSE),Artuppgifter!$I$11:$P$22,8,FALSE)=TRUE,"Medelvikter!!","ALLA"),"")</f>
        <v/>
      </c>
      <c r="H866" s="2" t="str">
        <f>IF(D866&lt;&gt;"",VLOOKUP(ROW(H865),Beräkningshjälp!AC$2:AH$1082,COLUMN(Beräkningshjälp!AH$2)-COLUMN(Beräkningshjälp!AC$2)+1,FALSE),"")</f>
        <v/>
      </c>
      <c r="I866" s="116" t="str">
        <f>IF(D866&lt;&gt;"",VLOOKUP(ROW(E865),Beräkningshjälp!AC$2:AI$1082,COLUMN(Beräkningshjälp!AI$2)-COLUMN(Beräkningshjälp!AC$2)+1,FALSE),"")</f>
        <v/>
      </c>
    </row>
    <row r="867" spans="1:9" x14ac:dyDescent="0.25">
      <c r="A867" s="2" t="str">
        <f t="shared" si="26"/>
        <v/>
      </c>
      <c r="B867" s="136" t="str">
        <f>IF(D867&lt;&gt;"",'DATA TILL SLU'!$J$3,"")</f>
        <v/>
      </c>
      <c r="C867" s="146" t="str">
        <f>IF(D867&lt;&gt;"",'DATA TILL SLU'!$K$3,"")</f>
        <v/>
      </c>
      <c r="D867" s="2" t="str">
        <f>IF('DATA TILL SLU'!$D$7*1&lt;&gt;"",IF(COUNT(Beräkningshjälp!$AC$3:$AC$1082)&gt;=ROW(D866),'DATA TILL SLU'!$D$7*1,""),"")</f>
        <v/>
      </c>
      <c r="E867" s="136" t="str">
        <f>IF(D867&lt;&gt;"",VLOOKUP(ROW(E866),Beräkningshjälp!AC$2:AH$1082,COLUMN(Beräkningshjälp!AF$2)-COLUMN(Beräkningshjälp!AC$2)+1,FALSE),"")</f>
        <v/>
      </c>
      <c r="F867" s="352" t="str">
        <f t="shared" si="27"/>
        <v/>
      </c>
      <c r="G867" s="2" t="str">
        <f>IF(D867&lt;&gt;"",IF(VLOOKUP(VLOOKUP(E867,Beräkningshjälp!O$2:U$60,7,FALSE),Artuppgifter!$I$11:$P$22,8,FALSE)=TRUE,"Medelvikter!!","ALLA"),"")</f>
        <v/>
      </c>
      <c r="H867" s="2" t="str">
        <f>IF(D867&lt;&gt;"",VLOOKUP(ROW(H866),Beräkningshjälp!AC$2:AH$1082,COLUMN(Beräkningshjälp!AH$2)-COLUMN(Beräkningshjälp!AC$2)+1,FALSE),"")</f>
        <v/>
      </c>
      <c r="I867" s="116" t="str">
        <f>IF(D867&lt;&gt;"",VLOOKUP(ROW(E866),Beräkningshjälp!AC$2:AI$1082,COLUMN(Beräkningshjälp!AI$2)-COLUMN(Beräkningshjälp!AC$2)+1,FALSE),"")</f>
        <v/>
      </c>
    </row>
    <row r="868" spans="1:9" x14ac:dyDescent="0.25">
      <c r="A868" s="2" t="str">
        <f t="shared" si="26"/>
        <v/>
      </c>
      <c r="B868" s="136" t="str">
        <f>IF(D868&lt;&gt;"",'DATA TILL SLU'!$J$3,"")</f>
        <v/>
      </c>
      <c r="C868" s="146" t="str">
        <f>IF(D868&lt;&gt;"",'DATA TILL SLU'!$K$3,"")</f>
        <v/>
      </c>
      <c r="D868" s="2" t="str">
        <f>IF('DATA TILL SLU'!$D$7*1&lt;&gt;"",IF(COUNT(Beräkningshjälp!$AC$3:$AC$1082)&gt;=ROW(D867),'DATA TILL SLU'!$D$7*1,""),"")</f>
        <v/>
      </c>
      <c r="E868" s="136" t="str">
        <f>IF(D868&lt;&gt;"",VLOOKUP(ROW(E867),Beräkningshjälp!AC$2:AH$1082,COLUMN(Beräkningshjälp!AF$2)-COLUMN(Beräkningshjälp!AC$2)+1,FALSE),"")</f>
        <v/>
      </c>
      <c r="F868" s="352" t="str">
        <f t="shared" si="27"/>
        <v/>
      </c>
      <c r="G868" s="2" t="str">
        <f>IF(D868&lt;&gt;"",IF(VLOOKUP(VLOOKUP(E868,Beräkningshjälp!O$2:U$60,7,FALSE),Artuppgifter!$I$11:$P$22,8,FALSE)=TRUE,"Medelvikter!!","ALLA"),"")</f>
        <v/>
      </c>
      <c r="H868" s="2" t="str">
        <f>IF(D868&lt;&gt;"",VLOOKUP(ROW(H867),Beräkningshjälp!AC$2:AH$1082,COLUMN(Beräkningshjälp!AH$2)-COLUMN(Beräkningshjälp!AC$2)+1,FALSE),"")</f>
        <v/>
      </c>
      <c r="I868" s="116" t="str">
        <f>IF(D868&lt;&gt;"",VLOOKUP(ROW(E867),Beräkningshjälp!AC$2:AI$1082,COLUMN(Beräkningshjälp!AI$2)-COLUMN(Beräkningshjälp!AC$2)+1,FALSE),"")</f>
        <v/>
      </c>
    </row>
    <row r="869" spans="1:9" x14ac:dyDescent="0.25">
      <c r="A869" s="2" t="str">
        <f t="shared" si="26"/>
        <v/>
      </c>
      <c r="B869" s="136" t="str">
        <f>IF(D869&lt;&gt;"",'DATA TILL SLU'!$J$3,"")</f>
        <v/>
      </c>
      <c r="C869" s="146" t="str">
        <f>IF(D869&lt;&gt;"",'DATA TILL SLU'!$K$3,"")</f>
        <v/>
      </c>
      <c r="D869" s="2" t="str">
        <f>IF('DATA TILL SLU'!$D$7*1&lt;&gt;"",IF(COUNT(Beräkningshjälp!$AC$3:$AC$1082)&gt;=ROW(D868),'DATA TILL SLU'!$D$7*1,""),"")</f>
        <v/>
      </c>
      <c r="E869" s="136" t="str">
        <f>IF(D869&lt;&gt;"",VLOOKUP(ROW(E868),Beräkningshjälp!AC$2:AH$1082,COLUMN(Beräkningshjälp!AF$2)-COLUMN(Beräkningshjälp!AC$2)+1,FALSE),"")</f>
        <v/>
      </c>
      <c r="F869" s="352" t="str">
        <f t="shared" si="27"/>
        <v/>
      </c>
      <c r="G869" s="2" t="str">
        <f>IF(D869&lt;&gt;"",IF(VLOOKUP(VLOOKUP(E869,Beräkningshjälp!O$2:U$60,7,FALSE),Artuppgifter!$I$11:$P$22,8,FALSE)=TRUE,"Medelvikter!!","ALLA"),"")</f>
        <v/>
      </c>
      <c r="H869" s="2" t="str">
        <f>IF(D869&lt;&gt;"",VLOOKUP(ROW(H868),Beräkningshjälp!AC$2:AH$1082,COLUMN(Beräkningshjälp!AH$2)-COLUMN(Beräkningshjälp!AC$2)+1,FALSE),"")</f>
        <v/>
      </c>
      <c r="I869" s="116" t="str">
        <f>IF(D869&lt;&gt;"",VLOOKUP(ROW(E868),Beräkningshjälp!AC$2:AI$1082,COLUMN(Beräkningshjälp!AI$2)-COLUMN(Beräkningshjälp!AC$2)+1,FALSE),"")</f>
        <v/>
      </c>
    </row>
    <row r="870" spans="1:9" x14ac:dyDescent="0.25">
      <c r="A870" s="2" t="str">
        <f t="shared" si="26"/>
        <v/>
      </c>
      <c r="B870" s="136" t="str">
        <f>IF(D870&lt;&gt;"",'DATA TILL SLU'!$J$3,"")</f>
        <v/>
      </c>
      <c r="C870" s="146" t="str">
        <f>IF(D870&lt;&gt;"",'DATA TILL SLU'!$K$3,"")</f>
        <v/>
      </c>
      <c r="D870" s="2" t="str">
        <f>IF('DATA TILL SLU'!$D$7*1&lt;&gt;"",IF(COUNT(Beräkningshjälp!$AC$3:$AC$1082)&gt;=ROW(D869),'DATA TILL SLU'!$D$7*1,""),"")</f>
        <v/>
      </c>
      <c r="E870" s="136" t="str">
        <f>IF(D870&lt;&gt;"",VLOOKUP(ROW(E869),Beräkningshjälp!AC$2:AH$1082,COLUMN(Beräkningshjälp!AF$2)-COLUMN(Beräkningshjälp!AC$2)+1,FALSE),"")</f>
        <v/>
      </c>
      <c r="F870" s="352" t="str">
        <f t="shared" si="27"/>
        <v/>
      </c>
      <c r="G870" s="2" t="str">
        <f>IF(D870&lt;&gt;"",IF(VLOOKUP(VLOOKUP(E870,Beräkningshjälp!O$2:U$60,7,FALSE),Artuppgifter!$I$11:$P$22,8,FALSE)=TRUE,"Medelvikter!!","ALLA"),"")</f>
        <v/>
      </c>
      <c r="H870" s="2" t="str">
        <f>IF(D870&lt;&gt;"",VLOOKUP(ROW(H869),Beräkningshjälp!AC$2:AH$1082,COLUMN(Beräkningshjälp!AH$2)-COLUMN(Beräkningshjälp!AC$2)+1,FALSE),"")</f>
        <v/>
      </c>
      <c r="I870" s="116" t="str">
        <f>IF(D870&lt;&gt;"",VLOOKUP(ROW(E869),Beräkningshjälp!AC$2:AI$1082,COLUMN(Beräkningshjälp!AI$2)-COLUMN(Beräkningshjälp!AC$2)+1,FALSE),"")</f>
        <v/>
      </c>
    </row>
    <row r="871" spans="1:9" x14ac:dyDescent="0.25">
      <c r="A871" s="2" t="str">
        <f t="shared" si="26"/>
        <v/>
      </c>
      <c r="B871" s="136" t="str">
        <f>IF(D871&lt;&gt;"",'DATA TILL SLU'!$J$3,"")</f>
        <v/>
      </c>
      <c r="C871" s="146" t="str">
        <f>IF(D871&lt;&gt;"",'DATA TILL SLU'!$K$3,"")</f>
        <v/>
      </c>
      <c r="D871" s="2" t="str">
        <f>IF('DATA TILL SLU'!$D$7*1&lt;&gt;"",IF(COUNT(Beräkningshjälp!$AC$3:$AC$1082)&gt;=ROW(D870),'DATA TILL SLU'!$D$7*1,""),"")</f>
        <v/>
      </c>
      <c r="E871" s="136" t="str">
        <f>IF(D871&lt;&gt;"",VLOOKUP(ROW(E870),Beräkningshjälp!AC$2:AH$1082,COLUMN(Beräkningshjälp!AF$2)-COLUMN(Beräkningshjälp!AC$2)+1,FALSE),"")</f>
        <v/>
      </c>
      <c r="F871" s="352" t="str">
        <f t="shared" si="27"/>
        <v/>
      </c>
      <c r="G871" s="2" t="str">
        <f>IF(D871&lt;&gt;"",IF(VLOOKUP(VLOOKUP(E871,Beräkningshjälp!O$2:U$60,7,FALSE),Artuppgifter!$I$11:$P$22,8,FALSE)=TRUE,"Medelvikter!!","ALLA"),"")</f>
        <v/>
      </c>
      <c r="H871" s="2" t="str">
        <f>IF(D871&lt;&gt;"",VLOOKUP(ROW(H870),Beräkningshjälp!AC$2:AH$1082,COLUMN(Beräkningshjälp!AH$2)-COLUMN(Beräkningshjälp!AC$2)+1,FALSE),"")</f>
        <v/>
      </c>
      <c r="I871" s="116" t="str">
        <f>IF(D871&lt;&gt;"",VLOOKUP(ROW(E870),Beräkningshjälp!AC$2:AI$1082,COLUMN(Beräkningshjälp!AI$2)-COLUMN(Beräkningshjälp!AC$2)+1,FALSE),"")</f>
        <v/>
      </c>
    </row>
    <row r="872" spans="1:9" x14ac:dyDescent="0.25">
      <c r="A872" s="2" t="str">
        <f t="shared" si="26"/>
        <v/>
      </c>
      <c r="B872" s="136" t="str">
        <f>IF(D872&lt;&gt;"",'DATA TILL SLU'!$J$3,"")</f>
        <v/>
      </c>
      <c r="C872" s="146" t="str">
        <f>IF(D872&lt;&gt;"",'DATA TILL SLU'!$K$3,"")</f>
        <v/>
      </c>
      <c r="D872" s="2" t="str">
        <f>IF('DATA TILL SLU'!$D$7*1&lt;&gt;"",IF(COUNT(Beräkningshjälp!$AC$3:$AC$1082)&gt;=ROW(D871),'DATA TILL SLU'!$D$7*1,""),"")</f>
        <v/>
      </c>
      <c r="E872" s="136" t="str">
        <f>IF(D872&lt;&gt;"",VLOOKUP(ROW(E871),Beräkningshjälp!AC$2:AH$1082,COLUMN(Beräkningshjälp!AF$2)-COLUMN(Beräkningshjälp!AC$2)+1,FALSE),"")</f>
        <v/>
      </c>
      <c r="F872" s="352" t="str">
        <f t="shared" si="27"/>
        <v/>
      </c>
      <c r="G872" s="2" t="str">
        <f>IF(D872&lt;&gt;"",IF(VLOOKUP(VLOOKUP(E872,Beräkningshjälp!O$2:U$60,7,FALSE),Artuppgifter!$I$11:$P$22,8,FALSE)=TRUE,"Medelvikter!!","ALLA"),"")</f>
        <v/>
      </c>
      <c r="H872" s="2" t="str">
        <f>IF(D872&lt;&gt;"",VLOOKUP(ROW(H871),Beräkningshjälp!AC$2:AH$1082,COLUMN(Beräkningshjälp!AH$2)-COLUMN(Beräkningshjälp!AC$2)+1,FALSE),"")</f>
        <v/>
      </c>
      <c r="I872" s="116" t="str">
        <f>IF(D872&lt;&gt;"",VLOOKUP(ROW(E871),Beräkningshjälp!AC$2:AI$1082,COLUMN(Beräkningshjälp!AI$2)-COLUMN(Beräkningshjälp!AC$2)+1,FALSE),"")</f>
        <v/>
      </c>
    </row>
    <row r="873" spans="1:9" x14ac:dyDescent="0.25">
      <c r="A873" s="2" t="str">
        <f t="shared" si="26"/>
        <v/>
      </c>
      <c r="B873" s="136" t="str">
        <f>IF(D873&lt;&gt;"",'DATA TILL SLU'!$J$3,"")</f>
        <v/>
      </c>
      <c r="C873" s="146" t="str">
        <f>IF(D873&lt;&gt;"",'DATA TILL SLU'!$K$3,"")</f>
        <v/>
      </c>
      <c r="D873" s="2" t="str">
        <f>IF('DATA TILL SLU'!$D$7*1&lt;&gt;"",IF(COUNT(Beräkningshjälp!$AC$3:$AC$1082)&gt;=ROW(D872),'DATA TILL SLU'!$D$7*1,""),"")</f>
        <v/>
      </c>
      <c r="E873" s="136" t="str">
        <f>IF(D873&lt;&gt;"",VLOOKUP(ROW(E872),Beräkningshjälp!AC$2:AH$1082,COLUMN(Beräkningshjälp!AF$2)-COLUMN(Beräkningshjälp!AC$2)+1,FALSE),"")</f>
        <v/>
      </c>
      <c r="F873" s="352" t="str">
        <f t="shared" si="27"/>
        <v/>
      </c>
      <c r="G873" s="2" t="str">
        <f>IF(D873&lt;&gt;"",IF(VLOOKUP(VLOOKUP(E873,Beräkningshjälp!O$2:U$60,7,FALSE),Artuppgifter!$I$11:$P$22,8,FALSE)=TRUE,"Medelvikter!!","ALLA"),"")</f>
        <v/>
      </c>
      <c r="H873" s="2" t="str">
        <f>IF(D873&lt;&gt;"",VLOOKUP(ROW(H872),Beräkningshjälp!AC$2:AH$1082,COLUMN(Beräkningshjälp!AH$2)-COLUMN(Beräkningshjälp!AC$2)+1,FALSE),"")</f>
        <v/>
      </c>
      <c r="I873" s="116" t="str">
        <f>IF(D873&lt;&gt;"",VLOOKUP(ROW(E872),Beräkningshjälp!AC$2:AI$1082,COLUMN(Beräkningshjälp!AI$2)-COLUMN(Beräkningshjälp!AC$2)+1,FALSE),"")</f>
        <v/>
      </c>
    </row>
    <row r="874" spans="1:9" x14ac:dyDescent="0.25">
      <c r="A874" s="2" t="str">
        <f t="shared" si="26"/>
        <v/>
      </c>
      <c r="B874" s="136" t="str">
        <f>IF(D874&lt;&gt;"",'DATA TILL SLU'!$J$3,"")</f>
        <v/>
      </c>
      <c r="C874" s="146" t="str">
        <f>IF(D874&lt;&gt;"",'DATA TILL SLU'!$K$3,"")</f>
        <v/>
      </c>
      <c r="D874" s="2" t="str">
        <f>IF('DATA TILL SLU'!$D$7*1&lt;&gt;"",IF(COUNT(Beräkningshjälp!$AC$3:$AC$1082)&gt;=ROW(D873),'DATA TILL SLU'!$D$7*1,""),"")</f>
        <v/>
      </c>
      <c r="E874" s="136" t="str">
        <f>IF(D874&lt;&gt;"",VLOOKUP(ROW(E873),Beräkningshjälp!AC$2:AH$1082,COLUMN(Beräkningshjälp!AF$2)-COLUMN(Beräkningshjälp!AC$2)+1,FALSE),"")</f>
        <v/>
      </c>
      <c r="F874" s="352" t="str">
        <f t="shared" si="27"/>
        <v/>
      </c>
      <c r="G874" s="2" t="str">
        <f>IF(D874&lt;&gt;"",IF(VLOOKUP(VLOOKUP(E874,Beräkningshjälp!O$2:U$60,7,FALSE),Artuppgifter!$I$11:$P$22,8,FALSE)=TRUE,"Medelvikter!!","ALLA"),"")</f>
        <v/>
      </c>
      <c r="H874" s="2" t="str">
        <f>IF(D874&lt;&gt;"",VLOOKUP(ROW(H873),Beräkningshjälp!AC$2:AH$1082,COLUMN(Beräkningshjälp!AH$2)-COLUMN(Beräkningshjälp!AC$2)+1,FALSE),"")</f>
        <v/>
      </c>
      <c r="I874" s="116" t="str">
        <f>IF(D874&lt;&gt;"",VLOOKUP(ROW(E873),Beräkningshjälp!AC$2:AI$1082,COLUMN(Beräkningshjälp!AI$2)-COLUMN(Beräkningshjälp!AC$2)+1,FALSE),"")</f>
        <v/>
      </c>
    </row>
    <row r="875" spans="1:9" x14ac:dyDescent="0.25">
      <c r="A875" s="2" t="str">
        <f t="shared" si="26"/>
        <v/>
      </c>
      <c r="B875" s="136" t="str">
        <f>IF(D875&lt;&gt;"",'DATA TILL SLU'!$J$3,"")</f>
        <v/>
      </c>
      <c r="C875" s="146" t="str">
        <f>IF(D875&lt;&gt;"",'DATA TILL SLU'!$K$3,"")</f>
        <v/>
      </c>
      <c r="D875" s="2" t="str">
        <f>IF('DATA TILL SLU'!$D$7*1&lt;&gt;"",IF(COUNT(Beräkningshjälp!$AC$3:$AC$1082)&gt;=ROW(D874),'DATA TILL SLU'!$D$7*1,""),"")</f>
        <v/>
      </c>
      <c r="E875" s="136" t="str">
        <f>IF(D875&lt;&gt;"",VLOOKUP(ROW(E874),Beräkningshjälp!AC$2:AH$1082,COLUMN(Beräkningshjälp!AF$2)-COLUMN(Beräkningshjälp!AC$2)+1,FALSE),"")</f>
        <v/>
      </c>
      <c r="F875" s="352" t="str">
        <f t="shared" si="27"/>
        <v/>
      </c>
      <c r="G875" s="2" t="str">
        <f>IF(D875&lt;&gt;"",IF(VLOOKUP(VLOOKUP(E875,Beräkningshjälp!O$2:U$60,7,FALSE),Artuppgifter!$I$11:$P$22,8,FALSE)=TRUE,"Medelvikter!!","ALLA"),"")</f>
        <v/>
      </c>
      <c r="H875" s="2" t="str">
        <f>IF(D875&lt;&gt;"",VLOOKUP(ROW(H874),Beräkningshjälp!AC$2:AH$1082,COLUMN(Beräkningshjälp!AH$2)-COLUMN(Beräkningshjälp!AC$2)+1,FALSE),"")</f>
        <v/>
      </c>
      <c r="I875" s="116" t="str">
        <f>IF(D875&lt;&gt;"",VLOOKUP(ROW(E874),Beräkningshjälp!AC$2:AI$1082,COLUMN(Beräkningshjälp!AI$2)-COLUMN(Beräkningshjälp!AC$2)+1,FALSE),"")</f>
        <v/>
      </c>
    </row>
    <row r="876" spans="1:9" x14ac:dyDescent="0.25">
      <c r="A876" s="2" t="str">
        <f t="shared" si="26"/>
        <v/>
      </c>
      <c r="B876" s="136" t="str">
        <f>IF(D876&lt;&gt;"",'DATA TILL SLU'!$J$3,"")</f>
        <v/>
      </c>
      <c r="C876" s="146" t="str">
        <f>IF(D876&lt;&gt;"",'DATA TILL SLU'!$K$3,"")</f>
        <v/>
      </c>
      <c r="D876" s="2" t="str">
        <f>IF('DATA TILL SLU'!$D$7*1&lt;&gt;"",IF(COUNT(Beräkningshjälp!$AC$3:$AC$1082)&gt;=ROW(D875),'DATA TILL SLU'!$D$7*1,""),"")</f>
        <v/>
      </c>
      <c r="E876" s="136" t="str">
        <f>IF(D876&lt;&gt;"",VLOOKUP(ROW(E875),Beräkningshjälp!AC$2:AH$1082,COLUMN(Beräkningshjälp!AF$2)-COLUMN(Beräkningshjälp!AC$2)+1,FALSE),"")</f>
        <v/>
      </c>
      <c r="F876" s="352" t="str">
        <f t="shared" si="27"/>
        <v/>
      </c>
      <c r="G876" s="2" t="str">
        <f>IF(D876&lt;&gt;"",IF(VLOOKUP(VLOOKUP(E876,Beräkningshjälp!O$2:U$60,7,FALSE),Artuppgifter!$I$11:$P$22,8,FALSE)=TRUE,"Medelvikter!!","ALLA"),"")</f>
        <v/>
      </c>
      <c r="H876" s="2" t="str">
        <f>IF(D876&lt;&gt;"",VLOOKUP(ROW(H875),Beräkningshjälp!AC$2:AH$1082,COLUMN(Beräkningshjälp!AH$2)-COLUMN(Beräkningshjälp!AC$2)+1,FALSE),"")</f>
        <v/>
      </c>
      <c r="I876" s="116" t="str">
        <f>IF(D876&lt;&gt;"",VLOOKUP(ROW(E875),Beräkningshjälp!AC$2:AI$1082,COLUMN(Beräkningshjälp!AI$2)-COLUMN(Beräkningshjälp!AC$2)+1,FALSE),"")</f>
        <v/>
      </c>
    </row>
    <row r="877" spans="1:9" x14ac:dyDescent="0.25">
      <c r="A877" s="2" t="str">
        <f t="shared" si="26"/>
        <v/>
      </c>
      <c r="B877" s="136" t="str">
        <f>IF(D877&lt;&gt;"",'DATA TILL SLU'!$J$3,"")</f>
        <v/>
      </c>
      <c r="C877" s="146" t="str">
        <f>IF(D877&lt;&gt;"",'DATA TILL SLU'!$K$3,"")</f>
        <v/>
      </c>
      <c r="D877" s="2" t="str">
        <f>IF('DATA TILL SLU'!$D$7*1&lt;&gt;"",IF(COUNT(Beräkningshjälp!$AC$3:$AC$1082)&gt;=ROW(D876),'DATA TILL SLU'!$D$7*1,""),"")</f>
        <v/>
      </c>
      <c r="E877" s="136" t="str">
        <f>IF(D877&lt;&gt;"",VLOOKUP(ROW(E876),Beräkningshjälp!AC$2:AH$1082,COLUMN(Beräkningshjälp!AF$2)-COLUMN(Beräkningshjälp!AC$2)+1,FALSE),"")</f>
        <v/>
      </c>
      <c r="F877" s="352" t="str">
        <f t="shared" si="27"/>
        <v/>
      </c>
      <c r="G877" s="2" t="str">
        <f>IF(D877&lt;&gt;"",IF(VLOOKUP(VLOOKUP(E877,Beräkningshjälp!O$2:U$60,7,FALSE),Artuppgifter!$I$11:$P$22,8,FALSE)=TRUE,"Medelvikter!!","ALLA"),"")</f>
        <v/>
      </c>
      <c r="H877" s="2" t="str">
        <f>IF(D877&lt;&gt;"",VLOOKUP(ROW(H876),Beräkningshjälp!AC$2:AH$1082,COLUMN(Beräkningshjälp!AH$2)-COLUMN(Beräkningshjälp!AC$2)+1,FALSE),"")</f>
        <v/>
      </c>
      <c r="I877" s="116" t="str">
        <f>IF(D877&lt;&gt;"",VLOOKUP(ROW(E876),Beräkningshjälp!AC$2:AI$1082,COLUMN(Beräkningshjälp!AI$2)-COLUMN(Beräkningshjälp!AC$2)+1,FALSE),"")</f>
        <v/>
      </c>
    </row>
    <row r="878" spans="1:9" x14ac:dyDescent="0.25">
      <c r="A878" s="2" t="str">
        <f t="shared" si="26"/>
        <v/>
      </c>
      <c r="B878" s="136" t="str">
        <f>IF(D878&lt;&gt;"",'DATA TILL SLU'!$J$3,"")</f>
        <v/>
      </c>
      <c r="C878" s="146" t="str">
        <f>IF(D878&lt;&gt;"",'DATA TILL SLU'!$K$3,"")</f>
        <v/>
      </c>
      <c r="D878" s="2" t="str">
        <f>IF('DATA TILL SLU'!$D$7*1&lt;&gt;"",IF(COUNT(Beräkningshjälp!$AC$3:$AC$1082)&gt;=ROW(D877),'DATA TILL SLU'!$D$7*1,""),"")</f>
        <v/>
      </c>
      <c r="E878" s="136" t="str">
        <f>IF(D878&lt;&gt;"",VLOOKUP(ROW(E877),Beräkningshjälp!AC$2:AH$1082,COLUMN(Beräkningshjälp!AF$2)-COLUMN(Beräkningshjälp!AC$2)+1,FALSE),"")</f>
        <v/>
      </c>
      <c r="F878" s="352" t="str">
        <f t="shared" si="27"/>
        <v/>
      </c>
      <c r="G878" s="2" t="str">
        <f>IF(D878&lt;&gt;"",IF(VLOOKUP(VLOOKUP(E878,Beräkningshjälp!O$2:U$60,7,FALSE),Artuppgifter!$I$11:$P$22,8,FALSE)=TRUE,"Medelvikter!!","ALLA"),"")</f>
        <v/>
      </c>
      <c r="H878" s="2" t="str">
        <f>IF(D878&lt;&gt;"",VLOOKUP(ROW(H877),Beräkningshjälp!AC$2:AH$1082,COLUMN(Beräkningshjälp!AH$2)-COLUMN(Beräkningshjälp!AC$2)+1,FALSE),"")</f>
        <v/>
      </c>
      <c r="I878" s="116" t="str">
        <f>IF(D878&lt;&gt;"",VLOOKUP(ROW(E877),Beräkningshjälp!AC$2:AI$1082,COLUMN(Beräkningshjälp!AI$2)-COLUMN(Beräkningshjälp!AC$2)+1,FALSE),"")</f>
        <v/>
      </c>
    </row>
    <row r="879" spans="1:9" x14ac:dyDescent="0.25">
      <c r="A879" s="2" t="str">
        <f t="shared" si="26"/>
        <v/>
      </c>
      <c r="B879" s="136" t="str">
        <f>IF(D879&lt;&gt;"",'DATA TILL SLU'!$J$3,"")</f>
        <v/>
      </c>
      <c r="C879" s="146" t="str">
        <f>IF(D879&lt;&gt;"",'DATA TILL SLU'!$K$3,"")</f>
        <v/>
      </c>
      <c r="D879" s="2" t="str">
        <f>IF('DATA TILL SLU'!$D$7*1&lt;&gt;"",IF(COUNT(Beräkningshjälp!$AC$3:$AC$1082)&gt;=ROW(D878),'DATA TILL SLU'!$D$7*1,""),"")</f>
        <v/>
      </c>
      <c r="E879" s="136" t="str">
        <f>IF(D879&lt;&gt;"",VLOOKUP(ROW(E878),Beräkningshjälp!AC$2:AH$1082,COLUMN(Beräkningshjälp!AF$2)-COLUMN(Beräkningshjälp!AC$2)+1,FALSE),"")</f>
        <v/>
      </c>
      <c r="F879" s="352" t="str">
        <f t="shared" si="27"/>
        <v/>
      </c>
      <c r="G879" s="2" t="str">
        <f>IF(D879&lt;&gt;"",IF(VLOOKUP(VLOOKUP(E879,Beräkningshjälp!O$2:U$60,7,FALSE),Artuppgifter!$I$11:$P$22,8,FALSE)=TRUE,"Medelvikter!!","ALLA"),"")</f>
        <v/>
      </c>
      <c r="H879" s="2" t="str">
        <f>IF(D879&lt;&gt;"",VLOOKUP(ROW(H878),Beräkningshjälp!AC$2:AH$1082,COLUMN(Beräkningshjälp!AH$2)-COLUMN(Beräkningshjälp!AC$2)+1,FALSE),"")</f>
        <v/>
      </c>
      <c r="I879" s="116" t="str">
        <f>IF(D879&lt;&gt;"",VLOOKUP(ROW(E878),Beräkningshjälp!AC$2:AI$1082,COLUMN(Beräkningshjälp!AI$2)-COLUMN(Beräkningshjälp!AC$2)+1,FALSE),"")</f>
        <v/>
      </c>
    </row>
    <row r="880" spans="1:9" x14ac:dyDescent="0.25">
      <c r="A880" s="2" t="str">
        <f t="shared" si="26"/>
        <v/>
      </c>
      <c r="B880" s="136" t="str">
        <f>IF(D880&lt;&gt;"",'DATA TILL SLU'!$J$3,"")</f>
        <v/>
      </c>
      <c r="C880" s="146" t="str">
        <f>IF(D880&lt;&gt;"",'DATA TILL SLU'!$K$3,"")</f>
        <v/>
      </c>
      <c r="D880" s="2" t="str">
        <f>IF('DATA TILL SLU'!$D$7*1&lt;&gt;"",IF(COUNT(Beräkningshjälp!$AC$3:$AC$1082)&gt;=ROW(D879),'DATA TILL SLU'!$D$7*1,""),"")</f>
        <v/>
      </c>
      <c r="E880" s="136" t="str">
        <f>IF(D880&lt;&gt;"",VLOOKUP(ROW(E879),Beräkningshjälp!AC$2:AH$1082,COLUMN(Beräkningshjälp!AF$2)-COLUMN(Beräkningshjälp!AC$2)+1,FALSE),"")</f>
        <v/>
      </c>
      <c r="F880" s="352" t="str">
        <f t="shared" si="27"/>
        <v/>
      </c>
      <c r="G880" s="2" t="str">
        <f>IF(D880&lt;&gt;"",IF(VLOOKUP(VLOOKUP(E880,Beräkningshjälp!O$2:U$60,7,FALSE),Artuppgifter!$I$11:$P$22,8,FALSE)=TRUE,"Medelvikter!!","ALLA"),"")</f>
        <v/>
      </c>
      <c r="H880" s="2" t="str">
        <f>IF(D880&lt;&gt;"",VLOOKUP(ROW(H879),Beräkningshjälp!AC$2:AH$1082,COLUMN(Beräkningshjälp!AH$2)-COLUMN(Beräkningshjälp!AC$2)+1,FALSE),"")</f>
        <v/>
      </c>
      <c r="I880" s="116" t="str">
        <f>IF(D880&lt;&gt;"",VLOOKUP(ROW(E879),Beräkningshjälp!AC$2:AI$1082,COLUMN(Beräkningshjälp!AI$2)-COLUMN(Beräkningshjälp!AC$2)+1,FALSE),"")</f>
        <v/>
      </c>
    </row>
    <row r="881" spans="1:9" x14ac:dyDescent="0.25">
      <c r="A881" s="2" t="str">
        <f t="shared" si="26"/>
        <v/>
      </c>
      <c r="B881" s="136" t="str">
        <f>IF(D881&lt;&gt;"",'DATA TILL SLU'!$J$3,"")</f>
        <v/>
      </c>
      <c r="C881" s="146" t="str">
        <f>IF(D881&lt;&gt;"",'DATA TILL SLU'!$K$3,"")</f>
        <v/>
      </c>
      <c r="D881" s="2" t="str">
        <f>IF('DATA TILL SLU'!$D$7*1&lt;&gt;"",IF(COUNT(Beräkningshjälp!$AC$3:$AC$1082)&gt;=ROW(D880),'DATA TILL SLU'!$D$7*1,""),"")</f>
        <v/>
      </c>
      <c r="E881" s="136" t="str">
        <f>IF(D881&lt;&gt;"",VLOOKUP(ROW(E880),Beräkningshjälp!AC$2:AH$1082,COLUMN(Beräkningshjälp!AF$2)-COLUMN(Beräkningshjälp!AC$2)+1,FALSE),"")</f>
        <v/>
      </c>
      <c r="F881" s="352" t="str">
        <f t="shared" si="27"/>
        <v/>
      </c>
      <c r="G881" s="2" t="str">
        <f>IF(D881&lt;&gt;"",IF(VLOOKUP(VLOOKUP(E881,Beräkningshjälp!O$2:U$60,7,FALSE),Artuppgifter!$I$11:$P$22,8,FALSE)=TRUE,"Medelvikter!!","ALLA"),"")</f>
        <v/>
      </c>
      <c r="H881" s="2" t="str">
        <f>IF(D881&lt;&gt;"",VLOOKUP(ROW(H880),Beräkningshjälp!AC$2:AH$1082,COLUMN(Beräkningshjälp!AH$2)-COLUMN(Beräkningshjälp!AC$2)+1,FALSE),"")</f>
        <v/>
      </c>
      <c r="I881" s="116" t="str">
        <f>IF(D881&lt;&gt;"",VLOOKUP(ROW(E880),Beräkningshjälp!AC$2:AI$1082,COLUMN(Beräkningshjälp!AI$2)-COLUMN(Beräkningshjälp!AC$2)+1,FALSE),"")</f>
        <v/>
      </c>
    </row>
    <row r="882" spans="1:9" x14ac:dyDescent="0.25">
      <c r="A882" s="2" t="str">
        <f t="shared" si="26"/>
        <v/>
      </c>
      <c r="B882" s="136" t="str">
        <f>IF(D882&lt;&gt;"",'DATA TILL SLU'!$J$3,"")</f>
        <v/>
      </c>
      <c r="C882" s="146" t="str">
        <f>IF(D882&lt;&gt;"",'DATA TILL SLU'!$K$3,"")</f>
        <v/>
      </c>
      <c r="D882" s="2" t="str">
        <f>IF('DATA TILL SLU'!$D$7*1&lt;&gt;"",IF(COUNT(Beräkningshjälp!$AC$3:$AC$1082)&gt;=ROW(D881),'DATA TILL SLU'!$D$7*1,""),"")</f>
        <v/>
      </c>
      <c r="E882" s="136" t="str">
        <f>IF(D882&lt;&gt;"",VLOOKUP(ROW(E881),Beräkningshjälp!AC$2:AH$1082,COLUMN(Beräkningshjälp!AF$2)-COLUMN(Beräkningshjälp!AC$2)+1,FALSE),"")</f>
        <v/>
      </c>
      <c r="F882" s="352" t="str">
        <f t="shared" si="27"/>
        <v/>
      </c>
      <c r="G882" s="2" t="str">
        <f>IF(D882&lt;&gt;"",IF(VLOOKUP(VLOOKUP(E882,Beräkningshjälp!O$2:U$60,7,FALSE),Artuppgifter!$I$11:$P$22,8,FALSE)=TRUE,"Medelvikter!!","ALLA"),"")</f>
        <v/>
      </c>
      <c r="H882" s="2" t="str">
        <f>IF(D882&lt;&gt;"",VLOOKUP(ROW(H881),Beräkningshjälp!AC$2:AH$1082,COLUMN(Beräkningshjälp!AH$2)-COLUMN(Beräkningshjälp!AC$2)+1,FALSE),"")</f>
        <v/>
      </c>
      <c r="I882" s="116" t="str">
        <f>IF(D882&lt;&gt;"",VLOOKUP(ROW(E881),Beräkningshjälp!AC$2:AI$1082,COLUMN(Beräkningshjälp!AI$2)-COLUMN(Beräkningshjälp!AC$2)+1,FALSE),"")</f>
        <v/>
      </c>
    </row>
    <row r="883" spans="1:9" x14ac:dyDescent="0.25">
      <c r="A883" s="2" t="str">
        <f t="shared" si="26"/>
        <v/>
      </c>
      <c r="B883" s="136" t="str">
        <f>IF(D883&lt;&gt;"",'DATA TILL SLU'!$J$3,"")</f>
        <v/>
      </c>
      <c r="C883" s="146" t="str">
        <f>IF(D883&lt;&gt;"",'DATA TILL SLU'!$K$3,"")</f>
        <v/>
      </c>
      <c r="D883" s="2" t="str">
        <f>IF('DATA TILL SLU'!$D$7*1&lt;&gt;"",IF(COUNT(Beräkningshjälp!$AC$3:$AC$1082)&gt;=ROW(D882),'DATA TILL SLU'!$D$7*1,""),"")</f>
        <v/>
      </c>
      <c r="E883" s="136" t="str">
        <f>IF(D883&lt;&gt;"",VLOOKUP(ROW(E882),Beräkningshjälp!AC$2:AH$1082,COLUMN(Beräkningshjälp!AF$2)-COLUMN(Beräkningshjälp!AC$2)+1,FALSE),"")</f>
        <v/>
      </c>
      <c r="F883" s="352" t="str">
        <f t="shared" si="27"/>
        <v/>
      </c>
      <c r="G883" s="2" t="str">
        <f>IF(D883&lt;&gt;"",IF(VLOOKUP(VLOOKUP(E883,Beräkningshjälp!O$2:U$60,7,FALSE),Artuppgifter!$I$11:$P$22,8,FALSE)=TRUE,"Medelvikter!!","ALLA"),"")</f>
        <v/>
      </c>
      <c r="H883" s="2" t="str">
        <f>IF(D883&lt;&gt;"",VLOOKUP(ROW(H882),Beräkningshjälp!AC$2:AH$1082,COLUMN(Beräkningshjälp!AH$2)-COLUMN(Beräkningshjälp!AC$2)+1,FALSE),"")</f>
        <v/>
      </c>
      <c r="I883" s="116" t="str">
        <f>IF(D883&lt;&gt;"",VLOOKUP(ROW(E882),Beräkningshjälp!AC$2:AI$1082,COLUMN(Beräkningshjälp!AI$2)-COLUMN(Beräkningshjälp!AC$2)+1,FALSE),"")</f>
        <v/>
      </c>
    </row>
    <row r="884" spans="1:9" x14ac:dyDescent="0.25">
      <c r="A884" s="2" t="str">
        <f t="shared" si="26"/>
        <v/>
      </c>
      <c r="B884" s="136" t="str">
        <f>IF(D884&lt;&gt;"",'DATA TILL SLU'!$J$3,"")</f>
        <v/>
      </c>
      <c r="C884" s="146" t="str">
        <f>IF(D884&lt;&gt;"",'DATA TILL SLU'!$K$3,"")</f>
        <v/>
      </c>
      <c r="D884" s="2" t="str">
        <f>IF('DATA TILL SLU'!$D$7*1&lt;&gt;"",IF(COUNT(Beräkningshjälp!$AC$3:$AC$1082)&gt;=ROW(D883),'DATA TILL SLU'!$D$7*1,""),"")</f>
        <v/>
      </c>
      <c r="E884" s="136" t="str">
        <f>IF(D884&lt;&gt;"",VLOOKUP(ROW(E883),Beräkningshjälp!AC$2:AH$1082,COLUMN(Beräkningshjälp!AF$2)-COLUMN(Beräkningshjälp!AC$2)+1,FALSE),"")</f>
        <v/>
      </c>
      <c r="F884" s="352" t="str">
        <f t="shared" si="27"/>
        <v/>
      </c>
      <c r="G884" s="2" t="str">
        <f>IF(D884&lt;&gt;"",IF(VLOOKUP(VLOOKUP(E884,Beräkningshjälp!O$2:U$60,7,FALSE),Artuppgifter!$I$11:$P$22,8,FALSE)=TRUE,"Medelvikter!!","ALLA"),"")</f>
        <v/>
      </c>
      <c r="H884" s="2" t="str">
        <f>IF(D884&lt;&gt;"",VLOOKUP(ROW(H883),Beräkningshjälp!AC$2:AH$1082,COLUMN(Beräkningshjälp!AH$2)-COLUMN(Beräkningshjälp!AC$2)+1,FALSE),"")</f>
        <v/>
      </c>
      <c r="I884" s="116" t="str">
        <f>IF(D884&lt;&gt;"",VLOOKUP(ROW(E883),Beräkningshjälp!AC$2:AI$1082,COLUMN(Beräkningshjälp!AI$2)-COLUMN(Beräkningshjälp!AC$2)+1,FALSE),"")</f>
        <v/>
      </c>
    </row>
    <row r="885" spans="1:9" x14ac:dyDescent="0.25">
      <c r="A885" s="2" t="str">
        <f t="shared" si="26"/>
        <v/>
      </c>
      <c r="B885" s="136" t="str">
        <f>IF(D885&lt;&gt;"",'DATA TILL SLU'!$J$3,"")</f>
        <v/>
      </c>
      <c r="C885" s="146" t="str">
        <f>IF(D885&lt;&gt;"",'DATA TILL SLU'!$K$3,"")</f>
        <v/>
      </c>
      <c r="D885" s="2" t="str">
        <f>IF('DATA TILL SLU'!$D$7*1&lt;&gt;"",IF(COUNT(Beräkningshjälp!$AC$3:$AC$1082)&gt;=ROW(D884),'DATA TILL SLU'!$D$7*1,""),"")</f>
        <v/>
      </c>
      <c r="E885" s="136" t="str">
        <f>IF(D885&lt;&gt;"",VLOOKUP(ROW(E884),Beräkningshjälp!AC$2:AH$1082,COLUMN(Beräkningshjälp!AF$2)-COLUMN(Beräkningshjälp!AC$2)+1,FALSE),"")</f>
        <v/>
      </c>
      <c r="F885" s="352" t="str">
        <f t="shared" si="27"/>
        <v/>
      </c>
      <c r="G885" s="2" t="str">
        <f>IF(D885&lt;&gt;"",IF(VLOOKUP(VLOOKUP(E885,Beräkningshjälp!O$2:U$60,7,FALSE),Artuppgifter!$I$11:$P$22,8,FALSE)=TRUE,"Medelvikter!!","ALLA"),"")</f>
        <v/>
      </c>
      <c r="H885" s="2" t="str">
        <f>IF(D885&lt;&gt;"",VLOOKUP(ROW(H884),Beräkningshjälp!AC$2:AH$1082,COLUMN(Beräkningshjälp!AH$2)-COLUMN(Beräkningshjälp!AC$2)+1,FALSE),"")</f>
        <v/>
      </c>
      <c r="I885" s="116" t="str">
        <f>IF(D885&lt;&gt;"",VLOOKUP(ROW(E884),Beräkningshjälp!AC$2:AI$1082,COLUMN(Beräkningshjälp!AI$2)-COLUMN(Beräkningshjälp!AC$2)+1,FALSE),"")</f>
        <v/>
      </c>
    </row>
    <row r="886" spans="1:9" x14ac:dyDescent="0.25">
      <c r="A886" s="2" t="str">
        <f t="shared" si="26"/>
        <v/>
      </c>
      <c r="B886" s="136" t="str">
        <f>IF(D886&lt;&gt;"",'DATA TILL SLU'!$J$3,"")</f>
        <v/>
      </c>
      <c r="C886" s="146" t="str">
        <f>IF(D886&lt;&gt;"",'DATA TILL SLU'!$K$3,"")</f>
        <v/>
      </c>
      <c r="D886" s="2" t="str">
        <f>IF('DATA TILL SLU'!$D$7*1&lt;&gt;"",IF(COUNT(Beräkningshjälp!$AC$3:$AC$1082)&gt;=ROW(D885),'DATA TILL SLU'!$D$7*1,""),"")</f>
        <v/>
      </c>
      <c r="E886" s="136" t="str">
        <f>IF(D886&lt;&gt;"",VLOOKUP(ROW(E885),Beräkningshjälp!AC$2:AH$1082,COLUMN(Beräkningshjälp!AF$2)-COLUMN(Beräkningshjälp!AC$2)+1,FALSE),"")</f>
        <v/>
      </c>
      <c r="F886" s="352" t="str">
        <f t="shared" si="27"/>
        <v/>
      </c>
      <c r="G886" s="2" t="str">
        <f>IF(D886&lt;&gt;"",IF(VLOOKUP(VLOOKUP(E886,Beräkningshjälp!O$2:U$60,7,FALSE),Artuppgifter!$I$11:$P$22,8,FALSE)=TRUE,"Medelvikter!!","ALLA"),"")</f>
        <v/>
      </c>
      <c r="H886" s="2" t="str">
        <f>IF(D886&lt;&gt;"",VLOOKUP(ROW(H885),Beräkningshjälp!AC$2:AH$1082,COLUMN(Beräkningshjälp!AH$2)-COLUMN(Beräkningshjälp!AC$2)+1,FALSE),"")</f>
        <v/>
      </c>
      <c r="I886" s="116" t="str">
        <f>IF(D886&lt;&gt;"",VLOOKUP(ROW(E885),Beräkningshjälp!AC$2:AI$1082,COLUMN(Beräkningshjälp!AI$2)-COLUMN(Beräkningshjälp!AC$2)+1,FALSE),"")</f>
        <v/>
      </c>
    </row>
    <row r="887" spans="1:9" x14ac:dyDescent="0.25">
      <c r="A887" s="2" t="str">
        <f t="shared" si="26"/>
        <v/>
      </c>
      <c r="B887" s="136" t="str">
        <f>IF(D887&lt;&gt;"",'DATA TILL SLU'!$J$3,"")</f>
        <v/>
      </c>
      <c r="C887" s="146" t="str">
        <f>IF(D887&lt;&gt;"",'DATA TILL SLU'!$K$3,"")</f>
        <v/>
      </c>
      <c r="D887" s="2" t="str">
        <f>IF('DATA TILL SLU'!$D$7*1&lt;&gt;"",IF(COUNT(Beräkningshjälp!$AC$3:$AC$1082)&gt;=ROW(D886),'DATA TILL SLU'!$D$7*1,""),"")</f>
        <v/>
      </c>
      <c r="E887" s="136" t="str">
        <f>IF(D887&lt;&gt;"",VLOOKUP(ROW(E886),Beräkningshjälp!AC$2:AH$1082,COLUMN(Beräkningshjälp!AF$2)-COLUMN(Beräkningshjälp!AC$2)+1,FALSE),"")</f>
        <v/>
      </c>
      <c r="F887" s="352" t="str">
        <f t="shared" si="27"/>
        <v/>
      </c>
      <c r="G887" s="2" t="str">
        <f>IF(D887&lt;&gt;"",IF(VLOOKUP(VLOOKUP(E887,Beräkningshjälp!O$2:U$60,7,FALSE),Artuppgifter!$I$11:$P$22,8,FALSE)=TRUE,"Medelvikter!!","ALLA"),"")</f>
        <v/>
      </c>
      <c r="H887" s="2" t="str">
        <f>IF(D887&lt;&gt;"",VLOOKUP(ROW(H886),Beräkningshjälp!AC$2:AH$1082,COLUMN(Beräkningshjälp!AH$2)-COLUMN(Beräkningshjälp!AC$2)+1,FALSE),"")</f>
        <v/>
      </c>
      <c r="I887" s="116" t="str">
        <f>IF(D887&lt;&gt;"",VLOOKUP(ROW(E886),Beräkningshjälp!AC$2:AI$1082,COLUMN(Beräkningshjälp!AI$2)-COLUMN(Beräkningshjälp!AC$2)+1,FALSE),"")</f>
        <v/>
      </c>
    </row>
    <row r="888" spans="1:9" x14ac:dyDescent="0.25">
      <c r="A888" s="2" t="str">
        <f t="shared" si="26"/>
        <v/>
      </c>
      <c r="B888" s="136" t="str">
        <f>IF(D888&lt;&gt;"",'DATA TILL SLU'!$J$3,"")</f>
        <v/>
      </c>
      <c r="C888" s="146" t="str">
        <f>IF(D888&lt;&gt;"",'DATA TILL SLU'!$K$3,"")</f>
        <v/>
      </c>
      <c r="D888" s="2" t="str">
        <f>IF('DATA TILL SLU'!$D$7*1&lt;&gt;"",IF(COUNT(Beräkningshjälp!$AC$3:$AC$1082)&gt;=ROW(D887),'DATA TILL SLU'!$D$7*1,""),"")</f>
        <v/>
      </c>
      <c r="E888" s="136" t="str">
        <f>IF(D888&lt;&gt;"",VLOOKUP(ROW(E887),Beräkningshjälp!AC$2:AH$1082,COLUMN(Beräkningshjälp!AF$2)-COLUMN(Beräkningshjälp!AC$2)+1,FALSE),"")</f>
        <v/>
      </c>
      <c r="F888" s="352" t="str">
        <f t="shared" si="27"/>
        <v/>
      </c>
      <c r="G888" s="2" t="str">
        <f>IF(D888&lt;&gt;"",IF(VLOOKUP(VLOOKUP(E888,Beräkningshjälp!O$2:U$60,7,FALSE),Artuppgifter!$I$11:$P$22,8,FALSE)=TRUE,"Medelvikter!!","ALLA"),"")</f>
        <v/>
      </c>
      <c r="H888" s="2" t="str">
        <f>IF(D888&lt;&gt;"",VLOOKUP(ROW(H887),Beräkningshjälp!AC$2:AH$1082,COLUMN(Beräkningshjälp!AH$2)-COLUMN(Beräkningshjälp!AC$2)+1,FALSE),"")</f>
        <v/>
      </c>
      <c r="I888" s="116" t="str">
        <f>IF(D888&lt;&gt;"",VLOOKUP(ROW(E887),Beräkningshjälp!AC$2:AI$1082,COLUMN(Beräkningshjälp!AI$2)-COLUMN(Beräkningshjälp!AC$2)+1,FALSE),"")</f>
        <v/>
      </c>
    </row>
    <row r="889" spans="1:9" x14ac:dyDescent="0.25">
      <c r="A889" s="2" t="str">
        <f t="shared" si="26"/>
        <v/>
      </c>
      <c r="B889" s="136" t="str">
        <f>IF(D889&lt;&gt;"",'DATA TILL SLU'!$J$3,"")</f>
        <v/>
      </c>
      <c r="C889" s="146" t="str">
        <f>IF(D889&lt;&gt;"",'DATA TILL SLU'!$K$3,"")</f>
        <v/>
      </c>
      <c r="D889" s="2" t="str">
        <f>IF('DATA TILL SLU'!$D$7*1&lt;&gt;"",IF(COUNT(Beräkningshjälp!$AC$3:$AC$1082)&gt;=ROW(D888),'DATA TILL SLU'!$D$7*1,""),"")</f>
        <v/>
      </c>
      <c r="E889" s="136" t="str">
        <f>IF(D889&lt;&gt;"",VLOOKUP(ROW(E888),Beräkningshjälp!AC$2:AH$1082,COLUMN(Beräkningshjälp!AF$2)-COLUMN(Beräkningshjälp!AC$2)+1,FALSE),"")</f>
        <v/>
      </c>
      <c r="F889" s="352" t="str">
        <f t="shared" si="27"/>
        <v/>
      </c>
      <c r="G889" s="2" t="str">
        <f>IF(D889&lt;&gt;"",IF(VLOOKUP(VLOOKUP(E889,Beräkningshjälp!O$2:U$60,7,FALSE),Artuppgifter!$I$11:$P$22,8,FALSE)=TRUE,"Medelvikter!!","ALLA"),"")</f>
        <v/>
      </c>
      <c r="H889" s="2" t="str">
        <f>IF(D889&lt;&gt;"",VLOOKUP(ROW(H888),Beräkningshjälp!AC$2:AH$1082,COLUMN(Beräkningshjälp!AH$2)-COLUMN(Beräkningshjälp!AC$2)+1,FALSE),"")</f>
        <v/>
      </c>
      <c r="I889" s="116" t="str">
        <f>IF(D889&lt;&gt;"",VLOOKUP(ROW(E888),Beräkningshjälp!AC$2:AI$1082,COLUMN(Beräkningshjälp!AI$2)-COLUMN(Beräkningshjälp!AC$2)+1,FALSE),"")</f>
        <v/>
      </c>
    </row>
    <row r="890" spans="1:9" x14ac:dyDescent="0.25">
      <c r="A890" s="2" t="str">
        <f t="shared" si="26"/>
        <v/>
      </c>
      <c r="B890" s="136" t="str">
        <f>IF(D890&lt;&gt;"",'DATA TILL SLU'!$J$3,"")</f>
        <v/>
      </c>
      <c r="C890" s="146" t="str">
        <f>IF(D890&lt;&gt;"",'DATA TILL SLU'!$K$3,"")</f>
        <v/>
      </c>
      <c r="D890" s="2" t="str">
        <f>IF('DATA TILL SLU'!$D$7*1&lt;&gt;"",IF(COUNT(Beräkningshjälp!$AC$3:$AC$1082)&gt;=ROW(D889),'DATA TILL SLU'!$D$7*1,""),"")</f>
        <v/>
      </c>
      <c r="E890" s="136" t="str">
        <f>IF(D890&lt;&gt;"",VLOOKUP(ROW(E889),Beräkningshjälp!AC$2:AH$1082,COLUMN(Beräkningshjälp!AF$2)-COLUMN(Beräkningshjälp!AC$2)+1,FALSE),"")</f>
        <v/>
      </c>
      <c r="F890" s="352" t="str">
        <f t="shared" si="27"/>
        <v/>
      </c>
      <c r="G890" s="2" t="str">
        <f>IF(D890&lt;&gt;"",IF(VLOOKUP(VLOOKUP(E890,Beräkningshjälp!O$2:U$60,7,FALSE),Artuppgifter!$I$11:$P$22,8,FALSE)=TRUE,"Medelvikter!!","ALLA"),"")</f>
        <v/>
      </c>
      <c r="H890" s="2" t="str">
        <f>IF(D890&lt;&gt;"",VLOOKUP(ROW(H889),Beräkningshjälp!AC$2:AH$1082,COLUMN(Beräkningshjälp!AH$2)-COLUMN(Beräkningshjälp!AC$2)+1,FALSE),"")</f>
        <v/>
      </c>
      <c r="I890" s="116" t="str">
        <f>IF(D890&lt;&gt;"",VLOOKUP(ROW(E889),Beräkningshjälp!AC$2:AI$1082,COLUMN(Beräkningshjälp!AI$2)-COLUMN(Beräkningshjälp!AC$2)+1,FALSE),"")</f>
        <v/>
      </c>
    </row>
    <row r="891" spans="1:9" x14ac:dyDescent="0.25">
      <c r="A891" s="2" t="str">
        <f t="shared" si="26"/>
        <v/>
      </c>
      <c r="B891" s="136" t="str">
        <f>IF(D891&lt;&gt;"",'DATA TILL SLU'!$J$3,"")</f>
        <v/>
      </c>
      <c r="C891" s="146" t="str">
        <f>IF(D891&lt;&gt;"",'DATA TILL SLU'!$K$3,"")</f>
        <v/>
      </c>
      <c r="D891" s="2" t="str">
        <f>IF('DATA TILL SLU'!$D$7*1&lt;&gt;"",IF(COUNT(Beräkningshjälp!$AC$3:$AC$1082)&gt;=ROW(D890),'DATA TILL SLU'!$D$7*1,""),"")</f>
        <v/>
      </c>
      <c r="E891" s="136" t="str">
        <f>IF(D891&lt;&gt;"",VLOOKUP(ROW(E890),Beräkningshjälp!AC$2:AH$1082,COLUMN(Beräkningshjälp!AF$2)-COLUMN(Beräkningshjälp!AC$2)+1,FALSE),"")</f>
        <v/>
      </c>
      <c r="F891" s="352" t="str">
        <f t="shared" si="27"/>
        <v/>
      </c>
      <c r="G891" s="2" t="str">
        <f>IF(D891&lt;&gt;"",IF(VLOOKUP(VLOOKUP(E891,Beräkningshjälp!O$2:U$60,7,FALSE),Artuppgifter!$I$11:$P$22,8,FALSE)=TRUE,"Medelvikter!!","ALLA"),"")</f>
        <v/>
      </c>
      <c r="H891" s="2" t="str">
        <f>IF(D891&lt;&gt;"",VLOOKUP(ROW(H890),Beräkningshjälp!AC$2:AH$1082,COLUMN(Beräkningshjälp!AH$2)-COLUMN(Beräkningshjälp!AC$2)+1,FALSE),"")</f>
        <v/>
      </c>
      <c r="I891" s="116" t="str">
        <f>IF(D891&lt;&gt;"",VLOOKUP(ROW(E890),Beräkningshjälp!AC$2:AI$1082,COLUMN(Beräkningshjälp!AI$2)-COLUMN(Beräkningshjälp!AC$2)+1,FALSE),"")</f>
        <v/>
      </c>
    </row>
    <row r="892" spans="1:9" x14ac:dyDescent="0.25">
      <c r="A892" s="2" t="str">
        <f t="shared" si="26"/>
        <v/>
      </c>
      <c r="B892" s="136" t="str">
        <f>IF(D892&lt;&gt;"",'DATA TILL SLU'!$J$3,"")</f>
        <v/>
      </c>
      <c r="C892" s="146" t="str">
        <f>IF(D892&lt;&gt;"",'DATA TILL SLU'!$K$3,"")</f>
        <v/>
      </c>
      <c r="D892" s="2" t="str">
        <f>IF('DATA TILL SLU'!$D$7*1&lt;&gt;"",IF(COUNT(Beräkningshjälp!$AC$3:$AC$1082)&gt;=ROW(D891),'DATA TILL SLU'!$D$7*1,""),"")</f>
        <v/>
      </c>
      <c r="E892" s="136" t="str">
        <f>IF(D892&lt;&gt;"",VLOOKUP(ROW(E891),Beräkningshjälp!AC$2:AH$1082,COLUMN(Beräkningshjälp!AF$2)-COLUMN(Beräkningshjälp!AC$2)+1,FALSE),"")</f>
        <v/>
      </c>
      <c r="F892" s="352" t="str">
        <f t="shared" si="27"/>
        <v/>
      </c>
      <c r="G892" s="2" t="str">
        <f>IF(D892&lt;&gt;"",IF(VLOOKUP(VLOOKUP(E892,Beräkningshjälp!O$2:U$60,7,FALSE),Artuppgifter!$I$11:$P$22,8,FALSE)=TRUE,"Medelvikter!!","ALLA"),"")</f>
        <v/>
      </c>
      <c r="H892" s="2" t="str">
        <f>IF(D892&lt;&gt;"",VLOOKUP(ROW(H891),Beräkningshjälp!AC$2:AH$1082,COLUMN(Beräkningshjälp!AH$2)-COLUMN(Beräkningshjälp!AC$2)+1,FALSE),"")</f>
        <v/>
      </c>
      <c r="I892" s="116" t="str">
        <f>IF(D892&lt;&gt;"",VLOOKUP(ROW(E891),Beräkningshjälp!AC$2:AI$1082,COLUMN(Beräkningshjälp!AI$2)-COLUMN(Beräkningshjälp!AC$2)+1,FALSE),"")</f>
        <v/>
      </c>
    </row>
    <row r="893" spans="1:9" x14ac:dyDescent="0.25">
      <c r="A893" s="2" t="str">
        <f t="shared" si="26"/>
        <v/>
      </c>
      <c r="B893" s="136" t="str">
        <f>IF(D893&lt;&gt;"",'DATA TILL SLU'!$J$3,"")</f>
        <v/>
      </c>
      <c r="C893" s="146" t="str">
        <f>IF(D893&lt;&gt;"",'DATA TILL SLU'!$K$3,"")</f>
        <v/>
      </c>
      <c r="D893" s="2" t="str">
        <f>IF('DATA TILL SLU'!$D$7*1&lt;&gt;"",IF(COUNT(Beräkningshjälp!$AC$3:$AC$1082)&gt;=ROW(D892),'DATA TILL SLU'!$D$7*1,""),"")</f>
        <v/>
      </c>
      <c r="E893" s="136" t="str">
        <f>IF(D893&lt;&gt;"",VLOOKUP(ROW(E892),Beräkningshjälp!AC$2:AH$1082,COLUMN(Beräkningshjälp!AF$2)-COLUMN(Beräkningshjälp!AC$2)+1,FALSE),"")</f>
        <v/>
      </c>
      <c r="F893" s="352" t="str">
        <f t="shared" si="27"/>
        <v/>
      </c>
      <c r="G893" s="2" t="str">
        <f>IF(D893&lt;&gt;"",IF(VLOOKUP(VLOOKUP(E893,Beräkningshjälp!O$2:U$60,7,FALSE),Artuppgifter!$I$11:$P$22,8,FALSE)=TRUE,"Medelvikter!!","ALLA"),"")</f>
        <v/>
      </c>
      <c r="H893" s="2" t="str">
        <f>IF(D893&lt;&gt;"",VLOOKUP(ROW(H892),Beräkningshjälp!AC$2:AH$1082,COLUMN(Beräkningshjälp!AH$2)-COLUMN(Beräkningshjälp!AC$2)+1,FALSE),"")</f>
        <v/>
      </c>
      <c r="I893" s="116" t="str">
        <f>IF(D893&lt;&gt;"",VLOOKUP(ROW(E892),Beräkningshjälp!AC$2:AI$1082,COLUMN(Beräkningshjälp!AI$2)-COLUMN(Beräkningshjälp!AC$2)+1,FALSE),"")</f>
        <v/>
      </c>
    </row>
    <row r="894" spans="1:9" x14ac:dyDescent="0.25">
      <c r="A894" s="2" t="str">
        <f t="shared" si="26"/>
        <v/>
      </c>
      <c r="B894" s="136" t="str">
        <f>IF(D894&lt;&gt;"",'DATA TILL SLU'!$J$3,"")</f>
        <v/>
      </c>
      <c r="C894" s="146" t="str">
        <f>IF(D894&lt;&gt;"",'DATA TILL SLU'!$K$3,"")</f>
        <v/>
      </c>
      <c r="D894" s="2" t="str">
        <f>IF('DATA TILL SLU'!$D$7*1&lt;&gt;"",IF(COUNT(Beräkningshjälp!$AC$3:$AC$1082)&gt;=ROW(D893),'DATA TILL SLU'!$D$7*1,""),"")</f>
        <v/>
      </c>
      <c r="E894" s="136" t="str">
        <f>IF(D894&lt;&gt;"",VLOOKUP(ROW(E893),Beräkningshjälp!AC$2:AH$1082,COLUMN(Beräkningshjälp!AF$2)-COLUMN(Beräkningshjälp!AC$2)+1,FALSE),"")</f>
        <v/>
      </c>
      <c r="F894" s="352" t="str">
        <f t="shared" si="27"/>
        <v/>
      </c>
      <c r="G894" s="2" t="str">
        <f>IF(D894&lt;&gt;"",IF(VLOOKUP(VLOOKUP(E894,Beräkningshjälp!O$2:U$60,7,FALSE),Artuppgifter!$I$11:$P$22,8,FALSE)=TRUE,"Medelvikter!!","ALLA"),"")</f>
        <v/>
      </c>
      <c r="H894" s="2" t="str">
        <f>IF(D894&lt;&gt;"",VLOOKUP(ROW(H893),Beräkningshjälp!AC$2:AH$1082,COLUMN(Beräkningshjälp!AH$2)-COLUMN(Beräkningshjälp!AC$2)+1,FALSE),"")</f>
        <v/>
      </c>
      <c r="I894" s="116" t="str">
        <f>IF(D894&lt;&gt;"",VLOOKUP(ROW(E893),Beräkningshjälp!AC$2:AI$1082,COLUMN(Beräkningshjälp!AI$2)-COLUMN(Beräkningshjälp!AC$2)+1,FALSE),"")</f>
        <v/>
      </c>
    </row>
    <row r="895" spans="1:9" x14ac:dyDescent="0.25">
      <c r="A895" s="2" t="str">
        <f t="shared" si="26"/>
        <v/>
      </c>
      <c r="B895" s="136" t="str">
        <f>IF(D895&lt;&gt;"",'DATA TILL SLU'!$J$3,"")</f>
        <v/>
      </c>
      <c r="C895" s="146" t="str">
        <f>IF(D895&lt;&gt;"",'DATA TILL SLU'!$K$3,"")</f>
        <v/>
      </c>
      <c r="D895" s="2" t="str">
        <f>IF('DATA TILL SLU'!$D$7*1&lt;&gt;"",IF(COUNT(Beräkningshjälp!$AC$3:$AC$1082)&gt;=ROW(D894),'DATA TILL SLU'!$D$7*1,""),"")</f>
        <v/>
      </c>
      <c r="E895" s="136" t="str">
        <f>IF(D895&lt;&gt;"",VLOOKUP(ROW(E894),Beräkningshjälp!AC$2:AH$1082,COLUMN(Beräkningshjälp!AF$2)-COLUMN(Beräkningshjälp!AC$2)+1,FALSE),"")</f>
        <v/>
      </c>
      <c r="F895" s="352" t="str">
        <f t="shared" si="27"/>
        <v/>
      </c>
      <c r="G895" s="2" t="str">
        <f>IF(D895&lt;&gt;"",IF(VLOOKUP(VLOOKUP(E895,Beräkningshjälp!O$2:U$60,7,FALSE),Artuppgifter!$I$11:$P$22,8,FALSE)=TRUE,"Medelvikter!!","ALLA"),"")</f>
        <v/>
      </c>
      <c r="H895" s="2" t="str">
        <f>IF(D895&lt;&gt;"",VLOOKUP(ROW(H894),Beräkningshjälp!AC$2:AH$1082,COLUMN(Beräkningshjälp!AH$2)-COLUMN(Beräkningshjälp!AC$2)+1,FALSE),"")</f>
        <v/>
      </c>
      <c r="I895" s="116" t="str">
        <f>IF(D895&lt;&gt;"",VLOOKUP(ROW(E894),Beräkningshjälp!AC$2:AI$1082,COLUMN(Beräkningshjälp!AI$2)-COLUMN(Beräkningshjälp!AC$2)+1,FALSE),"")</f>
        <v/>
      </c>
    </row>
    <row r="896" spans="1:9" x14ac:dyDescent="0.25">
      <c r="A896" s="2" t="str">
        <f t="shared" si="26"/>
        <v/>
      </c>
      <c r="B896" s="136" t="str">
        <f>IF(D896&lt;&gt;"",'DATA TILL SLU'!$J$3,"")</f>
        <v/>
      </c>
      <c r="C896" s="146" t="str">
        <f>IF(D896&lt;&gt;"",'DATA TILL SLU'!$K$3,"")</f>
        <v/>
      </c>
      <c r="D896" s="2" t="str">
        <f>IF('DATA TILL SLU'!$D$7*1&lt;&gt;"",IF(COUNT(Beräkningshjälp!$AC$3:$AC$1082)&gt;=ROW(D895),'DATA TILL SLU'!$D$7*1,""),"")</f>
        <v/>
      </c>
      <c r="E896" s="136" t="str">
        <f>IF(D896&lt;&gt;"",VLOOKUP(ROW(E895),Beräkningshjälp!AC$2:AH$1082,COLUMN(Beräkningshjälp!AF$2)-COLUMN(Beräkningshjälp!AC$2)+1,FALSE),"")</f>
        <v/>
      </c>
      <c r="F896" s="352" t="str">
        <f t="shared" si="27"/>
        <v/>
      </c>
      <c r="G896" s="2" t="str">
        <f>IF(D896&lt;&gt;"",IF(VLOOKUP(VLOOKUP(E896,Beräkningshjälp!O$2:U$60,7,FALSE),Artuppgifter!$I$11:$P$22,8,FALSE)=TRUE,"Medelvikter!!","ALLA"),"")</f>
        <v/>
      </c>
      <c r="H896" s="2" t="str">
        <f>IF(D896&lt;&gt;"",VLOOKUP(ROW(H895),Beräkningshjälp!AC$2:AH$1082,COLUMN(Beräkningshjälp!AH$2)-COLUMN(Beräkningshjälp!AC$2)+1,FALSE),"")</f>
        <v/>
      </c>
      <c r="I896" s="116" t="str">
        <f>IF(D896&lt;&gt;"",VLOOKUP(ROW(E895),Beräkningshjälp!AC$2:AI$1082,COLUMN(Beräkningshjälp!AI$2)-COLUMN(Beräkningshjälp!AC$2)+1,FALSE),"")</f>
        <v/>
      </c>
    </row>
    <row r="897" spans="1:9" x14ac:dyDescent="0.25">
      <c r="A897" s="2" t="str">
        <f t="shared" si="26"/>
        <v/>
      </c>
      <c r="B897" s="136" t="str">
        <f>IF(D897&lt;&gt;"",'DATA TILL SLU'!$J$3,"")</f>
        <v/>
      </c>
      <c r="C897" s="146" t="str">
        <f>IF(D897&lt;&gt;"",'DATA TILL SLU'!$K$3,"")</f>
        <v/>
      </c>
      <c r="D897" s="2" t="str">
        <f>IF('DATA TILL SLU'!$D$7*1&lt;&gt;"",IF(COUNT(Beräkningshjälp!$AC$3:$AC$1082)&gt;=ROW(D896),'DATA TILL SLU'!$D$7*1,""),"")</f>
        <v/>
      </c>
      <c r="E897" s="136" t="str">
        <f>IF(D897&lt;&gt;"",VLOOKUP(ROW(E896),Beräkningshjälp!AC$2:AH$1082,COLUMN(Beräkningshjälp!AF$2)-COLUMN(Beräkningshjälp!AC$2)+1,FALSE),"")</f>
        <v/>
      </c>
      <c r="F897" s="352" t="str">
        <f t="shared" si="27"/>
        <v/>
      </c>
      <c r="G897" s="2" t="str">
        <f>IF(D897&lt;&gt;"",IF(VLOOKUP(VLOOKUP(E897,Beräkningshjälp!O$2:U$60,7,FALSE),Artuppgifter!$I$11:$P$22,8,FALSE)=TRUE,"Medelvikter!!","ALLA"),"")</f>
        <v/>
      </c>
      <c r="H897" s="2" t="str">
        <f>IF(D897&lt;&gt;"",VLOOKUP(ROW(H896),Beräkningshjälp!AC$2:AH$1082,COLUMN(Beräkningshjälp!AH$2)-COLUMN(Beräkningshjälp!AC$2)+1,FALSE),"")</f>
        <v/>
      </c>
      <c r="I897" s="116" t="str">
        <f>IF(D897&lt;&gt;"",VLOOKUP(ROW(E896),Beräkningshjälp!AC$2:AI$1082,COLUMN(Beräkningshjälp!AI$2)-COLUMN(Beräkningshjälp!AC$2)+1,FALSE),"")</f>
        <v/>
      </c>
    </row>
    <row r="898" spans="1:9" x14ac:dyDescent="0.25">
      <c r="A898" s="2" t="str">
        <f t="shared" si="26"/>
        <v/>
      </c>
      <c r="B898" s="136" t="str">
        <f>IF(D898&lt;&gt;"",'DATA TILL SLU'!$J$3,"")</f>
        <v/>
      </c>
      <c r="C898" s="146" t="str">
        <f>IF(D898&lt;&gt;"",'DATA TILL SLU'!$K$3,"")</f>
        <v/>
      </c>
      <c r="D898" s="2" t="str">
        <f>IF('DATA TILL SLU'!$D$7*1&lt;&gt;"",IF(COUNT(Beräkningshjälp!$AC$3:$AC$1082)&gt;=ROW(D897),'DATA TILL SLU'!$D$7*1,""),"")</f>
        <v/>
      </c>
      <c r="E898" s="136" t="str">
        <f>IF(D898&lt;&gt;"",VLOOKUP(ROW(E897),Beräkningshjälp!AC$2:AH$1082,COLUMN(Beräkningshjälp!AF$2)-COLUMN(Beräkningshjälp!AC$2)+1,FALSE),"")</f>
        <v/>
      </c>
      <c r="F898" s="352" t="str">
        <f t="shared" si="27"/>
        <v/>
      </c>
      <c r="G898" s="2" t="str">
        <f>IF(D898&lt;&gt;"",IF(VLOOKUP(VLOOKUP(E898,Beräkningshjälp!O$2:U$60,7,FALSE),Artuppgifter!$I$11:$P$22,8,FALSE)=TRUE,"Medelvikter!!","ALLA"),"")</f>
        <v/>
      </c>
      <c r="H898" s="2" t="str">
        <f>IF(D898&lt;&gt;"",VLOOKUP(ROW(H897),Beräkningshjälp!AC$2:AH$1082,COLUMN(Beräkningshjälp!AH$2)-COLUMN(Beräkningshjälp!AC$2)+1,FALSE),"")</f>
        <v/>
      </c>
      <c r="I898" s="116" t="str">
        <f>IF(D898&lt;&gt;"",VLOOKUP(ROW(E897),Beräkningshjälp!AC$2:AI$1082,COLUMN(Beräkningshjälp!AI$2)-COLUMN(Beräkningshjälp!AC$2)+1,FALSE),"")</f>
        <v/>
      </c>
    </row>
    <row r="899" spans="1:9" x14ac:dyDescent="0.25">
      <c r="A899" s="2" t="str">
        <f t="shared" ref="A899:A962" si="28">IF(D899&lt;&gt;"","LANGDVIKTER","")</f>
        <v/>
      </c>
      <c r="B899" s="136" t="str">
        <f>IF(D899&lt;&gt;"",'DATA TILL SLU'!$J$3,"")</f>
        <v/>
      </c>
      <c r="C899" s="146" t="str">
        <f>IF(D899&lt;&gt;"",'DATA TILL SLU'!$K$3,"")</f>
        <v/>
      </c>
      <c r="D899" s="2" t="str">
        <f>IF('DATA TILL SLU'!$D$7*1&lt;&gt;"",IF(COUNT(Beräkningshjälp!$AC$3:$AC$1082)&gt;=ROW(D898),'DATA TILL SLU'!$D$7*1,""),"")</f>
        <v/>
      </c>
      <c r="E899" s="136" t="str">
        <f>IF(D899&lt;&gt;"",VLOOKUP(ROW(E898),Beräkningshjälp!AC$2:AH$1082,COLUMN(Beräkningshjälp!AF$2)-COLUMN(Beräkningshjälp!AC$2)+1,FALSE),"")</f>
        <v/>
      </c>
      <c r="F899" s="352" t="str">
        <f t="shared" ref="F899:F962" si="29">IF(D899&lt;&gt;"","IND","")</f>
        <v/>
      </c>
      <c r="G899" s="2" t="str">
        <f>IF(D899&lt;&gt;"",IF(VLOOKUP(VLOOKUP(E899,Beräkningshjälp!O$2:U$60,7,FALSE),Artuppgifter!$I$11:$P$22,8,FALSE)=TRUE,"Medelvikter!!","ALLA"),"")</f>
        <v/>
      </c>
      <c r="H899" s="2" t="str">
        <f>IF(D899&lt;&gt;"",VLOOKUP(ROW(H898),Beräkningshjälp!AC$2:AH$1082,COLUMN(Beräkningshjälp!AH$2)-COLUMN(Beräkningshjälp!AC$2)+1,FALSE),"")</f>
        <v/>
      </c>
      <c r="I899" s="116" t="str">
        <f>IF(D899&lt;&gt;"",VLOOKUP(ROW(E898),Beräkningshjälp!AC$2:AI$1082,COLUMN(Beräkningshjälp!AI$2)-COLUMN(Beräkningshjälp!AC$2)+1,FALSE),"")</f>
        <v/>
      </c>
    </row>
    <row r="900" spans="1:9" x14ac:dyDescent="0.25">
      <c r="A900" s="2" t="str">
        <f t="shared" si="28"/>
        <v/>
      </c>
      <c r="B900" s="136" t="str">
        <f>IF(D900&lt;&gt;"",'DATA TILL SLU'!$J$3,"")</f>
        <v/>
      </c>
      <c r="C900" s="146" t="str">
        <f>IF(D900&lt;&gt;"",'DATA TILL SLU'!$K$3,"")</f>
        <v/>
      </c>
      <c r="D900" s="2" t="str">
        <f>IF('DATA TILL SLU'!$D$7*1&lt;&gt;"",IF(COUNT(Beräkningshjälp!$AC$3:$AC$1082)&gt;=ROW(D899),'DATA TILL SLU'!$D$7*1,""),"")</f>
        <v/>
      </c>
      <c r="E900" s="136" t="str">
        <f>IF(D900&lt;&gt;"",VLOOKUP(ROW(E899),Beräkningshjälp!AC$2:AH$1082,COLUMN(Beräkningshjälp!AF$2)-COLUMN(Beräkningshjälp!AC$2)+1,FALSE),"")</f>
        <v/>
      </c>
      <c r="F900" s="352" t="str">
        <f t="shared" si="29"/>
        <v/>
      </c>
      <c r="G900" s="2" t="str">
        <f>IF(D900&lt;&gt;"",IF(VLOOKUP(VLOOKUP(E900,Beräkningshjälp!O$2:U$60,7,FALSE),Artuppgifter!$I$11:$P$22,8,FALSE)=TRUE,"Medelvikter!!","ALLA"),"")</f>
        <v/>
      </c>
      <c r="H900" s="2" t="str">
        <f>IF(D900&lt;&gt;"",VLOOKUP(ROW(H899),Beräkningshjälp!AC$2:AH$1082,COLUMN(Beräkningshjälp!AH$2)-COLUMN(Beräkningshjälp!AC$2)+1,FALSE),"")</f>
        <v/>
      </c>
      <c r="I900" s="116" t="str">
        <f>IF(D900&lt;&gt;"",VLOOKUP(ROW(E899),Beräkningshjälp!AC$2:AI$1082,COLUMN(Beräkningshjälp!AI$2)-COLUMN(Beräkningshjälp!AC$2)+1,FALSE),"")</f>
        <v/>
      </c>
    </row>
    <row r="901" spans="1:9" x14ac:dyDescent="0.25">
      <c r="A901" s="2" t="str">
        <f t="shared" si="28"/>
        <v/>
      </c>
      <c r="B901" s="136" t="str">
        <f>IF(D901&lt;&gt;"",'DATA TILL SLU'!$J$3,"")</f>
        <v/>
      </c>
      <c r="C901" s="146" t="str">
        <f>IF(D901&lt;&gt;"",'DATA TILL SLU'!$K$3,"")</f>
        <v/>
      </c>
      <c r="D901" s="2" t="str">
        <f>IF('DATA TILL SLU'!$D$7*1&lt;&gt;"",IF(COUNT(Beräkningshjälp!$AC$3:$AC$1082)&gt;=ROW(D900),'DATA TILL SLU'!$D$7*1,""),"")</f>
        <v/>
      </c>
      <c r="E901" s="136" t="str">
        <f>IF(D901&lt;&gt;"",VLOOKUP(ROW(E900),Beräkningshjälp!AC$2:AH$1082,COLUMN(Beräkningshjälp!AF$2)-COLUMN(Beräkningshjälp!AC$2)+1,FALSE),"")</f>
        <v/>
      </c>
      <c r="F901" s="352" t="str">
        <f t="shared" si="29"/>
        <v/>
      </c>
      <c r="G901" s="2" t="str">
        <f>IF(D901&lt;&gt;"",IF(VLOOKUP(VLOOKUP(E901,Beräkningshjälp!O$2:U$60,7,FALSE),Artuppgifter!$I$11:$P$22,8,FALSE)=TRUE,"Medelvikter!!","ALLA"),"")</f>
        <v/>
      </c>
      <c r="H901" s="2" t="str">
        <f>IF(D901&lt;&gt;"",VLOOKUP(ROW(H900),Beräkningshjälp!AC$2:AH$1082,COLUMN(Beräkningshjälp!AH$2)-COLUMN(Beräkningshjälp!AC$2)+1,FALSE),"")</f>
        <v/>
      </c>
      <c r="I901" s="116" t="str">
        <f>IF(D901&lt;&gt;"",VLOOKUP(ROW(E900),Beräkningshjälp!AC$2:AI$1082,COLUMN(Beräkningshjälp!AI$2)-COLUMN(Beräkningshjälp!AC$2)+1,FALSE),"")</f>
        <v/>
      </c>
    </row>
    <row r="902" spans="1:9" x14ac:dyDescent="0.25">
      <c r="A902" s="2" t="str">
        <f t="shared" si="28"/>
        <v/>
      </c>
      <c r="B902" s="136" t="str">
        <f>IF(D902&lt;&gt;"",'DATA TILL SLU'!$J$3,"")</f>
        <v/>
      </c>
      <c r="C902" s="146" t="str">
        <f>IF(D902&lt;&gt;"",'DATA TILL SLU'!$K$3,"")</f>
        <v/>
      </c>
      <c r="D902" s="2" t="str">
        <f>IF('DATA TILL SLU'!$D$7*1&lt;&gt;"",IF(COUNT(Beräkningshjälp!$AC$3:$AC$1082)&gt;=ROW(D901),'DATA TILL SLU'!$D$7*1,""),"")</f>
        <v/>
      </c>
      <c r="E902" s="136" t="str">
        <f>IF(D902&lt;&gt;"",VLOOKUP(ROW(E901),Beräkningshjälp!AC$2:AH$1082,COLUMN(Beräkningshjälp!AF$2)-COLUMN(Beräkningshjälp!AC$2)+1,FALSE),"")</f>
        <v/>
      </c>
      <c r="F902" s="352" t="str">
        <f t="shared" si="29"/>
        <v/>
      </c>
      <c r="G902" s="2" t="str">
        <f>IF(D902&lt;&gt;"",IF(VLOOKUP(VLOOKUP(E902,Beräkningshjälp!O$2:U$60,7,FALSE),Artuppgifter!$I$11:$P$22,8,FALSE)=TRUE,"Medelvikter!!","ALLA"),"")</f>
        <v/>
      </c>
      <c r="H902" s="2" t="str">
        <f>IF(D902&lt;&gt;"",VLOOKUP(ROW(H901),Beräkningshjälp!AC$2:AH$1082,COLUMN(Beräkningshjälp!AH$2)-COLUMN(Beräkningshjälp!AC$2)+1,FALSE),"")</f>
        <v/>
      </c>
      <c r="I902" s="116" t="str">
        <f>IF(D902&lt;&gt;"",VLOOKUP(ROW(E901),Beräkningshjälp!AC$2:AI$1082,COLUMN(Beräkningshjälp!AI$2)-COLUMN(Beräkningshjälp!AC$2)+1,FALSE),"")</f>
        <v/>
      </c>
    </row>
    <row r="903" spans="1:9" x14ac:dyDescent="0.25">
      <c r="A903" s="2" t="str">
        <f t="shared" si="28"/>
        <v/>
      </c>
      <c r="B903" s="136" t="str">
        <f>IF(D903&lt;&gt;"",'DATA TILL SLU'!$J$3,"")</f>
        <v/>
      </c>
      <c r="C903" s="146" t="str">
        <f>IF(D903&lt;&gt;"",'DATA TILL SLU'!$K$3,"")</f>
        <v/>
      </c>
      <c r="D903" s="2" t="str">
        <f>IF('DATA TILL SLU'!$D$7*1&lt;&gt;"",IF(COUNT(Beräkningshjälp!$AC$3:$AC$1082)&gt;=ROW(D902),'DATA TILL SLU'!$D$7*1,""),"")</f>
        <v/>
      </c>
      <c r="E903" s="136" t="str">
        <f>IF(D903&lt;&gt;"",VLOOKUP(ROW(E902),Beräkningshjälp!AC$2:AH$1082,COLUMN(Beräkningshjälp!AF$2)-COLUMN(Beräkningshjälp!AC$2)+1,FALSE),"")</f>
        <v/>
      </c>
      <c r="F903" s="352" t="str">
        <f t="shared" si="29"/>
        <v/>
      </c>
      <c r="G903" s="2" t="str">
        <f>IF(D903&lt;&gt;"",IF(VLOOKUP(VLOOKUP(E903,Beräkningshjälp!O$2:U$60,7,FALSE),Artuppgifter!$I$11:$P$22,8,FALSE)=TRUE,"Medelvikter!!","ALLA"),"")</f>
        <v/>
      </c>
      <c r="H903" s="2" t="str">
        <f>IF(D903&lt;&gt;"",VLOOKUP(ROW(H902),Beräkningshjälp!AC$2:AH$1082,COLUMN(Beräkningshjälp!AH$2)-COLUMN(Beräkningshjälp!AC$2)+1,FALSE),"")</f>
        <v/>
      </c>
      <c r="I903" s="116" t="str">
        <f>IF(D903&lt;&gt;"",VLOOKUP(ROW(E902),Beräkningshjälp!AC$2:AI$1082,COLUMN(Beräkningshjälp!AI$2)-COLUMN(Beräkningshjälp!AC$2)+1,FALSE),"")</f>
        <v/>
      </c>
    </row>
    <row r="904" spans="1:9" x14ac:dyDescent="0.25">
      <c r="A904" s="2" t="str">
        <f t="shared" si="28"/>
        <v/>
      </c>
      <c r="B904" s="136" t="str">
        <f>IF(D904&lt;&gt;"",'DATA TILL SLU'!$J$3,"")</f>
        <v/>
      </c>
      <c r="C904" s="146" t="str">
        <f>IF(D904&lt;&gt;"",'DATA TILL SLU'!$K$3,"")</f>
        <v/>
      </c>
      <c r="D904" s="2" t="str">
        <f>IF('DATA TILL SLU'!$D$7*1&lt;&gt;"",IF(COUNT(Beräkningshjälp!$AC$3:$AC$1082)&gt;=ROW(D903),'DATA TILL SLU'!$D$7*1,""),"")</f>
        <v/>
      </c>
      <c r="E904" s="136" t="str">
        <f>IF(D904&lt;&gt;"",VLOOKUP(ROW(E903),Beräkningshjälp!AC$2:AH$1082,COLUMN(Beräkningshjälp!AF$2)-COLUMN(Beräkningshjälp!AC$2)+1,FALSE),"")</f>
        <v/>
      </c>
      <c r="F904" s="352" t="str">
        <f t="shared" si="29"/>
        <v/>
      </c>
      <c r="G904" s="2" t="str">
        <f>IF(D904&lt;&gt;"",IF(VLOOKUP(VLOOKUP(E904,Beräkningshjälp!O$2:U$60,7,FALSE),Artuppgifter!$I$11:$P$22,8,FALSE)=TRUE,"Medelvikter!!","ALLA"),"")</f>
        <v/>
      </c>
      <c r="H904" s="2" t="str">
        <f>IF(D904&lt;&gt;"",VLOOKUP(ROW(H903),Beräkningshjälp!AC$2:AH$1082,COLUMN(Beräkningshjälp!AH$2)-COLUMN(Beräkningshjälp!AC$2)+1,FALSE),"")</f>
        <v/>
      </c>
      <c r="I904" s="116" t="str">
        <f>IF(D904&lt;&gt;"",VLOOKUP(ROW(E903),Beräkningshjälp!AC$2:AI$1082,COLUMN(Beräkningshjälp!AI$2)-COLUMN(Beräkningshjälp!AC$2)+1,FALSE),"")</f>
        <v/>
      </c>
    </row>
    <row r="905" spans="1:9" x14ac:dyDescent="0.25">
      <c r="A905" s="2" t="str">
        <f t="shared" si="28"/>
        <v/>
      </c>
      <c r="B905" s="136" t="str">
        <f>IF(D905&lt;&gt;"",'DATA TILL SLU'!$J$3,"")</f>
        <v/>
      </c>
      <c r="C905" s="146" t="str">
        <f>IF(D905&lt;&gt;"",'DATA TILL SLU'!$K$3,"")</f>
        <v/>
      </c>
      <c r="D905" s="2" t="str">
        <f>IF('DATA TILL SLU'!$D$7*1&lt;&gt;"",IF(COUNT(Beräkningshjälp!$AC$3:$AC$1082)&gt;=ROW(D904),'DATA TILL SLU'!$D$7*1,""),"")</f>
        <v/>
      </c>
      <c r="E905" s="136" t="str">
        <f>IF(D905&lt;&gt;"",VLOOKUP(ROW(E904),Beräkningshjälp!AC$2:AH$1082,COLUMN(Beräkningshjälp!AF$2)-COLUMN(Beräkningshjälp!AC$2)+1,FALSE),"")</f>
        <v/>
      </c>
      <c r="F905" s="352" t="str">
        <f t="shared" si="29"/>
        <v/>
      </c>
      <c r="G905" s="2" t="str">
        <f>IF(D905&lt;&gt;"",IF(VLOOKUP(VLOOKUP(E905,Beräkningshjälp!O$2:U$60,7,FALSE),Artuppgifter!$I$11:$P$22,8,FALSE)=TRUE,"Medelvikter!!","ALLA"),"")</f>
        <v/>
      </c>
      <c r="H905" s="2" t="str">
        <f>IF(D905&lt;&gt;"",VLOOKUP(ROW(H904),Beräkningshjälp!AC$2:AH$1082,COLUMN(Beräkningshjälp!AH$2)-COLUMN(Beräkningshjälp!AC$2)+1,FALSE),"")</f>
        <v/>
      </c>
      <c r="I905" s="116" t="str">
        <f>IF(D905&lt;&gt;"",VLOOKUP(ROW(E904),Beräkningshjälp!AC$2:AI$1082,COLUMN(Beräkningshjälp!AI$2)-COLUMN(Beräkningshjälp!AC$2)+1,FALSE),"")</f>
        <v/>
      </c>
    </row>
    <row r="906" spans="1:9" x14ac:dyDescent="0.25">
      <c r="A906" s="2" t="str">
        <f t="shared" si="28"/>
        <v/>
      </c>
      <c r="B906" s="136" t="str">
        <f>IF(D906&lt;&gt;"",'DATA TILL SLU'!$J$3,"")</f>
        <v/>
      </c>
      <c r="C906" s="146" t="str">
        <f>IF(D906&lt;&gt;"",'DATA TILL SLU'!$K$3,"")</f>
        <v/>
      </c>
      <c r="D906" s="2" t="str">
        <f>IF('DATA TILL SLU'!$D$7*1&lt;&gt;"",IF(COUNT(Beräkningshjälp!$AC$3:$AC$1082)&gt;=ROW(D905),'DATA TILL SLU'!$D$7*1,""),"")</f>
        <v/>
      </c>
      <c r="E906" s="136" t="str">
        <f>IF(D906&lt;&gt;"",VLOOKUP(ROW(E905),Beräkningshjälp!AC$2:AH$1082,COLUMN(Beräkningshjälp!AF$2)-COLUMN(Beräkningshjälp!AC$2)+1,FALSE),"")</f>
        <v/>
      </c>
      <c r="F906" s="352" t="str">
        <f t="shared" si="29"/>
        <v/>
      </c>
      <c r="G906" s="2" t="str">
        <f>IF(D906&lt;&gt;"",IF(VLOOKUP(VLOOKUP(E906,Beräkningshjälp!O$2:U$60,7,FALSE),Artuppgifter!$I$11:$P$22,8,FALSE)=TRUE,"Medelvikter!!","ALLA"),"")</f>
        <v/>
      </c>
      <c r="H906" s="2" t="str">
        <f>IF(D906&lt;&gt;"",VLOOKUP(ROW(H905),Beräkningshjälp!AC$2:AH$1082,COLUMN(Beräkningshjälp!AH$2)-COLUMN(Beräkningshjälp!AC$2)+1,FALSE),"")</f>
        <v/>
      </c>
      <c r="I906" s="116" t="str">
        <f>IF(D906&lt;&gt;"",VLOOKUP(ROW(E905),Beräkningshjälp!AC$2:AI$1082,COLUMN(Beräkningshjälp!AI$2)-COLUMN(Beräkningshjälp!AC$2)+1,FALSE),"")</f>
        <v/>
      </c>
    </row>
    <row r="907" spans="1:9" x14ac:dyDescent="0.25">
      <c r="A907" s="2" t="str">
        <f t="shared" si="28"/>
        <v/>
      </c>
      <c r="B907" s="136" t="str">
        <f>IF(D907&lt;&gt;"",'DATA TILL SLU'!$J$3,"")</f>
        <v/>
      </c>
      <c r="C907" s="146" t="str">
        <f>IF(D907&lt;&gt;"",'DATA TILL SLU'!$K$3,"")</f>
        <v/>
      </c>
      <c r="D907" s="2" t="str">
        <f>IF('DATA TILL SLU'!$D$7*1&lt;&gt;"",IF(COUNT(Beräkningshjälp!$AC$3:$AC$1082)&gt;=ROW(D906),'DATA TILL SLU'!$D$7*1,""),"")</f>
        <v/>
      </c>
      <c r="E907" s="136" t="str">
        <f>IF(D907&lt;&gt;"",VLOOKUP(ROW(E906),Beräkningshjälp!AC$2:AH$1082,COLUMN(Beräkningshjälp!AF$2)-COLUMN(Beräkningshjälp!AC$2)+1,FALSE),"")</f>
        <v/>
      </c>
      <c r="F907" s="352" t="str">
        <f t="shared" si="29"/>
        <v/>
      </c>
      <c r="G907" s="2" t="str">
        <f>IF(D907&lt;&gt;"",IF(VLOOKUP(VLOOKUP(E907,Beräkningshjälp!O$2:U$60,7,FALSE),Artuppgifter!$I$11:$P$22,8,FALSE)=TRUE,"Medelvikter!!","ALLA"),"")</f>
        <v/>
      </c>
      <c r="H907" s="2" t="str">
        <f>IF(D907&lt;&gt;"",VLOOKUP(ROW(H906),Beräkningshjälp!AC$2:AH$1082,COLUMN(Beräkningshjälp!AH$2)-COLUMN(Beräkningshjälp!AC$2)+1,FALSE),"")</f>
        <v/>
      </c>
      <c r="I907" s="116" t="str">
        <f>IF(D907&lt;&gt;"",VLOOKUP(ROW(E906),Beräkningshjälp!AC$2:AI$1082,COLUMN(Beräkningshjälp!AI$2)-COLUMN(Beräkningshjälp!AC$2)+1,FALSE),"")</f>
        <v/>
      </c>
    </row>
    <row r="908" spans="1:9" x14ac:dyDescent="0.25">
      <c r="A908" s="2" t="str">
        <f t="shared" si="28"/>
        <v/>
      </c>
      <c r="B908" s="136" t="str">
        <f>IF(D908&lt;&gt;"",'DATA TILL SLU'!$J$3,"")</f>
        <v/>
      </c>
      <c r="C908" s="146" t="str">
        <f>IF(D908&lt;&gt;"",'DATA TILL SLU'!$K$3,"")</f>
        <v/>
      </c>
      <c r="D908" s="2" t="str">
        <f>IF('DATA TILL SLU'!$D$7*1&lt;&gt;"",IF(COUNT(Beräkningshjälp!$AC$3:$AC$1082)&gt;=ROW(D907),'DATA TILL SLU'!$D$7*1,""),"")</f>
        <v/>
      </c>
      <c r="E908" s="136" t="str">
        <f>IF(D908&lt;&gt;"",VLOOKUP(ROW(E907),Beräkningshjälp!AC$2:AH$1082,COLUMN(Beräkningshjälp!AF$2)-COLUMN(Beräkningshjälp!AC$2)+1,FALSE),"")</f>
        <v/>
      </c>
      <c r="F908" s="352" t="str">
        <f t="shared" si="29"/>
        <v/>
      </c>
      <c r="G908" s="2" t="str">
        <f>IF(D908&lt;&gt;"",IF(VLOOKUP(VLOOKUP(E908,Beräkningshjälp!O$2:U$60,7,FALSE),Artuppgifter!$I$11:$P$22,8,FALSE)=TRUE,"Medelvikter!!","ALLA"),"")</f>
        <v/>
      </c>
      <c r="H908" s="2" t="str">
        <f>IF(D908&lt;&gt;"",VLOOKUP(ROW(H907),Beräkningshjälp!AC$2:AH$1082,COLUMN(Beräkningshjälp!AH$2)-COLUMN(Beräkningshjälp!AC$2)+1,FALSE),"")</f>
        <v/>
      </c>
      <c r="I908" s="116" t="str">
        <f>IF(D908&lt;&gt;"",VLOOKUP(ROW(E907),Beräkningshjälp!AC$2:AI$1082,COLUMN(Beräkningshjälp!AI$2)-COLUMN(Beräkningshjälp!AC$2)+1,FALSE),"")</f>
        <v/>
      </c>
    </row>
    <row r="909" spans="1:9" x14ac:dyDescent="0.25">
      <c r="A909" s="2" t="str">
        <f t="shared" si="28"/>
        <v/>
      </c>
      <c r="B909" s="136" t="str">
        <f>IF(D909&lt;&gt;"",'DATA TILL SLU'!$J$3,"")</f>
        <v/>
      </c>
      <c r="C909" s="146" t="str">
        <f>IF(D909&lt;&gt;"",'DATA TILL SLU'!$K$3,"")</f>
        <v/>
      </c>
      <c r="D909" s="2" t="str">
        <f>IF('DATA TILL SLU'!$D$7*1&lt;&gt;"",IF(COUNT(Beräkningshjälp!$AC$3:$AC$1082)&gt;=ROW(D908),'DATA TILL SLU'!$D$7*1,""),"")</f>
        <v/>
      </c>
      <c r="E909" s="136" t="str">
        <f>IF(D909&lt;&gt;"",VLOOKUP(ROW(E908),Beräkningshjälp!AC$2:AH$1082,COLUMN(Beräkningshjälp!AF$2)-COLUMN(Beräkningshjälp!AC$2)+1,FALSE),"")</f>
        <v/>
      </c>
      <c r="F909" s="352" t="str">
        <f t="shared" si="29"/>
        <v/>
      </c>
      <c r="G909" s="2" t="str">
        <f>IF(D909&lt;&gt;"",IF(VLOOKUP(VLOOKUP(E909,Beräkningshjälp!O$2:U$60,7,FALSE),Artuppgifter!$I$11:$P$22,8,FALSE)=TRUE,"Medelvikter!!","ALLA"),"")</f>
        <v/>
      </c>
      <c r="H909" s="2" t="str">
        <f>IF(D909&lt;&gt;"",VLOOKUP(ROW(H908),Beräkningshjälp!AC$2:AH$1082,COLUMN(Beräkningshjälp!AH$2)-COLUMN(Beräkningshjälp!AC$2)+1,FALSE),"")</f>
        <v/>
      </c>
      <c r="I909" s="116" t="str">
        <f>IF(D909&lt;&gt;"",VLOOKUP(ROW(E908),Beräkningshjälp!AC$2:AI$1082,COLUMN(Beräkningshjälp!AI$2)-COLUMN(Beräkningshjälp!AC$2)+1,FALSE),"")</f>
        <v/>
      </c>
    </row>
    <row r="910" spans="1:9" x14ac:dyDescent="0.25">
      <c r="A910" s="2" t="str">
        <f t="shared" si="28"/>
        <v/>
      </c>
      <c r="B910" s="136" t="str">
        <f>IF(D910&lt;&gt;"",'DATA TILL SLU'!$J$3,"")</f>
        <v/>
      </c>
      <c r="C910" s="146" t="str">
        <f>IF(D910&lt;&gt;"",'DATA TILL SLU'!$K$3,"")</f>
        <v/>
      </c>
      <c r="D910" s="2" t="str">
        <f>IF('DATA TILL SLU'!$D$7*1&lt;&gt;"",IF(COUNT(Beräkningshjälp!$AC$3:$AC$1082)&gt;=ROW(D909),'DATA TILL SLU'!$D$7*1,""),"")</f>
        <v/>
      </c>
      <c r="E910" s="136" t="str">
        <f>IF(D910&lt;&gt;"",VLOOKUP(ROW(E909),Beräkningshjälp!AC$2:AH$1082,COLUMN(Beräkningshjälp!AF$2)-COLUMN(Beräkningshjälp!AC$2)+1,FALSE),"")</f>
        <v/>
      </c>
      <c r="F910" s="352" t="str">
        <f t="shared" si="29"/>
        <v/>
      </c>
      <c r="G910" s="2" t="str">
        <f>IF(D910&lt;&gt;"",IF(VLOOKUP(VLOOKUP(E910,Beräkningshjälp!O$2:U$60,7,FALSE),Artuppgifter!$I$11:$P$22,8,FALSE)=TRUE,"Medelvikter!!","ALLA"),"")</f>
        <v/>
      </c>
      <c r="H910" s="2" t="str">
        <f>IF(D910&lt;&gt;"",VLOOKUP(ROW(H909),Beräkningshjälp!AC$2:AH$1082,COLUMN(Beräkningshjälp!AH$2)-COLUMN(Beräkningshjälp!AC$2)+1,FALSE),"")</f>
        <v/>
      </c>
      <c r="I910" s="116" t="str">
        <f>IF(D910&lt;&gt;"",VLOOKUP(ROW(E909),Beräkningshjälp!AC$2:AI$1082,COLUMN(Beräkningshjälp!AI$2)-COLUMN(Beräkningshjälp!AC$2)+1,FALSE),"")</f>
        <v/>
      </c>
    </row>
    <row r="911" spans="1:9" x14ac:dyDescent="0.25">
      <c r="A911" s="2" t="str">
        <f t="shared" si="28"/>
        <v/>
      </c>
      <c r="B911" s="136" t="str">
        <f>IF(D911&lt;&gt;"",'DATA TILL SLU'!$J$3,"")</f>
        <v/>
      </c>
      <c r="C911" s="146" t="str">
        <f>IF(D911&lt;&gt;"",'DATA TILL SLU'!$K$3,"")</f>
        <v/>
      </c>
      <c r="D911" s="2" t="str">
        <f>IF('DATA TILL SLU'!$D$7*1&lt;&gt;"",IF(COUNT(Beräkningshjälp!$AC$3:$AC$1082)&gt;=ROW(D910),'DATA TILL SLU'!$D$7*1,""),"")</f>
        <v/>
      </c>
      <c r="E911" s="136" t="str">
        <f>IF(D911&lt;&gt;"",VLOOKUP(ROW(E910),Beräkningshjälp!AC$2:AH$1082,COLUMN(Beräkningshjälp!AF$2)-COLUMN(Beräkningshjälp!AC$2)+1,FALSE),"")</f>
        <v/>
      </c>
      <c r="F911" s="352" t="str">
        <f t="shared" si="29"/>
        <v/>
      </c>
      <c r="G911" s="2" t="str">
        <f>IF(D911&lt;&gt;"",IF(VLOOKUP(VLOOKUP(E911,Beräkningshjälp!O$2:U$60,7,FALSE),Artuppgifter!$I$11:$P$22,8,FALSE)=TRUE,"Medelvikter!!","ALLA"),"")</f>
        <v/>
      </c>
      <c r="H911" s="2" t="str">
        <f>IF(D911&lt;&gt;"",VLOOKUP(ROW(H910),Beräkningshjälp!AC$2:AH$1082,COLUMN(Beräkningshjälp!AH$2)-COLUMN(Beräkningshjälp!AC$2)+1,FALSE),"")</f>
        <v/>
      </c>
      <c r="I911" s="116" t="str">
        <f>IF(D911&lt;&gt;"",VLOOKUP(ROW(E910),Beräkningshjälp!AC$2:AI$1082,COLUMN(Beräkningshjälp!AI$2)-COLUMN(Beräkningshjälp!AC$2)+1,FALSE),"")</f>
        <v/>
      </c>
    </row>
    <row r="912" spans="1:9" x14ac:dyDescent="0.25">
      <c r="A912" s="2" t="str">
        <f t="shared" si="28"/>
        <v/>
      </c>
      <c r="B912" s="136" t="str">
        <f>IF(D912&lt;&gt;"",'DATA TILL SLU'!$J$3,"")</f>
        <v/>
      </c>
      <c r="C912" s="146" t="str">
        <f>IF(D912&lt;&gt;"",'DATA TILL SLU'!$K$3,"")</f>
        <v/>
      </c>
      <c r="D912" s="2" t="str">
        <f>IF('DATA TILL SLU'!$D$7*1&lt;&gt;"",IF(COUNT(Beräkningshjälp!$AC$3:$AC$1082)&gt;=ROW(D911),'DATA TILL SLU'!$D$7*1,""),"")</f>
        <v/>
      </c>
      <c r="E912" s="136" t="str">
        <f>IF(D912&lt;&gt;"",VLOOKUP(ROW(E911),Beräkningshjälp!AC$2:AH$1082,COLUMN(Beräkningshjälp!AF$2)-COLUMN(Beräkningshjälp!AC$2)+1,FALSE),"")</f>
        <v/>
      </c>
      <c r="F912" s="352" t="str">
        <f t="shared" si="29"/>
        <v/>
      </c>
      <c r="G912" s="2" t="str">
        <f>IF(D912&lt;&gt;"",IF(VLOOKUP(VLOOKUP(E912,Beräkningshjälp!O$2:U$60,7,FALSE),Artuppgifter!$I$11:$P$22,8,FALSE)=TRUE,"Medelvikter!!","ALLA"),"")</f>
        <v/>
      </c>
      <c r="H912" s="2" t="str">
        <f>IF(D912&lt;&gt;"",VLOOKUP(ROW(H911),Beräkningshjälp!AC$2:AH$1082,COLUMN(Beräkningshjälp!AH$2)-COLUMN(Beräkningshjälp!AC$2)+1,FALSE),"")</f>
        <v/>
      </c>
      <c r="I912" s="116" t="str">
        <f>IF(D912&lt;&gt;"",VLOOKUP(ROW(E911),Beräkningshjälp!AC$2:AI$1082,COLUMN(Beräkningshjälp!AI$2)-COLUMN(Beräkningshjälp!AC$2)+1,FALSE),"")</f>
        <v/>
      </c>
    </row>
    <row r="913" spans="1:9" x14ac:dyDescent="0.25">
      <c r="A913" s="2" t="str">
        <f t="shared" si="28"/>
        <v/>
      </c>
      <c r="B913" s="136" t="str">
        <f>IF(D913&lt;&gt;"",'DATA TILL SLU'!$J$3,"")</f>
        <v/>
      </c>
      <c r="C913" s="146" t="str">
        <f>IF(D913&lt;&gt;"",'DATA TILL SLU'!$K$3,"")</f>
        <v/>
      </c>
      <c r="D913" s="2" t="str">
        <f>IF('DATA TILL SLU'!$D$7*1&lt;&gt;"",IF(COUNT(Beräkningshjälp!$AC$3:$AC$1082)&gt;=ROW(D912),'DATA TILL SLU'!$D$7*1,""),"")</f>
        <v/>
      </c>
      <c r="E913" s="136" t="str">
        <f>IF(D913&lt;&gt;"",VLOOKUP(ROW(E912),Beräkningshjälp!AC$2:AH$1082,COLUMN(Beräkningshjälp!AF$2)-COLUMN(Beräkningshjälp!AC$2)+1,FALSE),"")</f>
        <v/>
      </c>
      <c r="F913" s="352" t="str">
        <f t="shared" si="29"/>
        <v/>
      </c>
      <c r="G913" s="2" t="str">
        <f>IF(D913&lt;&gt;"",IF(VLOOKUP(VLOOKUP(E913,Beräkningshjälp!O$2:U$60,7,FALSE),Artuppgifter!$I$11:$P$22,8,FALSE)=TRUE,"Medelvikter!!","ALLA"),"")</f>
        <v/>
      </c>
      <c r="H913" s="2" t="str">
        <f>IF(D913&lt;&gt;"",VLOOKUP(ROW(H912),Beräkningshjälp!AC$2:AH$1082,COLUMN(Beräkningshjälp!AH$2)-COLUMN(Beräkningshjälp!AC$2)+1,FALSE),"")</f>
        <v/>
      </c>
      <c r="I913" s="116" t="str">
        <f>IF(D913&lt;&gt;"",VLOOKUP(ROW(E912),Beräkningshjälp!AC$2:AI$1082,COLUMN(Beräkningshjälp!AI$2)-COLUMN(Beräkningshjälp!AC$2)+1,FALSE),"")</f>
        <v/>
      </c>
    </row>
    <row r="914" spans="1:9" x14ac:dyDescent="0.25">
      <c r="A914" s="2" t="str">
        <f t="shared" si="28"/>
        <v/>
      </c>
      <c r="B914" s="136" t="str">
        <f>IF(D914&lt;&gt;"",'DATA TILL SLU'!$J$3,"")</f>
        <v/>
      </c>
      <c r="C914" s="146" t="str">
        <f>IF(D914&lt;&gt;"",'DATA TILL SLU'!$K$3,"")</f>
        <v/>
      </c>
      <c r="D914" s="2" t="str">
        <f>IF('DATA TILL SLU'!$D$7*1&lt;&gt;"",IF(COUNT(Beräkningshjälp!$AC$3:$AC$1082)&gt;=ROW(D913),'DATA TILL SLU'!$D$7*1,""),"")</f>
        <v/>
      </c>
      <c r="E914" s="136" t="str">
        <f>IF(D914&lt;&gt;"",VLOOKUP(ROW(E913),Beräkningshjälp!AC$2:AH$1082,COLUMN(Beräkningshjälp!AF$2)-COLUMN(Beräkningshjälp!AC$2)+1,FALSE),"")</f>
        <v/>
      </c>
      <c r="F914" s="352" t="str">
        <f t="shared" si="29"/>
        <v/>
      </c>
      <c r="G914" s="2" t="str">
        <f>IF(D914&lt;&gt;"",IF(VLOOKUP(VLOOKUP(E914,Beräkningshjälp!O$2:U$60,7,FALSE),Artuppgifter!$I$11:$P$22,8,FALSE)=TRUE,"Medelvikter!!","ALLA"),"")</f>
        <v/>
      </c>
      <c r="H914" s="2" t="str">
        <f>IF(D914&lt;&gt;"",VLOOKUP(ROW(H913),Beräkningshjälp!AC$2:AH$1082,COLUMN(Beräkningshjälp!AH$2)-COLUMN(Beräkningshjälp!AC$2)+1,FALSE),"")</f>
        <v/>
      </c>
      <c r="I914" s="116" t="str">
        <f>IF(D914&lt;&gt;"",VLOOKUP(ROW(E913),Beräkningshjälp!AC$2:AI$1082,COLUMN(Beräkningshjälp!AI$2)-COLUMN(Beräkningshjälp!AC$2)+1,FALSE),"")</f>
        <v/>
      </c>
    </row>
    <row r="915" spans="1:9" x14ac:dyDescent="0.25">
      <c r="A915" s="2" t="str">
        <f t="shared" si="28"/>
        <v/>
      </c>
      <c r="B915" s="136" t="str">
        <f>IF(D915&lt;&gt;"",'DATA TILL SLU'!$J$3,"")</f>
        <v/>
      </c>
      <c r="C915" s="146" t="str">
        <f>IF(D915&lt;&gt;"",'DATA TILL SLU'!$K$3,"")</f>
        <v/>
      </c>
      <c r="D915" s="2" t="str">
        <f>IF('DATA TILL SLU'!$D$7*1&lt;&gt;"",IF(COUNT(Beräkningshjälp!$AC$3:$AC$1082)&gt;=ROW(D914),'DATA TILL SLU'!$D$7*1,""),"")</f>
        <v/>
      </c>
      <c r="E915" s="136" t="str">
        <f>IF(D915&lt;&gt;"",VLOOKUP(ROW(E914),Beräkningshjälp!AC$2:AH$1082,COLUMN(Beräkningshjälp!AF$2)-COLUMN(Beräkningshjälp!AC$2)+1,FALSE),"")</f>
        <v/>
      </c>
      <c r="F915" s="352" t="str">
        <f t="shared" si="29"/>
        <v/>
      </c>
      <c r="G915" s="2" t="str">
        <f>IF(D915&lt;&gt;"",IF(VLOOKUP(VLOOKUP(E915,Beräkningshjälp!O$2:U$60,7,FALSE),Artuppgifter!$I$11:$P$22,8,FALSE)=TRUE,"Medelvikter!!","ALLA"),"")</f>
        <v/>
      </c>
      <c r="H915" s="2" t="str">
        <f>IF(D915&lt;&gt;"",VLOOKUP(ROW(H914),Beräkningshjälp!AC$2:AH$1082,COLUMN(Beräkningshjälp!AH$2)-COLUMN(Beräkningshjälp!AC$2)+1,FALSE),"")</f>
        <v/>
      </c>
      <c r="I915" s="116" t="str">
        <f>IF(D915&lt;&gt;"",VLOOKUP(ROW(E914),Beräkningshjälp!AC$2:AI$1082,COLUMN(Beräkningshjälp!AI$2)-COLUMN(Beräkningshjälp!AC$2)+1,FALSE),"")</f>
        <v/>
      </c>
    </row>
    <row r="916" spans="1:9" x14ac:dyDescent="0.25">
      <c r="A916" s="2" t="str">
        <f t="shared" si="28"/>
        <v/>
      </c>
      <c r="B916" s="136" t="str">
        <f>IF(D916&lt;&gt;"",'DATA TILL SLU'!$J$3,"")</f>
        <v/>
      </c>
      <c r="C916" s="146" t="str">
        <f>IF(D916&lt;&gt;"",'DATA TILL SLU'!$K$3,"")</f>
        <v/>
      </c>
      <c r="D916" s="2" t="str">
        <f>IF('DATA TILL SLU'!$D$7*1&lt;&gt;"",IF(COUNT(Beräkningshjälp!$AC$3:$AC$1082)&gt;=ROW(D915),'DATA TILL SLU'!$D$7*1,""),"")</f>
        <v/>
      </c>
      <c r="E916" s="136" t="str">
        <f>IF(D916&lt;&gt;"",VLOOKUP(ROW(E915),Beräkningshjälp!AC$2:AH$1082,COLUMN(Beräkningshjälp!AF$2)-COLUMN(Beräkningshjälp!AC$2)+1,FALSE),"")</f>
        <v/>
      </c>
      <c r="F916" s="352" t="str">
        <f t="shared" si="29"/>
        <v/>
      </c>
      <c r="G916" s="2" t="str">
        <f>IF(D916&lt;&gt;"",IF(VLOOKUP(VLOOKUP(E916,Beräkningshjälp!O$2:U$60,7,FALSE),Artuppgifter!$I$11:$P$22,8,FALSE)=TRUE,"Medelvikter!!","ALLA"),"")</f>
        <v/>
      </c>
      <c r="H916" s="2" t="str">
        <f>IF(D916&lt;&gt;"",VLOOKUP(ROW(H915),Beräkningshjälp!AC$2:AH$1082,COLUMN(Beräkningshjälp!AH$2)-COLUMN(Beräkningshjälp!AC$2)+1,FALSE),"")</f>
        <v/>
      </c>
      <c r="I916" s="116" t="str">
        <f>IF(D916&lt;&gt;"",VLOOKUP(ROW(E915),Beräkningshjälp!AC$2:AI$1082,COLUMN(Beräkningshjälp!AI$2)-COLUMN(Beräkningshjälp!AC$2)+1,FALSE),"")</f>
        <v/>
      </c>
    </row>
    <row r="917" spans="1:9" x14ac:dyDescent="0.25">
      <c r="A917" s="2" t="str">
        <f t="shared" si="28"/>
        <v/>
      </c>
      <c r="B917" s="136" t="str">
        <f>IF(D917&lt;&gt;"",'DATA TILL SLU'!$J$3,"")</f>
        <v/>
      </c>
      <c r="C917" s="146" t="str">
        <f>IF(D917&lt;&gt;"",'DATA TILL SLU'!$K$3,"")</f>
        <v/>
      </c>
      <c r="D917" s="2" t="str">
        <f>IF('DATA TILL SLU'!$D$7*1&lt;&gt;"",IF(COUNT(Beräkningshjälp!$AC$3:$AC$1082)&gt;=ROW(D916),'DATA TILL SLU'!$D$7*1,""),"")</f>
        <v/>
      </c>
      <c r="E917" s="136" t="str">
        <f>IF(D917&lt;&gt;"",VLOOKUP(ROW(E916),Beräkningshjälp!AC$2:AH$1082,COLUMN(Beräkningshjälp!AF$2)-COLUMN(Beräkningshjälp!AC$2)+1,FALSE),"")</f>
        <v/>
      </c>
      <c r="F917" s="352" t="str">
        <f t="shared" si="29"/>
        <v/>
      </c>
      <c r="G917" s="2" t="str">
        <f>IF(D917&lt;&gt;"",IF(VLOOKUP(VLOOKUP(E917,Beräkningshjälp!O$2:U$60,7,FALSE),Artuppgifter!$I$11:$P$22,8,FALSE)=TRUE,"Medelvikter!!","ALLA"),"")</f>
        <v/>
      </c>
      <c r="H917" s="2" t="str">
        <f>IF(D917&lt;&gt;"",VLOOKUP(ROW(H916),Beräkningshjälp!AC$2:AH$1082,COLUMN(Beräkningshjälp!AH$2)-COLUMN(Beräkningshjälp!AC$2)+1,FALSE),"")</f>
        <v/>
      </c>
      <c r="I917" s="116" t="str">
        <f>IF(D917&lt;&gt;"",VLOOKUP(ROW(E916),Beräkningshjälp!AC$2:AI$1082,COLUMN(Beräkningshjälp!AI$2)-COLUMN(Beräkningshjälp!AC$2)+1,FALSE),"")</f>
        <v/>
      </c>
    </row>
    <row r="918" spans="1:9" x14ac:dyDescent="0.25">
      <c r="A918" s="2" t="str">
        <f t="shared" si="28"/>
        <v/>
      </c>
      <c r="B918" s="136" t="str">
        <f>IF(D918&lt;&gt;"",'DATA TILL SLU'!$J$3,"")</f>
        <v/>
      </c>
      <c r="C918" s="146" t="str">
        <f>IF(D918&lt;&gt;"",'DATA TILL SLU'!$K$3,"")</f>
        <v/>
      </c>
      <c r="D918" s="2" t="str">
        <f>IF('DATA TILL SLU'!$D$7*1&lt;&gt;"",IF(COUNT(Beräkningshjälp!$AC$3:$AC$1082)&gt;=ROW(D917),'DATA TILL SLU'!$D$7*1,""),"")</f>
        <v/>
      </c>
      <c r="E918" s="136" t="str">
        <f>IF(D918&lt;&gt;"",VLOOKUP(ROW(E917),Beräkningshjälp!AC$2:AH$1082,COLUMN(Beräkningshjälp!AF$2)-COLUMN(Beräkningshjälp!AC$2)+1,FALSE),"")</f>
        <v/>
      </c>
      <c r="F918" s="352" t="str">
        <f t="shared" si="29"/>
        <v/>
      </c>
      <c r="G918" s="2" t="str">
        <f>IF(D918&lt;&gt;"",IF(VLOOKUP(VLOOKUP(E918,Beräkningshjälp!O$2:U$60,7,FALSE),Artuppgifter!$I$11:$P$22,8,FALSE)=TRUE,"Medelvikter!!","ALLA"),"")</f>
        <v/>
      </c>
      <c r="H918" s="2" t="str">
        <f>IF(D918&lt;&gt;"",VLOOKUP(ROW(H917),Beräkningshjälp!AC$2:AH$1082,COLUMN(Beräkningshjälp!AH$2)-COLUMN(Beräkningshjälp!AC$2)+1,FALSE),"")</f>
        <v/>
      </c>
      <c r="I918" s="116" t="str">
        <f>IF(D918&lt;&gt;"",VLOOKUP(ROW(E917),Beräkningshjälp!AC$2:AI$1082,COLUMN(Beräkningshjälp!AI$2)-COLUMN(Beräkningshjälp!AC$2)+1,FALSE),"")</f>
        <v/>
      </c>
    </row>
    <row r="919" spans="1:9" x14ac:dyDescent="0.25">
      <c r="A919" s="2" t="str">
        <f t="shared" si="28"/>
        <v/>
      </c>
      <c r="B919" s="136" t="str">
        <f>IF(D919&lt;&gt;"",'DATA TILL SLU'!$J$3,"")</f>
        <v/>
      </c>
      <c r="C919" s="146" t="str">
        <f>IF(D919&lt;&gt;"",'DATA TILL SLU'!$K$3,"")</f>
        <v/>
      </c>
      <c r="D919" s="2" t="str">
        <f>IF('DATA TILL SLU'!$D$7*1&lt;&gt;"",IF(COUNT(Beräkningshjälp!$AC$3:$AC$1082)&gt;=ROW(D918),'DATA TILL SLU'!$D$7*1,""),"")</f>
        <v/>
      </c>
      <c r="E919" s="136" t="str">
        <f>IF(D919&lt;&gt;"",VLOOKUP(ROW(E918),Beräkningshjälp!AC$2:AH$1082,COLUMN(Beräkningshjälp!AF$2)-COLUMN(Beräkningshjälp!AC$2)+1,FALSE),"")</f>
        <v/>
      </c>
      <c r="F919" s="352" t="str">
        <f t="shared" si="29"/>
        <v/>
      </c>
      <c r="G919" s="2" t="str">
        <f>IF(D919&lt;&gt;"",IF(VLOOKUP(VLOOKUP(E919,Beräkningshjälp!O$2:U$60,7,FALSE),Artuppgifter!$I$11:$P$22,8,FALSE)=TRUE,"Medelvikter!!","ALLA"),"")</f>
        <v/>
      </c>
      <c r="H919" s="2" t="str">
        <f>IF(D919&lt;&gt;"",VLOOKUP(ROW(H918),Beräkningshjälp!AC$2:AH$1082,COLUMN(Beräkningshjälp!AH$2)-COLUMN(Beräkningshjälp!AC$2)+1,FALSE),"")</f>
        <v/>
      </c>
      <c r="I919" s="116" t="str">
        <f>IF(D919&lt;&gt;"",VLOOKUP(ROW(E918),Beräkningshjälp!AC$2:AI$1082,COLUMN(Beräkningshjälp!AI$2)-COLUMN(Beräkningshjälp!AC$2)+1,FALSE),"")</f>
        <v/>
      </c>
    </row>
    <row r="920" spans="1:9" x14ac:dyDescent="0.25">
      <c r="A920" s="2" t="str">
        <f t="shared" si="28"/>
        <v/>
      </c>
      <c r="B920" s="136" t="str">
        <f>IF(D920&lt;&gt;"",'DATA TILL SLU'!$J$3,"")</f>
        <v/>
      </c>
      <c r="C920" s="146" t="str">
        <f>IF(D920&lt;&gt;"",'DATA TILL SLU'!$K$3,"")</f>
        <v/>
      </c>
      <c r="D920" s="2" t="str">
        <f>IF('DATA TILL SLU'!$D$7*1&lt;&gt;"",IF(COUNT(Beräkningshjälp!$AC$3:$AC$1082)&gt;=ROW(D919),'DATA TILL SLU'!$D$7*1,""),"")</f>
        <v/>
      </c>
      <c r="E920" s="136" t="str">
        <f>IF(D920&lt;&gt;"",VLOOKUP(ROW(E919),Beräkningshjälp!AC$2:AH$1082,COLUMN(Beräkningshjälp!AF$2)-COLUMN(Beräkningshjälp!AC$2)+1,FALSE),"")</f>
        <v/>
      </c>
      <c r="F920" s="352" t="str">
        <f t="shared" si="29"/>
        <v/>
      </c>
      <c r="G920" s="2" t="str">
        <f>IF(D920&lt;&gt;"",IF(VLOOKUP(VLOOKUP(E920,Beräkningshjälp!O$2:U$60,7,FALSE),Artuppgifter!$I$11:$P$22,8,FALSE)=TRUE,"Medelvikter!!","ALLA"),"")</f>
        <v/>
      </c>
      <c r="H920" s="2" t="str">
        <f>IF(D920&lt;&gt;"",VLOOKUP(ROW(H919),Beräkningshjälp!AC$2:AH$1082,COLUMN(Beräkningshjälp!AH$2)-COLUMN(Beräkningshjälp!AC$2)+1,FALSE),"")</f>
        <v/>
      </c>
      <c r="I920" s="116" t="str">
        <f>IF(D920&lt;&gt;"",VLOOKUP(ROW(E919),Beräkningshjälp!AC$2:AI$1082,COLUMN(Beräkningshjälp!AI$2)-COLUMN(Beräkningshjälp!AC$2)+1,FALSE),"")</f>
        <v/>
      </c>
    </row>
    <row r="921" spans="1:9" x14ac:dyDescent="0.25">
      <c r="A921" s="2" t="str">
        <f t="shared" si="28"/>
        <v/>
      </c>
      <c r="B921" s="136" t="str">
        <f>IF(D921&lt;&gt;"",'DATA TILL SLU'!$J$3,"")</f>
        <v/>
      </c>
      <c r="C921" s="146" t="str">
        <f>IF(D921&lt;&gt;"",'DATA TILL SLU'!$K$3,"")</f>
        <v/>
      </c>
      <c r="D921" s="2" t="str">
        <f>IF('DATA TILL SLU'!$D$7*1&lt;&gt;"",IF(COUNT(Beräkningshjälp!$AC$3:$AC$1082)&gt;=ROW(D920),'DATA TILL SLU'!$D$7*1,""),"")</f>
        <v/>
      </c>
      <c r="E921" s="136" t="str">
        <f>IF(D921&lt;&gt;"",VLOOKUP(ROW(E920),Beräkningshjälp!AC$2:AH$1082,COLUMN(Beräkningshjälp!AF$2)-COLUMN(Beräkningshjälp!AC$2)+1,FALSE),"")</f>
        <v/>
      </c>
      <c r="F921" s="352" t="str">
        <f t="shared" si="29"/>
        <v/>
      </c>
      <c r="G921" s="2" t="str">
        <f>IF(D921&lt;&gt;"",IF(VLOOKUP(VLOOKUP(E921,Beräkningshjälp!O$2:U$60,7,FALSE),Artuppgifter!$I$11:$P$22,8,FALSE)=TRUE,"Medelvikter!!","ALLA"),"")</f>
        <v/>
      </c>
      <c r="H921" s="2" t="str">
        <f>IF(D921&lt;&gt;"",VLOOKUP(ROW(H920),Beräkningshjälp!AC$2:AH$1082,COLUMN(Beräkningshjälp!AH$2)-COLUMN(Beräkningshjälp!AC$2)+1,FALSE),"")</f>
        <v/>
      </c>
      <c r="I921" s="116" t="str">
        <f>IF(D921&lt;&gt;"",VLOOKUP(ROW(E920),Beräkningshjälp!AC$2:AI$1082,COLUMN(Beräkningshjälp!AI$2)-COLUMN(Beräkningshjälp!AC$2)+1,FALSE),"")</f>
        <v/>
      </c>
    </row>
    <row r="922" spans="1:9" x14ac:dyDescent="0.25">
      <c r="A922" s="2" t="str">
        <f t="shared" si="28"/>
        <v/>
      </c>
      <c r="B922" s="136" t="str">
        <f>IF(D922&lt;&gt;"",'DATA TILL SLU'!$J$3,"")</f>
        <v/>
      </c>
      <c r="C922" s="146" t="str">
        <f>IF(D922&lt;&gt;"",'DATA TILL SLU'!$K$3,"")</f>
        <v/>
      </c>
      <c r="D922" s="2" t="str">
        <f>IF('DATA TILL SLU'!$D$7*1&lt;&gt;"",IF(COUNT(Beräkningshjälp!$AC$3:$AC$1082)&gt;=ROW(D921),'DATA TILL SLU'!$D$7*1,""),"")</f>
        <v/>
      </c>
      <c r="E922" s="136" t="str">
        <f>IF(D922&lt;&gt;"",VLOOKUP(ROW(E921),Beräkningshjälp!AC$2:AH$1082,COLUMN(Beräkningshjälp!AF$2)-COLUMN(Beräkningshjälp!AC$2)+1,FALSE),"")</f>
        <v/>
      </c>
      <c r="F922" s="352" t="str">
        <f t="shared" si="29"/>
        <v/>
      </c>
      <c r="G922" s="2" t="str">
        <f>IF(D922&lt;&gt;"",IF(VLOOKUP(VLOOKUP(E922,Beräkningshjälp!O$2:U$60,7,FALSE),Artuppgifter!$I$11:$P$22,8,FALSE)=TRUE,"Medelvikter!!","ALLA"),"")</f>
        <v/>
      </c>
      <c r="H922" s="2" t="str">
        <f>IF(D922&lt;&gt;"",VLOOKUP(ROW(H921),Beräkningshjälp!AC$2:AH$1082,COLUMN(Beräkningshjälp!AH$2)-COLUMN(Beräkningshjälp!AC$2)+1,FALSE),"")</f>
        <v/>
      </c>
      <c r="I922" s="116" t="str">
        <f>IF(D922&lt;&gt;"",VLOOKUP(ROW(E921),Beräkningshjälp!AC$2:AI$1082,COLUMN(Beräkningshjälp!AI$2)-COLUMN(Beräkningshjälp!AC$2)+1,FALSE),"")</f>
        <v/>
      </c>
    </row>
    <row r="923" spans="1:9" x14ac:dyDescent="0.25">
      <c r="A923" s="2" t="str">
        <f t="shared" si="28"/>
        <v/>
      </c>
      <c r="B923" s="136" t="str">
        <f>IF(D923&lt;&gt;"",'DATA TILL SLU'!$J$3,"")</f>
        <v/>
      </c>
      <c r="C923" s="146" t="str">
        <f>IF(D923&lt;&gt;"",'DATA TILL SLU'!$K$3,"")</f>
        <v/>
      </c>
      <c r="D923" s="2" t="str">
        <f>IF('DATA TILL SLU'!$D$7*1&lt;&gt;"",IF(COUNT(Beräkningshjälp!$AC$3:$AC$1082)&gt;=ROW(D922),'DATA TILL SLU'!$D$7*1,""),"")</f>
        <v/>
      </c>
      <c r="E923" s="136" t="str">
        <f>IF(D923&lt;&gt;"",VLOOKUP(ROW(E922),Beräkningshjälp!AC$2:AH$1082,COLUMN(Beräkningshjälp!AF$2)-COLUMN(Beräkningshjälp!AC$2)+1,FALSE),"")</f>
        <v/>
      </c>
      <c r="F923" s="352" t="str">
        <f t="shared" si="29"/>
        <v/>
      </c>
      <c r="G923" s="2" t="str">
        <f>IF(D923&lt;&gt;"",IF(VLOOKUP(VLOOKUP(E923,Beräkningshjälp!O$2:U$60,7,FALSE),Artuppgifter!$I$11:$P$22,8,FALSE)=TRUE,"Medelvikter!!","ALLA"),"")</f>
        <v/>
      </c>
      <c r="H923" s="2" t="str">
        <f>IF(D923&lt;&gt;"",VLOOKUP(ROW(H922),Beräkningshjälp!AC$2:AH$1082,COLUMN(Beräkningshjälp!AH$2)-COLUMN(Beräkningshjälp!AC$2)+1,FALSE),"")</f>
        <v/>
      </c>
      <c r="I923" s="116" t="str">
        <f>IF(D923&lt;&gt;"",VLOOKUP(ROW(E922),Beräkningshjälp!AC$2:AI$1082,COLUMN(Beräkningshjälp!AI$2)-COLUMN(Beräkningshjälp!AC$2)+1,FALSE),"")</f>
        <v/>
      </c>
    </row>
    <row r="924" spans="1:9" x14ac:dyDescent="0.25">
      <c r="A924" s="2" t="str">
        <f t="shared" si="28"/>
        <v/>
      </c>
      <c r="B924" s="136" t="str">
        <f>IF(D924&lt;&gt;"",'DATA TILL SLU'!$J$3,"")</f>
        <v/>
      </c>
      <c r="C924" s="146" t="str">
        <f>IF(D924&lt;&gt;"",'DATA TILL SLU'!$K$3,"")</f>
        <v/>
      </c>
      <c r="D924" s="2" t="str">
        <f>IF('DATA TILL SLU'!$D$7*1&lt;&gt;"",IF(COUNT(Beräkningshjälp!$AC$3:$AC$1082)&gt;=ROW(D923),'DATA TILL SLU'!$D$7*1,""),"")</f>
        <v/>
      </c>
      <c r="E924" s="136" t="str">
        <f>IF(D924&lt;&gt;"",VLOOKUP(ROW(E923),Beräkningshjälp!AC$2:AH$1082,COLUMN(Beräkningshjälp!AF$2)-COLUMN(Beräkningshjälp!AC$2)+1,FALSE),"")</f>
        <v/>
      </c>
      <c r="F924" s="352" t="str">
        <f t="shared" si="29"/>
        <v/>
      </c>
      <c r="G924" s="2" t="str">
        <f>IF(D924&lt;&gt;"",IF(VLOOKUP(VLOOKUP(E924,Beräkningshjälp!O$2:U$60,7,FALSE),Artuppgifter!$I$11:$P$22,8,FALSE)=TRUE,"Medelvikter!!","ALLA"),"")</f>
        <v/>
      </c>
      <c r="H924" s="2" t="str">
        <f>IF(D924&lt;&gt;"",VLOOKUP(ROW(H923),Beräkningshjälp!AC$2:AH$1082,COLUMN(Beräkningshjälp!AH$2)-COLUMN(Beräkningshjälp!AC$2)+1,FALSE),"")</f>
        <v/>
      </c>
      <c r="I924" s="116" t="str">
        <f>IF(D924&lt;&gt;"",VLOOKUP(ROW(E923),Beräkningshjälp!AC$2:AI$1082,COLUMN(Beräkningshjälp!AI$2)-COLUMN(Beräkningshjälp!AC$2)+1,FALSE),"")</f>
        <v/>
      </c>
    </row>
    <row r="925" spans="1:9" x14ac:dyDescent="0.25">
      <c r="A925" s="2" t="str">
        <f t="shared" si="28"/>
        <v/>
      </c>
      <c r="B925" s="136" t="str">
        <f>IF(D925&lt;&gt;"",'DATA TILL SLU'!$J$3,"")</f>
        <v/>
      </c>
      <c r="C925" s="146" t="str">
        <f>IF(D925&lt;&gt;"",'DATA TILL SLU'!$K$3,"")</f>
        <v/>
      </c>
      <c r="D925" s="2" t="str">
        <f>IF('DATA TILL SLU'!$D$7*1&lt;&gt;"",IF(COUNT(Beräkningshjälp!$AC$3:$AC$1082)&gt;=ROW(D924),'DATA TILL SLU'!$D$7*1,""),"")</f>
        <v/>
      </c>
      <c r="E925" s="136" t="str">
        <f>IF(D925&lt;&gt;"",VLOOKUP(ROW(E924),Beräkningshjälp!AC$2:AH$1082,COLUMN(Beräkningshjälp!AF$2)-COLUMN(Beräkningshjälp!AC$2)+1,FALSE),"")</f>
        <v/>
      </c>
      <c r="F925" s="352" t="str">
        <f t="shared" si="29"/>
        <v/>
      </c>
      <c r="G925" s="2" t="str">
        <f>IF(D925&lt;&gt;"",IF(VLOOKUP(VLOOKUP(E925,Beräkningshjälp!O$2:U$60,7,FALSE),Artuppgifter!$I$11:$P$22,8,FALSE)=TRUE,"Medelvikter!!","ALLA"),"")</f>
        <v/>
      </c>
      <c r="H925" s="2" t="str">
        <f>IF(D925&lt;&gt;"",VLOOKUP(ROW(H924),Beräkningshjälp!AC$2:AH$1082,COLUMN(Beräkningshjälp!AH$2)-COLUMN(Beräkningshjälp!AC$2)+1,FALSE),"")</f>
        <v/>
      </c>
      <c r="I925" s="116" t="str">
        <f>IF(D925&lt;&gt;"",VLOOKUP(ROW(E924),Beräkningshjälp!AC$2:AI$1082,COLUMN(Beräkningshjälp!AI$2)-COLUMN(Beräkningshjälp!AC$2)+1,FALSE),"")</f>
        <v/>
      </c>
    </row>
    <row r="926" spans="1:9" x14ac:dyDescent="0.25">
      <c r="A926" s="2" t="str">
        <f t="shared" si="28"/>
        <v/>
      </c>
      <c r="B926" s="136" t="str">
        <f>IF(D926&lt;&gt;"",'DATA TILL SLU'!$J$3,"")</f>
        <v/>
      </c>
      <c r="C926" s="146" t="str">
        <f>IF(D926&lt;&gt;"",'DATA TILL SLU'!$K$3,"")</f>
        <v/>
      </c>
      <c r="D926" s="2" t="str">
        <f>IF('DATA TILL SLU'!$D$7*1&lt;&gt;"",IF(COUNT(Beräkningshjälp!$AC$3:$AC$1082)&gt;=ROW(D925),'DATA TILL SLU'!$D$7*1,""),"")</f>
        <v/>
      </c>
      <c r="E926" s="136" t="str">
        <f>IF(D926&lt;&gt;"",VLOOKUP(ROW(E925),Beräkningshjälp!AC$2:AH$1082,COLUMN(Beräkningshjälp!AF$2)-COLUMN(Beräkningshjälp!AC$2)+1,FALSE),"")</f>
        <v/>
      </c>
      <c r="F926" s="352" t="str">
        <f t="shared" si="29"/>
        <v/>
      </c>
      <c r="G926" s="2" t="str">
        <f>IF(D926&lt;&gt;"",IF(VLOOKUP(VLOOKUP(E926,Beräkningshjälp!O$2:U$60,7,FALSE),Artuppgifter!$I$11:$P$22,8,FALSE)=TRUE,"Medelvikter!!","ALLA"),"")</f>
        <v/>
      </c>
      <c r="H926" s="2" t="str">
        <f>IF(D926&lt;&gt;"",VLOOKUP(ROW(H925),Beräkningshjälp!AC$2:AH$1082,COLUMN(Beräkningshjälp!AH$2)-COLUMN(Beräkningshjälp!AC$2)+1,FALSE),"")</f>
        <v/>
      </c>
      <c r="I926" s="116" t="str">
        <f>IF(D926&lt;&gt;"",VLOOKUP(ROW(E925),Beräkningshjälp!AC$2:AI$1082,COLUMN(Beräkningshjälp!AI$2)-COLUMN(Beräkningshjälp!AC$2)+1,FALSE),"")</f>
        <v/>
      </c>
    </row>
    <row r="927" spans="1:9" x14ac:dyDescent="0.25">
      <c r="A927" s="2" t="str">
        <f t="shared" si="28"/>
        <v/>
      </c>
      <c r="B927" s="136" t="str">
        <f>IF(D927&lt;&gt;"",'DATA TILL SLU'!$J$3,"")</f>
        <v/>
      </c>
      <c r="C927" s="146" t="str">
        <f>IF(D927&lt;&gt;"",'DATA TILL SLU'!$K$3,"")</f>
        <v/>
      </c>
      <c r="D927" s="2" t="str">
        <f>IF('DATA TILL SLU'!$D$7*1&lt;&gt;"",IF(COUNT(Beräkningshjälp!$AC$3:$AC$1082)&gt;=ROW(D926),'DATA TILL SLU'!$D$7*1,""),"")</f>
        <v/>
      </c>
      <c r="E927" s="136" t="str">
        <f>IF(D927&lt;&gt;"",VLOOKUP(ROW(E926),Beräkningshjälp!AC$2:AH$1082,COLUMN(Beräkningshjälp!AF$2)-COLUMN(Beräkningshjälp!AC$2)+1,FALSE),"")</f>
        <v/>
      </c>
      <c r="F927" s="352" t="str">
        <f t="shared" si="29"/>
        <v/>
      </c>
      <c r="G927" s="2" t="str">
        <f>IF(D927&lt;&gt;"",IF(VLOOKUP(VLOOKUP(E927,Beräkningshjälp!O$2:U$60,7,FALSE),Artuppgifter!$I$11:$P$22,8,FALSE)=TRUE,"Medelvikter!!","ALLA"),"")</f>
        <v/>
      </c>
      <c r="H927" s="2" t="str">
        <f>IF(D927&lt;&gt;"",VLOOKUP(ROW(H926),Beräkningshjälp!AC$2:AH$1082,COLUMN(Beräkningshjälp!AH$2)-COLUMN(Beräkningshjälp!AC$2)+1,FALSE),"")</f>
        <v/>
      </c>
      <c r="I927" s="116" t="str">
        <f>IF(D927&lt;&gt;"",VLOOKUP(ROW(E926),Beräkningshjälp!AC$2:AI$1082,COLUMN(Beräkningshjälp!AI$2)-COLUMN(Beräkningshjälp!AC$2)+1,FALSE),"")</f>
        <v/>
      </c>
    </row>
    <row r="928" spans="1:9" x14ac:dyDescent="0.25">
      <c r="A928" s="2" t="str">
        <f t="shared" si="28"/>
        <v/>
      </c>
      <c r="B928" s="136" t="str">
        <f>IF(D928&lt;&gt;"",'DATA TILL SLU'!$J$3,"")</f>
        <v/>
      </c>
      <c r="C928" s="146" t="str">
        <f>IF(D928&lt;&gt;"",'DATA TILL SLU'!$K$3,"")</f>
        <v/>
      </c>
      <c r="D928" s="2" t="str">
        <f>IF('DATA TILL SLU'!$D$7*1&lt;&gt;"",IF(COUNT(Beräkningshjälp!$AC$3:$AC$1082)&gt;=ROW(D927),'DATA TILL SLU'!$D$7*1,""),"")</f>
        <v/>
      </c>
      <c r="E928" s="136" t="str">
        <f>IF(D928&lt;&gt;"",VLOOKUP(ROW(E927),Beräkningshjälp!AC$2:AH$1082,COLUMN(Beräkningshjälp!AF$2)-COLUMN(Beräkningshjälp!AC$2)+1,FALSE),"")</f>
        <v/>
      </c>
      <c r="F928" s="352" t="str">
        <f t="shared" si="29"/>
        <v/>
      </c>
      <c r="G928" s="2" t="str">
        <f>IF(D928&lt;&gt;"",IF(VLOOKUP(VLOOKUP(E928,Beräkningshjälp!O$2:U$60,7,FALSE),Artuppgifter!$I$11:$P$22,8,FALSE)=TRUE,"Medelvikter!!","ALLA"),"")</f>
        <v/>
      </c>
      <c r="H928" s="2" t="str">
        <f>IF(D928&lt;&gt;"",VLOOKUP(ROW(H927),Beräkningshjälp!AC$2:AH$1082,COLUMN(Beräkningshjälp!AH$2)-COLUMN(Beräkningshjälp!AC$2)+1,FALSE),"")</f>
        <v/>
      </c>
      <c r="I928" s="116" t="str">
        <f>IF(D928&lt;&gt;"",VLOOKUP(ROW(E927),Beräkningshjälp!AC$2:AI$1082,COLUMN(Beräkningshjälp!AI$2)-COLUMN(Beräkningshjälp!AC$2)+1,FALSE),"")</f>
        <v/>
      </c>
    </row>
    <row r="929" spans="1:9" x14ac:dyDescent="0.25">
      <c r="A929" s="2" t="str">
        <f t="shared" si="28"/>
        <v/>
      </c>
      <c r="B929" s="136" t="str">
        <f>IF(D929&lt;&gt;"",'DATA TILL SLU'!$J$3,"")</f>
        <v/>
      </c>
      <c r="C929" s="146" t="str">
        <f>IF(D929&lt;&gt;"",'DATA TILL SLU'!$K$3,"")</f>
        <v/>
      </c>
      <c r="D929" s="2" t="str">
        <f>IF('DATA TILL SLU'!$D$7*1&lt;&gt;"",IF(COUNT(Beräkningshjälp!$AC$3:$AC$1082)&gt;=ROW(D928),'DATA TILL SLU'!$D$7*1,""),"")</f>
        <v/>
      </c>
      <c r="E929" s="136" t="str">
        <f>IF(D929&lt;&gt;"",VLOOKUP(ROW(E928),Beräkningshjälp!AC$2:AH$1082,COLUMN(Beräkningshjälp!AF$2)-COLUMN(Beräkningshjälp!AC$2)+1,FALSE),"")</f>
        <v/>
      </c>
      <c r="F929" s="352" t="str">
        <f t="shared" si="29"/>
        <v/>
      </c>
      <c r="G929" s="2" t="str">
        <f>IF(D929&lt;&gt;"",IF(VLOOKUP(VLOOKUP(E929,Beräkningshjälp!O$2:U$60,7,FALSE),Artuppgifter!$I$11:$P$22,8,FALSE)=TRUE,"Medelvikter!!","ALLA"),"")</f>
        <v/>
      </c>
      <c r="H929" s="2" t="str">
        <f>IF(D929&lt;&gt;"",VLOOKUP(ROW(H928),Beräkningshjälp!AC$2:AH$1082,COLUMN(Beräkningshjälp!AH$2)-COLUMN(Beräkningshjälp!AC$2)+1,FALSE),"")</f>
        <v/>
      </c>
      <c r="I929" s="116" t="str">
        <f>IF(D929&lt;&gt;"",VLOOKUP(ROW(E928),Beräkningshjälp!AC$2:AI$1082,COLUMN(Beräkningshjälp!AI$2)-COLUMN(Beräkningshjälp!AC$2)+1,FALSE),"")</f>
        <v/>
      </c>
    </row>
    <row r="930" spans="1:9" x14ac:dyDescent="0.25">
      <c r="A930" s="2" t="str">
        <f t="shared" si="28"/>
        <v/>
      </c>
      <c r="B930" s="136" t="str">
        <f>IF(D930&lt;&gt;"",'DATA TILL SLU'!$J$3,"")</f>
        <v/>
      </c>
      <c r="C930" s="146" t="str">
        <f>IF(D930&lt;&gt;"",'DATA TILL SLU'!$K$3,"")</f>
        <v/>
      </c>
      <c r="D930" s="2" t="str">
        <f>IF('DATA TILL SLU'!$D$7*1&lt;&gt;"",IF(COUNT(Beräkningshjälp!$AC$3:$AC$1082)&gt;=ROW(D929),'DATA TILL SLU'!$D$7*1,""),"")</f>
        <v/>
      </c>
      <c r="E930" s="136" t="str">
        <f>IF(D930&lt;&gt;"",VLOOKUP(ROW(E929),Beräkningshjälp!AC$2:AH$1082,COLUMN(Beräkningshjälp!AF$2)-COLUMN(Beräkningshjälp!AC$2)+1,FALSE),"")</f>
        <v/>
      </c>
      <c r="F930" s="352" t="str">
        <f t="shared" si="29"/>
        <v/>
      </c>
      <c r="G930" s="2" t="str">
        <f>IF(D930&lt;&gt;"",IF(VLOOKUP(VLOOKUP(E930,Beräkningshjälp!O$2:U$60,7,FALSE),Artuppgifter!$I$11:$P$22,8,FALSE)=TRUE,"Medelvikter!!","ALLA"),"")</f>
        <v/>
      </c>
      <c r="H930" s="2" t="str">
        <f>IF(D930&lt;&gt;"",VLOOKUP(ROW(H929),Beräkningshjälp!AC$2:AH$1082,COLUMN(Beräkningshjälp!AH$2)-COLUMN(Beräkningshjälp!AC$2)+1,FALSE),"")</f>
        <v/>
      </c>
      <c r="I930" s="116" t="str">
        <f>IF(D930&lt;&gt;"",VLOOKUP(ROW(E929),Beräkningshjälp!AC$2:AI$1082,COLUMN(Beräkningshjälp!AI$2)-COLUMN(Beräkningshjälp!AC$2)+1,FALSE),"")</f>
        <v/>
      </c>
    </row>
    <row r="931" spans="1:9" x14ac:dyDescent="0.25">
      <c r="A931" s="2" t="str">
        <f t="shared" si="28"/>
        <v/>
      </c>
      <c r="B931" s="136" t="str">
        <f>IF(D931&lt;&gt;"",'DATA TILL SLU'!$J$3,"")</f>
        <v/>
      </c>
      <c r="C931" s="146" t="str">
        <f>IF(D931&lt;&gt;"",'DATA TILL SLU'!$K$3,"")</f>
        <v/>
      </c>
      <c r="D931" s="2" t="str">
        <f>IF('DATA TILL SLU'!$D$7*1&lt;&gt;"",IF(COUNT(Beräkningshjälp!$AC$3:$AC$1082)&gt;=ROW(D930),'DATA TILL SLU'!$D$7*1,""),"")</f>
        <v/>
      </c>
      <c r="E931" s="136" t="str">
        <f>IF(D931&lt;&gt;"",VLOOKUP(ROW(E930),Beräkningshjälp!AC$2:AH$1082,COLUMN(Beräkningshjälp!AF$2)-COLUMN(Beräkningshjälp!AC$2)+1,FALSE),"")</f>
        <v/>
      </c>
      <c r="F931" s="352" t="str">
        <f t="shared" si="29"/>
        <v/>
      </c>
      <c r="G931" s="2" t="str">
        <f>IF(D931&lt;&gt;"",IF(VLOOKUP(VLOOKUP(E931,Beräkningshjälp!O$2:U$60,7,FALSE),Artuppgifter!$I$11:$P$22,8,FALSE)=TRUE,"Medelvikter!!","ALLA"),"")</f>
        <v/>
      </c>
      <c r="H931" s="2" t="str">
        <f>IF(D931&lt;&gt;"",VLOOKUP(ROW(H930),Beräkningshjälp!AC$2:AH$1082,COLUMN(Beräkningshjälp!AH$2)-COLUMN(Beräkningshjälp!AC$2)+1,FALSE),"")</f>
        <v/>
      </c>
      <c r="I931" s="116" t="str">
        <f>IF(D931&lt;&gt;"",VLOOKUP(ROW(E930),Beräkningshjälp!AC$2:AI$1082,COLUMN(Beräkningshjälp!AI$2)-COLUMN(Beräkningshjälp!AC$2)+1,FALSE),"")</f>
        <v/>
      </c>
    </row>
    <row r="932" spans="1:9" x14ac:dyDescent="0.25">
      <c r="A932" s="2" t="str">
        <f t="shared" si="28"/>
        <v/>
      </c>
      <c r="B932" s="136" t="str">
        <f>IF(D932&lt;&gt;"",'DATA TILL SLU'!$J$3,"")</f>
        <v/>
      </c>
      <c r="C932" s="146" t="str">
        <f>IF(D932&lt;&gt;"",'DATA TILL SLU'!$K$3,"")</f>
        <v/>
      </c>
      <c r="D932" s="2" t="str">
        <f>IF('DATA TILL SLU'!$D$7*1&lt;&gt;"",IF(COUNT(Beräkningshjälp!$AC$3:$AC$1082)&gt;=ROW(D931),'DATA TILL SLU'!$D$7*1,""),"")</f>
        <v/>
      </c>
      <c r="E932" s="136" t="str">
        <f>IF(D932&lt;&gt;"",VLOOKUP(ROW(E931),Beräkningshjälp!AC$2:AH$1082,COLUMN(Beräkningshjälp!AF$2)-COLUMN(Beräkningshjälp!AC$2)+1,FALSE),"")</f>
        <v/>
      </c>
      <c r="F932" s="352" t="str">
        <f t="shared" si="29"/>
        <v/>
      </c>
      <c r="G932" s="2" t="str">
        <f>IF(D932&lt;&gt;"",IF(VLOOKUP(VLOOKUP(E932,Beräkningshjälp!O$2:U$60,7,FALSE),Artuppgifter!$I$11:$P$22,8,FALSE)=TRUE,"Medelvikter!!","ALLA"),"")</f>
        <v/>
      </c>
      <c r="H932" s="2" t="str">
        <f>IF(D932&lt;&gt;"",VLOOKUP(ROW(H931),Beräkningshjälp!AC$2:AH$1082,COLUMN(Beräkningshjälp!AH$2)-COLUMN(Beräkningshjälp!AC$2)+1,FALSE),"")</f>
        <v/>
      </c>
      <c r="I932" s="116" t="str">
        <f>IF(D932&lt;&gt;"",VLOOKUP(ROW(E931),Beräkningshjälp!AC$2:AI$1082,COLUMN(Beräkningshjälp!AI$2)-COLUMN(Beräkningshjälp!AC$2)+1,FALSE),"")</f>
        <v/>
      </c>
    </row>
    <row r="933" spans="1:9" x14ac:dyDescent="0.25">
      <c r="A933" s="2" t="str">
        <f t="shared" si="28"/>
        <v/>
      </c>
      <c r="B933" s="136" t="str">
        <f>IF(D933&lt;&gt;"",'DATA TILL SLU'!$J$3,"")</f>
        <v/>
      </c>
      <c r="C933" s="146" t="str">
        <f>IF(D933&lt;&gt;"",'DATA TILL SLU'!$K$3,"")</f>
        <v/>
      </c>
      <c r="D933" s="2" t="str">
        <f>IF('DATA TILL SLU'!$D$7*1&lt;&gt;"",IF(COUNT(Beräkningshjälp!$AC$3:$AC$1082)&gt;=ROW(D932),'DATA TILL SLU'!$D$7*1,""),"")</f>
        <v/>
      </c>
      <c r="E933" s="136" t="str">
        <f>IF(D933&lt;&gt;"",VLOOKUP(ROW(E932),Beräkningshjälp!AC$2:AH$1082,COLUMN(Beräkningshjälp!AF$2)-COLUMN(Beräkningshjälp!AC$2)+1,FALSE),"")</f>
        <v/>
      </c>
      <c r="F933" s="352" t="str">
        <f t="shared" si="29"/>
        <v/>
      </c>
      <c r="G933" s="2" t="str">
        <f>IF(D933&lt;&gt;"",IF(VLOOKUP(VLOOKUP(E933,Beräkningshjälp!O$2:U$60,7,FALSE),Artuppgifter!$I$11:$P$22,8,FALSE)=TRUE,"Medelvikter!!","ALLA"),"")</f>
        <v/>
      </c>
      <c r="H933" s="2" t="str">
        <f>IF(D933&lt;&gt;"",VLOOKUP(ROW(H932),Beräkningshjälp!AC$2:AH$1082,COLUMN(Beräkningshjälp!AH$2)-COLUMN(Beräkningshjälp!AC$2)+1,FALSE),"")</f>
        <v/>
      </c>
      <c r="I933" s="116" t="str">
        <f>IF(D933&lt;&gt;"",VLOOKUP(ROW(E932),Beräkningshjälp!AC$2:AI$1082,COLUMN(Beräkningshjälp!AI$2)-COLUMN(Beräkningshjälp!AC$2)+1,FALSE),"")</f>
        <v/>
      </c>
    </row>
    <row r="934" spans="1:9" x14ac:dyDescent="0.25">
      <c r="A934" s="2" t="str">
        <f t="shared" si="28"/>
        <v/>
      </c>
      <c r="B934" s="136" t="str">
        <f>IF(D934&lt;&gt;"",'DATA TILL SLU'!$J$3,"")</f>
        <v/>
      </c>
      <c r="C934" s="146" t="str">
        <f>IF(D934&lt;&gt;"",'DATA TILL SLU'!$K$3,"")</f>
        <v/>
      </c>
      <c r="D934" s="2" t="str">
        <f>IF('DATA TILL SLU'!$D$7*1&lt;&gt;"",IF(COUNT(Beräkningshjälp!$AC$3:$AC$1082)&gt;=ROW(D933),'DATA TILL SLU'!$D$7*1,""),"")</f>
        <v/>
      </c>
      <c r="E934" s="136" t="str">
        <f>IF(D934&lt;&gt;"",VLOOKUP(ROW(E933),Beräkningshjälp!AC$2:AH$1082,COLUMN(Beräkningshjälp!AF$2)-COLUMN(Beräkningshjälp!AC$2)+1,FALSE),"")</f>
        <v/>
      </c>
      <c r="F934" s="352" t="str">
        <f t="shared" si="29"/>
        <v/>
      </c>
      <c r="G934" s="2" t="str">
        <f>IF(D934&lt;&gt;"",IF(VLOOKUP(VLOOKUP(E934,Beräkningshjälp!O$2:U$60,7,FALSE),Artuppgifter!$I$11:$P$22,8,FALSE)=TRUE,"Medelvikter!!","ALLA"),"")</f>
        <v/>
      </c>
      <c r="H934" s="2" t="str">
        <f>IF(D934&lt;&gt;"",VLOOKUP(ROW(H933),Beräkningshjälp!AC$2:AH$1082,COLUMN(Beräkningshjälp!AH$2)-COLUMN(Beräkningshjälp!AC$2)+1,FALSE),"")</f>
        <v/>
      </c>
      <c r="I934" s="116" t="str">
        <f>IF(D934&lt;&gt;"",VLOOKUP(ROW(E933),Beräkningshjälp!AC$2:AI$1082,COLUMN(Beräkningshjälp!AI$2)-COLUMN(Beräkningshjälp!AC$2)+1,FALSE),"")</f>
        <v/>
      </c>
    </row>
    <row r="935" spans="1:9" x14ac:dyDescent="0.25">
      <c r="A935" s="2" t="str">
        <f t="shared" si="28"/>
        <v/>
      </c>
      <c r="B935" s="136" t="str">
        <f>IF(D935&lt;&gt;"",'DATA TILL SLU'!$J$3,"")</f>
        <v/>
      </c>
      <c r="C935" s="146" t="str">
        <f>IF(D935&lt;&gt;"",'DATA TILL SLU'!$K$3,"")</f>
        <v/>
      </c>
      <c r="D935" s="2" t="str">
        <f>IF('DATA TILL SLU'!$D$7*1&lt;&gt;"",IF(COUNT(Beräkningshjälp!$AC$3:$AC$1082)&gt;=ROW(D934),'DATA TILL SLU'!$D$7*1,""),"")</f>
        <v/>
      </c>
      <c r="E935" s="136" t="str">
        <f>IF(D935&lt;&gt;"",VLOOKUP(ROW(E934),Beräkningshjälp!AC$2:AH$1082,COLUMN(Beräkningshjälp!AF$2)-COLUMN(Beräkningshjälp!AC$2)+1,FALSE),"")</f>
        <v/>
      </c>
      <c r="F935" s="352" t="str">
        <f t="shared" si="29"/>
        <v/>
      </c>
      <c r="G935" s="2" t="str">
        <f>IF(D935&lt;&gt;"",IF(VLOOKUP(VLOOKUP(E935,Beräkningshjälp!O$2:U$60,7,FALSE),Artuppgifter!$I$11:$P$22,8,FALSE)=TRUE,"Medelvikter!!","ALLA"),"")</f>
        <v/>
      </c>
      <c r="H935" s="2" t="str">
        <f>IF(D935&lt;&gt;"",VLOOKUP(ROW(H934),Beräkningshjälp!AC$2:AH$1082,COLUMN(Beräkningshjälp!AH$2)-COLUMN(Beräkningshjälp!AC$2)+1,FALSE),"")</f>
        <v/>
      </c>
      <c r="I935" s="116" t="str">
        <f>IF(D935&lt;&gt;"",VLOOKUP(ROW(E934),Beräkningshjälp!AC$2:AI$1082,COLUMN(Beräkningshjälp!AI$2)-COLUMN(Beräkningshjälp!AC$2)+1,FALSE),"")</f>
        <v/>
      </c>
    </row>
    <row r="936" spans="1:9" x14ac:dyDescent="0.25">
      <c r="A936" s="2" t="str">
        <f t="shared" si="28"/>
        <v/>
      </c>
      <c r="B936" s="136" t="str">
        <f>IF(D936&lt;&gt;"",'DATA TILL SLU'!$J$3,"")</f>
        <v/>
      </c>
      <c r="C936" s="146" t="str">
        <f>IF(D936&lt;&gt;"",'DATA TILL SLU'!$K$3,"")</f>
        <v/>
      </c>
      <c r="D936" s="2" t="str">
        <f>IF('DATA TILL SLU'!$D$7*1&lt;&gt;"",IF(COUNT(Beräkningshjälp!$AC$3:$AC$1082)&gt;=ROW(D935),'DATA TILL SLU'!$D$7*1,""),"")</f>
        <v/>
      </c>
      <c r="E936" s="136" t="str">
        <f>IF(D936&lt;&gt;"",VLOOKUP(ROW(E935),Beräkningshjälp!AC$2:AH$1082,COLUMN(Beräkningshjälp!AF$2)-COLUMN(Beräkningshjälp!AC$2)+1,FALSE),"")</f>
        <v/>
      </c>
      <c r="F936" s="352" t="str">
        <f t="shared" si="29"/>
        <v/>
      </c>
      <c r="G936" s="2" t="str">
        <f>IF(D936&lt;&gt;"",IF(VLOOKUP(VLOOKUP(E936,Beräkningshjälp!O$2:U$60,7,FALSE),Artuppgifter!$I$11:$P$22,8,FALSE)=TRUE,"Medelvikter!!","ALLA"),"")</f>
        <v/>
      </c>
      <c r="H936" s="2" t="str">
        <f>IF(D936&lt;&gt;"",VLOOKUP(ROW(H935),Beräkningshjälp!AC$2:AH$1082,COLUMN(Beräkningshjälp!AH$2)-COLUMN(Beräkningshjälp!AC$2)+1,FALSE),"")</f>
        <v/>
      </c>
      <c r="I936" s="116" t="str">
        <f>IF(D936&lt;&gt;"",VLOOKUP(ROW(E935),Beräkningshjälp!AC$2:AI$1082,COLUMN(Beräkningshjälp!AI$2)-COLUMN(Beräkningshjälp!AC$2)+1,FALSE),"")</f>
        <v/>
      </c>
    </row>
    <row r="937" spans="1:9" x14ac:dyDescent="0.25">
      <c r="A937" s="2" t="str">
        <f t="shared" si="28"/>
        <v/>
      </c>
      <c r="B937" s="136" t="str">
        <f>IF(D937&lt;&gt;"",'DATA TILL SLU'!$J$3,"")</f>
        <v/>
      </c>
      <c r="C937" s="146" t="str">
        <f>IF(D937&lt;&gt;"",'DATA TILL SLU'!$K$3,"")</f>
        <v/>
      </c>
      <c r="D937" s="2" t="str">
        <f>IF('DATA TILL SLU'!$D$7*1&lt;&gt;"",IF(COUNT(Beräkningshjälp!$AC$3:$AC$1082)&gt;=ROW(D936),'DATA TILL SLU'!$D$7*1,""),"")</f>
        <v/>
      </c>
      <c r="E937" s="136" t="str">
        <f>IF(D937&lt;&gt;"",VLOOKUP(ROW(E936),Beräkningshjälp!AC$2:AH$1082,COLUMN(Beräkningshjälp!AF$2)-COLUMN(Beräkningshjälp!AC$2)+1,FALSE),"")</f>
        <v/>
      </c>
      <c r="F937" s="352" t="str">
        <f t="shared" si="29"/>
        <v/>
      </c>
      <c r="G937" s="2" t="str">
        <f>IF(D937&lt;&gt;"",IF(VLOOKUP(VLOOKUP(E937,Beräkningshjälp!O$2:U$60,7,FALSE),Artuppgifter!$I$11:$P$22,8,FALSE)=TRUE,"Medelvikter!!","ALLA"),"")</f>
        <v/>
      </c>
      <c r="H937" s="2" t="str">
        <f>IF(D937&lt;&gt;"",VLOOKUP(ROW(H936),Beräkningshjälp!AC$2:AH$1082,COLUMN(Beräkningshjälp!AH$2)-COLUMN(Beräkningshjälp!AC$2)+1,FALSE),"")</f>
        <v/>
      </c>
      <c r="I937" s="116" t="str">
        <f>IF(D937&lt;&gt;"",VLOOKUP(ROW(E936),Beräkningshjälp!AC$2:AI$1082,COLUMN(Beräkningshjälp!AI$2)-COLUMN(Beräkningshjälp!AC$2)+1,FALSE),"")</f>
        <v/>
      </c>
    </row>
    <row r="938" spans="1:9" x14ac:dyDescent="0.25">
      <c r="A938" s="2" t="str">
        <f t="shared" si="28"/>
        <v/>
      </c>
      <c r="B938" s="136" t="str">
        <f>IF(D938&lt;&gt;"",'DATA TILL SLU'!$J$3,"")</f>
        <v/>
      </c>
      <c r="C938" s="146" t="str">
        <f>IF(D938&lt;&gt;"",'DATA TILL SLU'!$K$3,"")</f>
        <v/>
      </c>
      <c r="D938" s="2" t="str">
        <f>IF('DATA TILL SLU'!$D$7*1&lt;&gt;"",IF(COUNT(Beräkningshjälp!$AC$3:$AC$1082)&gt;=ROW(D937),'DATA TILL SLU'!$D$7*1,""),"")</f>
        <v/>
      </c>
      <c r="E938" s="136" t="str">
        <f>IF(D938&lt;&gt;"",VLOOKUP(ROW(E937),Beräkningshjälp!AC$2:AH$1082,COLUMN(Beräkningshjälp!AF$2)-COLUMN(Beräkningshjälp!AC$2)+1,FALSE),"")</f>
        <v/>
      </c>
      <c r="F938" s="352" t="str">
        <f t="shared" si="29"/>
        <v/>
      </c>
      <c r="G938" s="2" t="str">
        <f>IF(D938&lt;&gt;"",IF(VLOOKUP(VLOOKUP(E938,Beräkningshjälp!O$2:U$60,7,FALSE),Artuppgifter!$I$11:$P$22,8,FALSE)=TRUE,"Medelvikter!!","ALLA"),"")</f>
        <v/>
      </c>
      <c r="H938" s="2" t="str">
        <f>IF(D938&lt;&gt;"",VLOOKUP(ROW(H937),Beräkningshjälp!AC$2:AH$1082,COLUMN(Beräkningshjälp!AH$2)-COLUMN(Beräkningshjälp!AC$2)+1,FALSE),"")</f>
        <v/>
      </c>
      <c r="I938" s="116" t="str">
        <f>IF(D938&lt;&gt;"",VLOOKUP(ROW(E937),Beräkningshjälp!AC$2:AI$1082,COLUMN(Beräkningshjälp!AI$2)-COLUMN(Beräkningshjälp!AC$2)+1,FALSE),"")</f>
        <v/>
      </c>
    </row>
    <row r="939" spans="1:9" x14ac:dyDescent="0.25">
      <c r="A939" s="2" t="str">
        <f t="shared" si="28"/>
        <v/>
      </c>
      <c r="B939" s="136" t="str">
        <f>IF(D939&lt;&gt;"",'DATA TILL SLU'!$J$3,"")</f>
        <v/>
      </c>
      <c r="C939" s="146" t="str">
        <f>IF(D939&lt;&gt;"",'DATA TILL SLU'!$K$3,"")</f>
        <v/>
      </c>
      <c r="D939" s="2" t="str">
        <f>IF('DATA TILL SLU'!$D$7*1&lt;&gt;"",IF(COUNT(Beräkningshjälp!$AC$3:$AC$1082)&gt;=ROW(D938),'DATA TILL SLU'!$D$7*1,""),"")</f>
        <v/>
      </c>
      <c r="E939" s="136" t="str">
        <f>IF(D939&lt;&gt;"",VLOOKUP(ROW(E938),Beräkningshjälp!AC$2:AH$1082,COLUMN(Beräkningshjälp!AF$2)-COLUMN(Beräkningshjälp!AC$2)+1,FALSE),"")</f>
        <v/>
      </c>
      <c r="F939" s="352" t="str">
        <f t="shared" si="29"/>
        <v/>
      </c>
      <c r="G939" s="2" t="str">
        <f>IF(D939&lt;&gt;"",IF(VLOOKUP(VLOOKUP(E939,Beräkningshjälp!O$2:U$60,7,FALSE),Artuppgifter!$I$11:$P$22,8,FALSE)=TRUE,"Medelvikter!!","ALLA"),"")</f>
        <v/>
      </c>
      <c r="H939" s="2" t="str">
        <f>IF(D939&lt;&gt;"",VLOOKUP(ROW(H938),Beräkningshjälp!AC$2:AH$1082,COLUMN(Beräkningshjälp!AH$2)-COLUMN(Beräkningshjälp!AC$2)+1,FALSE),"")</f>
        <v/>
      </c>
      <c r="I939" s="116" t="str">
        <f>IF(D939&lt;&gt;"",VLOOKUP(ROW(E938),Beräkningshjälp!AC$2:AI$1082,COLUMN(Beräkningshjälp!AI$2)-COLUMN(Beräkningshjälp!AC$2)+1,FALSE),"")</f>
        <v/>
      </c>
    </row>
    <row r="940" spans="1:9" x14ac:dyDescent="0.25">
      <c r="A940" s="2" t="str">
        <f t="shared" si="28"/>
        <v/>
      </c>
      <c r="B940" s="136" t="str">
        <f>IF(D940&lt;&gt;"",'DATA TILL SLU'!$J$3,"")</f>
        <v/>
      </c>
      <c r="C940" s="146" t="str">
        <f>IF(D940&lt;&gt;"",'DATA TILL SLU'!$K$3,"")</f>
        <v/>
      </c>
      <c r="D940" s="2" t="str">
        <f>IF('DATA TILL SLU'!$D$7*1&lt;&gt;"",IF(COUNT(Beräkningshjälp!$AC$3:$AC$1082)&gt;=ROW(D939),'DATA TILL SLU'!$D$7*1,""),"")</f>
        <v/>
      </c>
      <c r="E940" s="136" t="str">
        <f>IF(D940&lt;&gt;"",VLOOKUP(ROW(E939),Beräkningshjälp!AC$2:AH$1082,COLUMN(Beräkningshjälp!AF$2)-COLUMN(Beräkningshjälp!AC$2)+1,FALSE),"")</f>
        <v/>
      </c>
      <c r="F940" s="352" t="str">
        <f t="shared" si="29"/>
        <v/>
      </c>
      <c r="G940" s="2" t="str">
        <f>IF(D940&lt;&gt;"",IF(VLOOKUP(VLOOKUP(E940,Beräkningshjälp!O$2:U$60,7,FALSE),Artuppgifter!$I$11:$P$22,8,FALSE)=TRUE,"Medelvikter!!","ALLA"),"")</f>
        <v/>
      </c>
      <c r="H940" s="2" t="str">
        <f>IF(D940&lt;&gt;"",VLOOKUP(ROW(H939),Beräkningshjälp!AC$2:AH$1082,COLUMN(Beräkningshjälp!AH$2)-COLUMN(Beräkningshjälp!AC$2)+1,FALSE),"")</f>
        <v/>
      </c>
      <c r="I940" s="116" t="str">
        <f>IF(D940&lt;&gt;"",VLOOKUP(ROW(E939),Beräkningshjälp!AC$2:AI$1082,COLUMN(Beräkningshjälp!AI$2)-COLUMN(Beräkningshjälp!AC$2)+1,FALSE),"")</f>
        <v/>
      </c>
    </row>
    <row r="941" spans="1:9" x14ac:dyDescent="0.25">
      <c r="A941" s="2" t="str">
        <f t="shared" si="28"/>
        <v/>
      </c>
      <c r="B941" s="136" t="str">
        <f>IF(D941&lt;&gt;"",'DATA TILL SLU'!$J$3,"")</f>
        <v/>
      </c>
      <c r="C941" s="146" t="str">
        <f>IF(D941&lt;&gt;"",'DATA TILL SLU'!$K$3,"")</f>
        <v/>
      </c>
      <c r="D941" s="2" t="str">
        <f>IF('DATA TILL SLU'!$D$7*1&lt;&gt;"",IF(COUNT(Beräkningshjälp!$AC$3:$AC$1082)&gt;=ROW(D940),'DATA TILL SLU'!$D$7*1,""),"")</f>
        <v/>
      </c>
      <c r="E941" s="136" t="str">
        <f>IF(D941&lt;&gt;"",VLOOKUP(ROW(E940),Beräkningshjälp!AC$2:AH$1082,COLUMN(Beräkningshjälp!AF$2)-COLUMN(Beräkningshjälp!AC$2)+1,FALSE),"")</f>
        <v/>
      </c>
      <c r="F941" s="352" t="str">
        <f t="shared" si="29"/>
        <v/>
      </c>
      <c r="G941" s="2" t="str">
        <f>IF(D941&lt;&gt;"",IF(VLOOKUP(VLOOKUP(E941,Beräkningshjälp!O$2:U$60,7,FALSE),Artuppgifter!$I$11:$P$22,8,FALSE)=TRUE,"Medelvikter!!","ALLA"),"")</f>
        <v/>
      </c>
      <c r="H941" s="2" t="str">
        <f>IF(D941&lt;&gt;"",VLOOKUP(ROW(H940),Beräkningshjälp!AC$2:AH$1082,COLUMN(Beräkningshjälp!AH$2)-COLUMN(Beräkningshjälp!AC$2)+1,FALSE),"")</f>
        <v/>
      </c>
      <c r="I941" s="116" t="str">
        <f>IF(D941&lt;&gt;"",VLOOKUP(ROW(E940),Beräkningshjälp!AC$2:AI$1082,COLUMN(Beräkningshjälp!AI$2)-COLUMN(Beräkningshjälp!AC$2)+1,FALSE),"")</f>
        <v/>
      </c>
    </row>
    <row r="942" spans="1:9" x14ac:dyDescent="0.25">
      <c r="A942" s="2" t="str">
        <f t="shared" si="28"/>
        <v/>
      </c>
      <c r="B942" s="136" t="str">
        <f>IF(D942&lt;&gt;"",'DATA TILL SLU'!$J$3,"")</f>
        <v/>
      </c>
      <c r="C942" s="146" t="str">
        <f>IF(D942&lt;&gt;"",'DATA TILL SLU'!$K$3,"")</f>
        <v/>
      </c>
      <c r="D942" s="2" t="str">
        <f>IF('DATA TILL SLU'!$D$7*1&lt;&gt;"",IF(COUNT(Beräkningshjälp!$AC$3:$AC$1082)&gt;=ROW(D941),'DATA TILL SLU'!$D$7*1,""),"")</f>
        <v/>
      </c>
      <c r="E942" s="136" t="str">
        <f>IF(D942&lt;&gt;"",VLOOKUP(ROW(E941),Beräkningshjälp!AC$2:AH$1082,COLUMN(Beräkningshjälp!AF$2)-COLUMN(Beräkningshjälp!AC$2)+1,FALSE),"")</f>
        <v/>
      </c>
      <c r="F942" s="352" t="str">
        <f t="shared" si="29"/>
        <v/>
      </c>
      <c r="G942" s="2" t="str">
        <f>IF(D942&lt;&gt;"",IF(VLOOKUP(VLOOKUP(E942,Beräkningshjälp!O$2:U$60,7,FALSE),Artuppgifter!$I$11:$P$22,8,FALSE)=TRUE,"Medelvikter!!","ALLA"),"")</f>
        <v/>
      </c>
      <c r="H942" s="2" t="str">
        <f>IF(D942&lt;&gt;"",VLOOKUP(ROW(H941),Beräkningshjälp!AC$2:AH$1082,COLUMN(Beräkningshjälp!AH$2)-COLUMN(Beräkningshjälp!AC$2)+1,FALSE),"")</f>
        <v/>
      </c>
      <c r="I942" s="116" t="str">
        <f>IF(D942&lt;&gt;"",VLOOKUP(ROW(E941),Beräkningshjälp!AC$2:AI$1082,COLUMN(Beräkningshjälp!AI$2)-COLUMN(Beräkningshjälp!AC$2)+1,FALSE),"")</f>
        <v/>
      </c>
    </row>
    <row r="943" spans="1:9" x14ac:dyDescent="0.25">
      <c r="A943" s="2" t="str">
        <f t="shared" si="28"/>
        <v/>
      </c>
      <c r="B943" s="136" t="str">
        <f>IF(D943&lt;&gt;"",'DATA TILL SLU'!$J$3,"")</f>
        <v/>
      </c>
      <c r="C943" s="146" t="str">
        <f>IF(D943&lt;&gt;"",'DATA TILL SLU'!$K$3,"")</f>
        <v/>
      </c>
      <c r="D943" s="2" t="str">
        <f>IF('DATA TILL SLU'!$D$7*1&lt;&gt;"",IF(COUNT(Beräkningshjälp!$AC$3:$AC$1082)&gt;=ROW(D942),'DATA TILL SLU'!$D$7*1,""),"")</f>
        <v/>
      </c>
      <c r="E943" s="136" t="str">
        <f>IF(D943&lt;&gt;"",VLOOKUP(ROW(E942),Beräkningshjälp!AC$2:AH$1082,COLUMN(Beräkningshjälp!AF$2)-COLUMN(Beräkningshjälp!AC$2)+1,FALSE),"")</f>
        <v/>
      </c>
      <c r="F943" s="352" t="str">
        <f t="shared" si="29"/>
        <v/>
      </c>
      <c r="G943" s="2" t="str">
        <f>IF(D943&lt;&gt;"",IF(VLOOKUP(VLOOKUP(E943,Beräkningshjälp!O$2:U$60,7,FALSE),Artuppgifter!$I$11:$P$22,8,FALSE)=TRUE,"Medelvikter!!","ALLA"),"")</f>
        <v/>
      </c>
      <c r="H943" s="2" t="str">
        <f>IF(D943&lt;&gt;"",VLOOKUP(ROW(H942),Beräkningshjälp!AC$2:AH$1082,COLUMN(Beräkningshjälp!AH$2)-COLUMN(Beräkningshjälp!AC$2)+1,FALSE),"")</f>
        <v/>
      </c>
      <c r="I943" s="116" t="str">
        <f>IF(D943&lt;&gt;"",VLOOKUP(ROW(E942),Beräkningshjälp!AC$2:AI$1082,COLUMN(Beräkningshjälp!AI$2)-COLUMN(Beräkningshjälp!AC$2)+1,FALSE),"")</f>
        <v/>
      </c>
    </row>
    <row r="944" spans="1:9" x14ac:dyDescent="0.25">
      <c r="A944" s="2" t="str">
        <f t="shared" si="28"/>
        <v/>
      </c>
      <c r="B944" s="136" t="str">
        <f>IF(D944&lt;&gt;"",'DATA TILL SLU'!$J$3,"")</f>
        <v/>
      </c>
      <c r="C944" s="146" t="str">
        <f>IF(D944&lt;&gt;"",'DATA TILL SLU'!$K$3,"")</f>
        <v/>
      </c>
      <c r="D944" s="2" t="str">
        <f>IF('DATA TILL SLU'!$D$7*1&lt;&gt;"",IF(COUNT(Beräkningshjälp!$AC$3:$AC$1082)&gt;=ROW(D943),'DATA TILL SLU'!$D$7*1,""),"")</f>
        <v/>
      </c>
      <c r="E944" s="136" t="str">
        <f>IF(D944&lt;&gt;"",VLOOKUP(ROW(E943),Beräkningshjälp!AC$2:AH$1082,COLUMN(Beräkningshjälp!AF$2)-COLUMN(Beräkningshjälp!AC$2)+1,FALSE),"")</f>
        <v/>
      </c>
      <c r="F944" s="352" t="str">
        <f t="shared" si="29"/>
        <v/>
      </c>
      <c r="G944" s="2" t="str">
        <f>IF(D944&lt;&gt;"",IF(VLOOKUP(VLOOKUP(E944,Beräkningshjälp!O$2:U$60,7,FALSE),Artuppgifter!$I$11:$P$22,8,FALSE)=TRUE,"Medelvikter!!","ALLA"),"")</f>
        <v/>
      </c>
      <c r="H944" s="2" t="str">
        <f>IF(D944&lt;&gt;"",VLOOKUP(ROW(H943),Beräkningshjälp!AC$2:AH$1082,COLUMN(Beräkningshjälp!AH$2)-COLUMN(Beräkningshjälp!AC$2)+1,FALSE),"")</f>
        <v/>
      </c>
      <c r="I944" s="116" t="str">
        <f>IF(D944&lt;&gt;"",VLOOKUP(ROW(E943),Beräkningshjälp!AC$2:AI$1082,COLUMN(Beräkningshjälp!AI$2)-COLUMN(Beräkningshjälp!AC$2)+1,FALSE),"")</f>
        <v/>
      </c>
    </row>
    <row r="945" spans="1:9" x14ac:dyDescent="0.25">
      <c r="A945" s="2" t="str">
        <f t="shared" si="28"/>
        <v/>
      </c>
      <c r="B945" s="136" t="str">
        <f>IF(D945&lt;&gt;"",'DATA TILL SLU'!$J$3,"")</f>
        <v/>
      </c>
      <c r="C945" s="146" t="str">
        <f>IF(D945&lt;&gt;"",'DATA TILL SLU'!$K$3,"")</f>
        <v/>
      </c>
      <c r="D945" s="2" t="str">
        <f>IF('DATA TILL SLU'!$D$7*1&lt;&gt;"",IF(COUNT(Beräkningshjälp!$AC$3:$AC$1082)&gt;=ROW(D944),'DATA TILL SLU'!$D$7*1,""),"")</f>
        <v/>
      </c>
      <c r="E945" s="136" t="str">
        <f>IF(D945&lt;&gt;"",VLOOKUP(ROW(E944),Beräkningshjälp!AC$2:AH$1082,COLUMN(Beräkningshjälp!AF$2)-COLUMN(Beräkningshjälp!AC$2)+1,FALSE),"")</f>
        <v/>
      </c>
      <c r="F945" s="352" t="str">
        <f t="shared" si="29"/>
        <v/>
      </c>
      <c r="G945" s="2" t="str">
        <f>IF(D945&lt;&gt;"",IF(VLOOKUP(VLOOKUP(E945,Beräkningshjälp!O$2:U$60,7,FALSE),Artuppgifter!$I$11:$P$22,8,FALSE)=TRUE,"Medelvikter!!","ALLA"),"")</f>
        <v/>
      </c>
      <c r="H945" s="2" t="str">
        <f>IF(D945&lt;&gt;"",VLOOKUP(ROW(H944),Beräkningshjälp!AC$2:AH$1082,COLUMN(Beräkningshjälp!AH$2)-COLUMN(Beräkningshjälp!AC$2)+1,FALSE),"")</f>
        <v/>
      </c>
      <c r="I945" s="116" t="str">
        <f>IF(D945&lt;&gt;"",VLOOKUP(ROW(E944),Beräkningshjälp!AC$2:AI$1082,COLUMN(Beräkningshjälp!AI$2)-COLUMN(Beräkningshjälp!AC$2)+1,FALSE),"")</f>
        <v/>
      </c>
    </row>
    <row r="946" spans="1:9" x14ac:dyDescent="0.25">
      <c r="A946" s="2" t="str">
        <f t="shared" si="28"/>
        <v/>
      </c>
      <c r="B946" s="136" t="str">
        <f>IF(D946&lt;&gt;"",'DATA TILL SLU'!$J$3,"")</f>
        <v/>
      </c>
      <c r="C946" s="146" t="str">
        <f>IF(D946&lt;&gt;"",'DATA TILL SLU'!$K$3,"")</f>
        <v/>
      </c>
      <c r="D946" s="2" t="str">
        <f>IF('DATA TILL SLU'!$D$7*1&lt;&gt;"",IF(COUNT(Beräkningshjälp!$AC$3:$AC$1082)&gt;=ROW(D945),'DATA TILL SLU'!$D$7*1,""),"")</f>
        <v/>
      </c>
      <c r="E946" s="136" t="str">
        <f>IF(D946&lt;&gt;"",VLOOKUP(ROW(E945),Beräkningshjälp!AC$2:AH$1082,COLUMN(Beräkningshjälp!AF$2)-COLUMN(Beräkningshjälp!AC$2)+1,FALSE),"")</f>
        <v/>
      </c>
      <c r="F946" s="352" t="str">
        <f t="shared" si="29"/>
        <v/>
      </c>
      <c r="G946" s="2" t="str">
        <f>IF(D946&lt;&gt;"",IF(VLOOKUP(VLOOKUP(E946,Beräkningshjälp!O$2:U$60,7,FALSE),Artuppgifter!$I$11:$P$22,8,FALSE)=TRUE,"Medelvikter!!","ALLA"),"")</f>
        <v/>
      </c>
      <c r="H946" s="2" t="str">
        <f>IF(D946&lt;&gt;"",VLOOKUP(ROW(H945),Beräkningshjälp!AC$2:AH$1082,COLUMN(Beräkningshjälp!AH$2)-COLUMN(Beräkningshjälp!AC$2)+1,FALSE),"")</f>
        <v/>
      </c>
      <c r="I946" s="116" t="str">
        <f>IF(D946&lt;&gt;"",VLOOKUP(ROW(E945),Beräkningshjälp!AC$2:AI$1082,COLUMN(Beräkningshjälp!AI$2)-COLUMN(Beräkningshjälp!AC$2)+1,FALSE),"")</f>
        <v/>
      </c>
    </row>
    <row r="947" spans="1:9" x14ac:dyDescent="0.25">
      <c r="A947" s="2" t="str">
        <f t="shared" si="28"/>
        <v/>
      </c>
      <c r="B947" s="136" t="str">
        <f>IF(D947&lt;&gt;"",'DATA TILL SLU'!$J$3,"")</f>
        <v/>
      </c>
      <c r="C947" s="146" t="str">
        <f>IF(D947&lt;&gt;"",'DATA TILL SLU'!$K$3,"")</f>
        <v/>
      </c>
      <c r="D947" s="2" t="str">
        <f>IF('DATA TILL SLU'!$D$7*1&lt;&gt;"",IF(COUNT(Beräkningshjälp!$AC$3:$AC$1082)&gt;=ROW(D946),'DATA TILL SLU'!$D$7*1,""),"")</f>
        <v/>
      </c>
      <c r="E947" s="136" t="str">
        <f>IF(D947&lt;&gt;"",VLOOKUP(ROW(E946),Beräkningshjälp!AC$2:AH$1082,COLUMN(Beräkningshjälp!AF$2)-COLUMN(Beräkningshjälp!AC$2)+1,FALSE),"")</f>
        <v/>
      </c>
      <c r="F947" s="352" t="str">
        <f t="shared" si="29"/>
        <v/>
      </c>
      <c r="G947" s="2" t="str">
        <f>IF(D947&lt;&gt;"",IF(VLOOKUP(VLOOKUP(E947,Beräkningshjälp!O$2:U$60,7,FALSE),Artuppgifter!$I$11:$P$22,8,FALSE)=TRUE,"Medelvikter!!","ALLA"),"")</f>
        <v/>
      </c>
      <c r="H947" s="2" t="str">
        <f>IF(D947&lt;&gt;"",VLOOKUP(ROW(H946),Beräkningshjälp!AC$2:AH$1082,COLUMN(Beräkningshjälp!AH$2)-COLUMN(Beräkningshjälp!AC$2)+1,FALSE),"")</f>
        <v/>
      </c>
      <c r="I947" s="116" t="str">
        <f>IF(D947&lt;&gt;"",VLOOKUP(ROW(E946),Beräkningshjälp!AC$2:AI$1082,COLUMN(Beräkningshjälp!AI$2)-COLUMN(Beräkningshjälp!AC$2)+1,FALSE),"")</f>
        <v/>
      </c>
    </row>
    <row r="948" spans="1:9" x14ac:dyDescent="0.25">
      <c r="A948" s="2" t="str">
        <f t="shared" si="28"/>
        <v/>
      </c>
      <c r="B948" s="136" t="str">
        <f>IF(D948&lt;&gt;"",'DATA TILL SLU'!$J$3,"")</f>
        <v/>
      </c>
      <c r="C948" s="146" t="str">
        <f>IF(D948&lt;&gt;"",'DATA TILL SLU'!$K$3,"")</f>
        <v/>
      </c>
      <c r="D948" s="2" t="str">
        <f>IF('DATA TILL SLU'!$D$7*1&lt;&gt;"",IF(COUNT(Beräkningshjälp!$AC$3:$AC$1082)&gt;=ROW(D947),'DATA TILL SLU'!$D$7*1,""),"")</f>
        <v/>
      </c>
      <c r="E948" s="136" t="str">
        <f>IF(D948&lt;&gt;"",VLOOKUP(ROW(E947),Beräkningshjälp!AC$2:AH$1082,COLUMN(Beräkningshjälp!AF$2)-COLUMN(Beräkningshjälp!AC$2)+1,FALSE),"")</f>
        <v/>
      </c>
      <c r="F948" s="352" t="str">
        <f t="shared" si="29"/>
        <v/>
      </c>
      <c r="G948" s="2" t="str">
        <f>IF(D948&lt;&gt;"",IF(VLOOKUP(VLOOKUP(E948,Beräkningshjälp!O$2:U$60,7,FALSE),Artuppgifter!$I$11:$P$22,8,FALSE)=TRUE,"Medelvikter!!","ALLA"),"")</f>
        <v/>
      </c>
      <c r="H948" s="2" t="str">
        <f>IF(D948&lt;&gt;"",VLOOKUP(ROW(H947),Beräkningshjälp!AC$2:AH$1082,COLUMN(Beräkningshjälp!AH$2)-COLUMN(Beräkningshjälp!AC$2)+1,FALSE),"")</f>
        <v/>
      </c>
      <c r="I948" s="116" t="str">
        <f>IF(D948&lt;&gt;"",VLOOKUP(ROW(E947),Beräkningshjälp!AC$2:AI$1082,COLUMN(Beräkningshjälp!AI$2)-COLUMN(Beräkningshjälp!AC$2)+1,FALSE),"")</f>
        <v/>
      </c>
    </row>
    <row r="949" spans="1:9" x14ac:dyDescent="0.25">
      <c r="A949" s="2" t="str">
        <f t="shared" si="28"/>
        <v/>
      </c>
      <c r="B949" s="136" t="str">
        <f>IF(D949&lt;&gt;"",'DATA TILL SLU'!$J$3,"")</f>
        <v/>
      </c>
      <c r="C949" s="146" t="str">
        <f>IF(D949&lt;&gt;"",'DATA TILL SLU'!$K$3,"")</f>
        <v/>
      </c>
      <c r="D949" s="2" t="str">
        <f>IF('DATA TILL SLU'!$D$7*1&lt;&gt;"",IF(COUNT(Beräkningshjälp!$AC$3:$AC$1082)&gt;=ROW(D948),'DATA TILL SLU'!$D$7*1,""),"")</f>
        <v/>
      </c>
      <c r="E949" s="136" t="str">
        <f>IF(D949&lt;&gt;"",VLOOKUP(ROW(E948),Beräkningshjälp!AC$2:AH$1082,COLUMN(Beräkningshjälp!AF$2)-COLUMN(Beräkningshjälp!AC$2)+1,FALSE),"")</f>
        <v/>
      </c>
      <c r="F949" s="352" t="str">
        <f t="shared" si="29"/>
        <v/>
      </c>
      <c r="G949" s="2" t="str">
        <f>IF(D949&lt;&gt;"",IF(VLOOKUP(VLOOKUP(E949,Beräkningshjälp!O$2:U$60,7,FALSE),Artuppgifter!$I$11:$P$22,8,FALSE)=TRUE,"Medelvikter!!","ALLA"),"")</f>
        <v/>
      </c>
      <c r="H949" s="2" t="str">
        <f>IF(D949&lt;&gt;"",VLOOKUP(ROW(H948),Beräkningshjälp!AC$2:AH$1082,COLUMN(Beräkningshjälp!AH$2)-COLUMN(Beräkningshjälp!AC$2)+1,FALSE),"")</f>
        <v/>
      </c>
      <c r="I949" s="116" t="str">
        <f>IF(D949&lt;&gt;"",VLOOKUP(ROW(E948),Beräkningshjälp!AC$2:AI$1082,COLUMN(Beräkningshjälp!AI$2)-COLUMN(Beräkningshjälp!AC$2)+1,FALSE),"")</f>
        <v/>
      </c>
    </row>
    <row r="950" spans="1:9" x14ac:dyDescent="0.25">
      <c r="A950" s="2" t="str">
        <f t="shared" si="28"/>
        <v/>
      </c>
      <c r="B950" s="136" t="str">
        <f>IF(D950&lt;&gt;"",'DATA TILL SLU'!$J$3,"")</f>
        <v/>
      </c>
      <c r="C950" s="146" t="str">
        <f>IF(D950&lt;&gt;"",'DATA TILL SLU'!$K$3,"")</f>
        <v/>
      </c>
      <c r="D950" s="2" t="str">
        <f>IF('DATA TILL SLU'!$D$7*1&lt;&gt;"",IF(COUNT(Beräkningshjälp!$AC$3:$AC$1082)&gt;=ROW(D949),'DATA TILL SLU'!$D$7*1,""),"")</f>
        <v/>
      </c>
      <c r="E950" s="136" t="str">
        <f>IF(D950&lt;&gt;"",VLOOKUP(ROW(E949),Beräkningshjälp!AC$2:AH$1082,COLUMN(Beräkningshjälp!AF$2)-COLUMN(Beräkningshjälp!AC$2)+1,FALSE),"")</f>
        <v/>
      </c>
      <c r="F950" s="352" t="str">
        <f t="shared" si="29"/>
        <v/>
      </c>
      <c r="G950" s="2" t="str">
        <f>IF(D950&lt;&gt;"",IF(VLOOKUP(VLOOKUP(E950,Beräkningshjälp!O$2:U$60,7,FALSE),Artuppgifter!$I$11:$P$22,8,FALSE)=TRUE,"Medelvikter!!","ALLA"),"")</f>
        <v/>
      </c>
      <c r="H950" s="2" t="str">
        <f>IF(D950&lt;&gt;"",VLOOKUP(ROW(H949),Beräkningshjälp!AC$2:AH$1082,COLUMN(Beräkningshjälp!AH$2)-COLUMN(Beräkningshjälp!AC$2)+1,FALSE),"")</f>
        <v/>
      </c>
      <c r="I950" s="116" t="str">
        <f>IF(D950&lt;&gt;"",VLOOKUP(ROW(E949),Beräkningshjälp!AC$2:AI$1082,COLUMN(Beräkningshjälp!AI$2)-COLUMN(Beräkningshjälp!AC$2)+1,FALSE),"")</f>
        <v/>
      </c>
    </row>
    <row r="951" spans="1:9" x14ac:dyDescent="0.25">
      <c r="A951" s="2" t="str">
        <f t="shared" si="28"/>
        <v/>
      </c>
      <c r="B951" s="136" t="str">
        <f>IF(D951&lt;&gt;"",'DATA TILL SLU'!$J$3,"")</f>
        <v/>
      </c>
      <c r="C951" s="146" t="str">
        <f>IF(D951&lt;&gt;"",'DATA TILL SLU'!$K$3,"")</f>
        <v/>
      </c>
      <c r="D951" s="2" t="str">
        <f>IF('DATA TILL SLU'!$D$7*1&lt;&gt;"",IF(COUNT(Beräkningshjälp!$AC$3:$AC$1082)&gt;=ROW(D950),'DATA TILL SLU'!$D$7*1,""),"")</f>
        <v/>
      </c>
      <c r="E951" s="136" t="str">
        <f>IF(D951&lt;&gt;"",VLOOKUP(ROW(E950),Beräkningshjälp!AC$2:AH$1082,COLUMN(Beräkningshjälp!AF$2)-COLUMN(Beräkningshjälp!AC$2)+1,FALSE),"")</f>
        <v/>
      </c>
      <c r="F951" s="352" t="str">
        <f t="shared" si="29"/>
        <v/>
      </c>
      <c r="G951" s="2" t="str">
        <f>IF(D951&lt;&gt;"",IF(VLOOKUP(VLOOKUP(E951,Beräkningshjälp!O$2:U$60,7,FALSE),Artuppgifter!$I$11:$P$22,8,FALSE)=TRUE,"Medelvikter!!","ALLA"),"")</f>
        <v/>
      </c>
      <c r="H951" s="2" t="str">
        <f>IF(D951&lt;&gt;"",VLOOKUP(ROW(H950),Beräkningshjälp!AC$2:AH$1082,COLUMN(Beräkningshjälp!AH$2)-COLUMN(Beräkningshjälp!AC$2)+1,FALSE),"")</f>
        <v/>
      </c>
      <c r="I951" s="116" t="str">
        <f>IF(D951&lt;&gt;"",VLOOKUP(ROW(E950),Beräkningshjälp!AC$2:AI$1082,COLUMN(Beräkningshjälp!AI$2)-COLUMN(Beräkningshjälp!AC$2)+1,FALSE),"")</f>
        <v/>
      </c>
    </row>
    <row r="952" spans="1:9" x14ac:dyDescent="0.25">
      <c r="A952" s="2" t="str">
        <f t="shared" si="28"/>
        <v/>
      </c>
      <c r="B952" s="136" t="str">
        <f>IF(D952&lt;&gt;"",'DATA TILL SLU'!$J$3,"")</f>
        <v/>
      </c>
      <c r="C952" s="146" t="str">
        <f>IF(D952&lt;&gt;"",'DATA TILL SLU'!$K$3,"")</f>
        <v/>
      </c>
      <c r="D952" s="2" t="str">
        <f>IF('DATA TILL SLU'!$D$7*1&lt;&gt;"",IF(COUNT(Beräkningshjälp!$AC$3:$AC$1082)&gt;=ROW(D951),'DATA TILL SLU'!$D$7*1,""),"")</f>
        <v/>
      </c>
      <c r="E952" s="136" t="str">
        <f>IF(D952&lt;&gt;"",VLOOKUP(ROW(E951),Beräkningshjälp!AC$2:AH$1082,COLUMN(Beräkningshjälp!AF$2)-COLUMN(Beräkningshjälp!AC$2)+1,FALSE),"")</f>
        <v/>
      </c>
      <c r="F952" s="352" t="str">
        <f t="shared" si="29"/>
        <v/>
      </c>
      <c r="G952" s="2" t="str">
        <f>IF(D952&lt;&gt;"",IF(VLOOKUP(VLOOKUP(E952,Beräkningshjälp!O$2:U$60,7,FALSE),Artuppgifter!$I$11:$P$22,8,FALSE)=TRUE,"Medelvikter!!","ALLA"),"")</f>
        <v/>
      </c>
      <c r="H952" s="2" t="str">
        <f>IF(D952&lt;&gt;"",VLOOKUP(ROW(H951),Beräkningshjälp!AC$2:AH$1082,COLUMN(Beräkningshjälp!AH$2)-COLUMN(Beräkningshjälp!AC$2)+1,FALSE),"")</f>
        <v/>
      </c>
      <c r="I952" s="116" t="str">
        <f>IF(D952&lt;&gt;"",VLOOKUP(ROW(E951),Beräkningshjälp!AC$2:AI$1082,COLUMN(Beräkningshjälp!AI$2)-COLUMN(Beräkningshjälp!AC$2)+1,FALSE),"")</f>
        <v/>
      </c>
    </row>
    <row r="953" spans="1:9" x14ac:dyDescent="0.25">
      <c r="A953" s="2" t="str">
        <f t="shared" si="28"/>
        <v/>
      </c>
      <c r="B953" s="136" t="str">
        <f>IF(D953&lt;&gt;"",'DATA TILL SLU'!$J$3,"")</f>
        <v/>
      </c>
      <c r="C953" s="146" t="str">
        <f>IF(D953&lt;&gt;"",'DATA TILL SLU'!$K$3,"")</f>
        <v/>
      </c>
      <c r="D953" s="2" t="str">
        <f>IF('DATA TILL SLU'!$D$7*1&lt;&gt;"",IF(COUNT(Beräkningshjälp!$AC$3:$AC$1082)&gt;=ROW(D952),'DATA TILL SLU'!$D$7*1,""),"")</f>
        <v/>
      </c>
      <c r="E953" s="136" t="str">
        <f>IF(D953&lt;&gt;"",VLOOKUP(ROW(E952),Beräkningshjälp!AC$2:AH$1082,COLUMN(Beräkningshjälp!AF$2)-COLUMN(Beräkningshjälp!AC$2)+1,FALSE),"")</f>
        <v/>
      </c>
      <c r="F953" s="352" t="str">
        <f t="shared" si="29"/>
        <v/>
      </c>
      <c r="G953" s="2" t="str">
        <f>IF(D953&lt;&gt;"",IF(VLOOKUP(VLOOKUP(E953,Beräkningshjälp!O$2:U$60,7,FALSE),Artuppgifter!$I$11:$P$22,8,FALSE)=TRUE,"Medelvikter!!","ALLA"),"")</f>
        <v/>
      </c>
      <c r="H953" s="2" t="str">
        <f>IF(D953&lt;&gt;"",VLOOKUP(ROW(H952),Beräkningshjälp!AC$2:AH$1082,COLUMN(Beräkningshjälp!AH$2)-COLUMN(Beräkningshjälp!AC$2)+1,FALSE),"")</f>
        <v/>
      </c>
      <c r="I953" s="116" t="str">
        <f>IF(D953&lt;&gt;"",VLOOKUP(ROW(E952),Beräkningshjälp!AC$2:AI$1082,COLUMN(Beräkningshjälp!AI$2)-COLUMN(Beräkningshjälp!AC$2)+1,FALSE),"")</f>
        <v/>
      </c>
    </row>
    <row r="954" spans="1:9" x14ac:dyDescent="0.25">
      <c r="A954" s="2" t="str">
        <f t="shared" si="28"/>
        <v/>
      </c>
      <c r="B954" s="136" t="str">
        <f>IF(D954&lt;&gt;"",'DATA TILL SLU'!$J$3,"")</f>
        <v/>
      </c>
      <c r="C954" s="146" t="str">
        <f>IF(D954&lt;&gt;"",'DATA TILL SLU'!$K$3,"")</f>
        <v/>
      </c>
      <c r="D954" s="2" t="str">
        <f>IF('DATA TILL SLU'!$D$7*1&lt;&gt;"",IF(COUNT(Beräkningshjälp!$AC$3:$AC$1082)&gt;=ROW(D953),'DATA TILL SLU'!$D$7*1,""),"")</f>
        <v/>
      </c>
      <c r="E954" s="136" t="str">
        <f>IF(D954&lt;&gt;"",VLOOKUP(ROW(E953),Beräkningshjälp!AC$2:AH$1082,COLUMN(Beräkningshjälp!AF$2)-COLUMN(Beräkningshjälp!AC$2)+1,FALSE),"")</f>
        <v/>
      </c>
      <c r="F954" s="352" t="str">
        <f t="shared" si="29"/>
        <v/>
      </c>
      <c r="G954" s="2" t="str">
        <f>IF(D954&lt;&gt;"",IF(VLOOKUP(VLOOKUP(E954,Beräkningshjälp!O$2:U$60,7,FALSE),Artuppgifter!$I$11:$P$22,8,FALSE)=TRUE,"Medelvikter!!","ALLA"),"")</f>
        <v/>
      </c>
      <c r="H954" s="2" t="str">
        <f>IF(D954&lt;&gt;"",VLOOKUP(ROW(H953),Beräkningshjälp!AC$2:AH$1082,COLUMN(Beräkningshjälp!AH$2)-COLUMN(Beräkningshjälp!AC$2)+1,FALSE),"")</f>
        <v/>
      </c>
      <c r="I954" s="116" t="str">
        <f>IF(D954&lt;&gt;"",VLOOKUP(ROW(E953),Beräkningshjälp!AC$2:AI$1082,COLUMN(Beräkningshjälp!AI$2)-COLUMN(Beräkningshjälp!AC$2)+1,FALSE),"")</f>
        <v/>
      </c>
    </row>
    <row r="955" spans="1:9" x14ac:dyDescent="0.25">
      <c r="A955" s="2" t="str">
        <f t="shared" si="28"/>
        <v/>
      </c>
      <c r="B955" s="136" t="str">
        <f>IF(D955&lt;&gt;"",'DATA TILL SLU'!$J$3,"")</f>
        <v/>
      </c>
      <c r="C955" s="146" t="str">
        <f>IF(D955&lt;&gt;"",'DATA TILL SLU'!$K$3,"")</f>
        <v/>
      </c>
      <c r="D955" s="2" t="str">
        <f>IF('DATA TILL SLU'!$D$7*1&lt;&gt;"",IF(COUNT(Beräkningshjälp!$AC$3:$AC$1082)&gt;=ROW(D954),'DATA TILL SLU'!$D$7*1,""),"")</f>
        <v/>
      </c>
      <c r="E955" s="136" t="str">
        <f>IF(D955&lt;&gt;"",VLOOKUP(ROW(E954),Beräkningshjälp!AC$2:AH$1082,COLUMN(Beräkningshjälp!AF$2)-COLUMN(Beräkningshjälp!AC$2)+1,FALSE),"")</f>
        <v/>
      </c>
      <c r="F955" s="352" t="str">
        <f t="shared" si="29"/>
        <v/>
      </c>
      <c r="G955" s="2" t="str">
        <f>IF(D955&lt;&gt;"",IF(VLOOKUP(VLOOKUP(E955,Beräkningshjälp!O$2:U$60,7,FALSE),Artuppgifter!$I$11:$P$22,8,FALSE)=TRUE,"Medelvikter!!","ALLA"),"")</f>
        <v/>
      </c>
      <c r="H955" s="2" t="str">
        <f>IF(D955&lt;&gt;"",VLOOKUP(ROW(H954),Beräkningshjälp!AC$2:AH$1082,COLUMN(Beräkningshjälp!AH$2)-COLUMN(Beräkningshjälp!AC$2)+1,FALSE),"")</f>
        <v/>
      </c>
      <c r="I955" s="116" t="str">
        <f>IF(D955&lt;&gt;"",VLOOKUP(ROW(E954),Beräkningshjälp!AC$2:AI$1082,COLUMN(Beräkningshjälp!AI$2)-COLUMN(Beräkningshjälp!AC$2)+1,FALSE),"")</f>
        <v/>
      </c>
    </row>
    <row r="956" spans="1:9" x14ac:dyDescent="0.25">
      <c r="A956" s="2" t="str">
        <f t="shared" si="28"/>
        <v/>
      </c>
      <c r="B956" s="136" t="str">
        <f>IF(D956&lt;&gt;"",'DATA TILL SLU'!$J$3,"")</f>
        <v/>
      </c>
      <c r="C956" s="146" t="str">
        <f>IF(D956&lt;&gt;"",'DATA TILL SLU'!$K$3,"")</f>
        <v/>
      </c>
      <c r="D956" s="2" t="str">
        <f>IF('DATA TILL SLU'!$D$7*1&lt;&gt;"",IF(COUNT(Beräkningshjälp!$AC$3:$AC$1082)&gt;=ROW(D955),'DATA TILL SLU'!$D$7*1,""),"")</f>
        <v/>
      </c>
      <c r="E956" s="136" t="str">
        <f>IF(D956&lt;&gt;"",VLOOKUP(ROW(E955),Beräkningshjälp!AC$2:AH$1082,COLUMN(Beräkningshjälp!AF$2)-COLUMN(Beräkningshjälp!AC$2)+1,FALSE),"")</f>
        <v/>
      </c>
      <c r="F956" s="352" t="str">
        <f t="shared" si="29"/>
        <v/>
      </c>
      <c r="G956" s="2" t="str">
        <f>IF(D956&lt;&gt;"",IF(VLOOKUP(VLOOKUP(E956,Beräkningshjälp!O$2:U$60,7,FALSE),Artuppgifter!$I$11:$P$22,8,FALSE)=TRUE,"Medelvikter!!","ALLA"),"")</f>
        <v/>
      </c>
      <c r="H956" s="2" t="str">
        <f>IF(D956&lt;&gt;"",VLOOKUP(ROW(H955),Beräkningshjälp!AC$2:AH$1082,COLUMN(Beräkningshjälp!AH$2)-COLUMN(Beräkningshjälp!AC$2)+1,FALSE),"")</f>
        <v/>
      </c>
      <c r="I956" s="116" t="str">
        <f>IF(D956&lt;&gt;"",VLOOKUP(ROW(E955),Beräkningshjälp!AC$2:AI$1082,COLUMN(Beräkningshjälp!AI$2)-COLUMN(Beräkningshjälp!AC$2)+1,FALSE),"")</f>
        <v/>
      </c>
    </row>
    <row r="957" spans="1:9" x14ac:dyDescent="0.25">
      <c r="A957" s="2" t="str">
        <f t="shared" si="28"/>
        <v/>
      </c>
      <c r="B957" s="136" t="str">
        <f>IF(D957&lt;&gt;"",'DATA TILL SLU'!$J$3,"")</f>
        <v/>
      </c>
      <c r="C957" s="146" t="str">
        <f>IF(D957&lt;&gt;"",'DATA TILL SLU'!$K$3,"")</f>
        <v/>
      </c>
      <c r="D957" s="2" t="str">
        <f>IF('DATA TILL SLU'!$D$7*1&lt;&gt;"",IF(COUNT(Beräkningshjälp!$AC$3:$AC$1082)&gt;=ROW(D956),'DATA TILL SLU'!$D$7*1,""),"")</f>
        <v/>
      </c>
      <c r="E957" s="136" t="str">
        <f>IF(D957&lt;&gt;"",VLOOKUP(ROW(E956),Beräkningshjälp!AC$2:AH$1082,COLUMN(Beräkningshjälp!AF$2)-COLUMN(Beräkningshjälp!AC$2)+1,FALSE),"")</f>
        <v/>
      </c>
      <c r="F957" s="352" t="str">
        <f t="shared" si="29"/>
        <v/>
      </c>
      <c r="G957" s="2" t="str">
        <f>IF(D957&lt;&gt;"",IF(VLOOKUP(VLOOKUP(E957,Beräkningshjälp!O$2:U$60,7,FALSE),Artuppgifter!$I$11:$P$22,8,FALSE)=TRUE,"Medelvikter!!","ALLA"),"")</f>
        <v/>
      </c>
      <c r="H957" s="2" t="str">
        <f>IF(D957&lt;&gt;"",VLOOKUP(ROW(H956),Beräkningshjälp!AC$2:AH$1082,COLUMN(Beräkningshjälp!AH$2)-COLUMN(Beräkningshjälp!AC$2)+1,FALSE),"")</f>
        <v/>
      </c>
      <c r="I957" s="116" t="str">
        <f>IF(D957&lt;&gt;"",VLOOKUP(ROW(E956),Beräkningshjälp!AC$2:AI$1082,COLUMN(Beräkningshjälp!AI$2)-COLUMN(Beräkningshjälp!AC$2)+1,FALSE),"")</f>
        <v/>
      </c>
    </row>
    <row r="958" spans="1:9" x14ac:dyDescent="0.25">
      <c r="A958" s="2" t="str">
        <f t="shared" si="28"/>
        <v/>
      </c>
      <c r="B958" s="136" t="str">
        <f>IF(D958&lt;&gt;"",'DATA TILL SLU'!$J$3,"")</f>
        <v/>
      </c>
      <c r="C958" s="146" t="str">
        <f>IF(D958&lt;&gt;"",'DATA TILL SLU'!$K$3,"")</f>
        <v/>
      </c>
      <c r="D958" s="2" t="str">
        <f>IF('DATA TILL SLU'!$D$7*1&lt;&gt;"",IF(COUNT(Beräkningshjälp!$AC$3:$AC$1082)&gt;=ROW(D957),'DATA TILL SLU'!$D$7*1,""),"")</f>
        <v/>
      </c>
      <c r="E958" s="136" t="str">
        <f>IF(D958&lt;&gt;"",VLOOKUP(ROW(E957),Beräkningshjälp!AC$2:AH$1082,COLUMN(Beräkningshjälp!AF$2)-COLUMN(Beräkningshjälp!AC$2)+1,FALSE),"")</f>
        <v/>
      </c>
      <c r="F958" s="352" t="str">
        <f t="shared" si="29"/>
        <v/>
      </c>
      <c r="G958" s="2" t="str">
        <f>IF(D958&lt;&gt;"",IF(VLOOKUP(VLOOKUP(E958,Beräkningshjälp!O$2:U$60,7,FALSE),Artuppgifter!$I$11:$P$22,8,FALSE)=TRUE,"Medelvikter!!","ALLA"),"")</f>
        <v/>
      </c>
      <c r="H958" s="2" t="str">
        <f>IF(D958&lt;&gt;"",VLOOKUP(ROW(H957),Beräkningshjälp!AC$2:AH$1082,COLUMN(Beräkningshjälp!AH$2)-COLUMN(Beräkningshjälp!AC$2)+1,FALSE),"")</f>
        <v/>
      </c>
      <c r="I958" s="116" t="str">
        <f>IF(D958&lt;&gt;"",VLOOKUP(ROW(E957),Beräkningshjälp!AC$2:AI$1082,COLUMN(Beräkningshjälp!AI$2)-COLUMN(Beräkningshjälp!AC$2)+1,FALSE),"")</f>
        <v/>
      </c>
    </row>
    <row r="959" spans="1:9" x14ac:dyDescent="0.25">
      <c r="A959" s="2" t="str">
        <f t="shared" si="28"/>
        <v/>
      </c>
      <c r="B959" s="136" t="str">
        <f>IF(D959&lt;&gt;"",'DATA TILL SLU'!$J$3,"")</f>
        <v/>
      </c>
      <c r="C959" s="146" t="str">
        <f>IF(D959&lt;&gt;"",'DATA TILL SLU'!$K$3,"")</f>
        <v/>
      </c>
      <c r="D959" s="2" t="str">
        <f>IF('DATA TILL SLU'!$D$7*1&lt;&gt;"",IF(COUNT(Beräkningshjälp!$AC$3:$AC$1082)&gt;=ROW(D958),'DATA TILL SLU'!$D$7*1,""),"")</f>
        <v/>
      </c>
      <c r="E959" s="136" t="str">
        <f>IF(D959&lt;&gt;"",VLOOKUP(ROW(E958),Beräkningshjälp!AC$2:AH$1082,COLUMN(Beräkningshjälp!AF$2)-COLUMN(Beräkningshjälp!AC$2)+1,FALSE),"")</f>
        <v/>
      </c>
      <c r="F959" s="352" t="str">
        <f t="shared" si="29"/>
        <v/>
      </c>
      <c r="G959" s="2" t="str">
        <f>IF(D959&lt;&gt;"",IF(VLOOKUP(VLOOKUP(E959,Beräkningshjälp!O$2:U$60,7,FALSE),Artuppgifter!$I$11:$P$22,8,FALSE)=TRUE,"Medelvikter!!","ALLA"),"")</f>
        <v/>
      </c>
      <c r="H959" s="2" t="str">
        <f>IF(D959&lt;&gt;"",VLOOKUP(ROW(H958),Beräkningshjälp!AC$2:AH$1082,COLUMN(Beräkningshjälp!AH$2)-COLUMN(Beräkningshjälp!AC$2)+1,FALSE),"")</f>
        <v/>
      </c>
      <c r="I959" s="116" t="str">
        <f>IF(D959&lt;&gt;"",VLOOKUP(ROW(E958),Beräkningshjälp!AC$2:AI$1082,COLUMN(Beräkningshjälp!AI$2)-COLUMN(Beräkningshjälp!AC$2)+1,FALSE),"")</f>
        <v/>
      </c>
    </row>
    <row r="960" spans="1:9" x14ac:dyDescent="0.25">
      <c r="A960" s="2" t="str">
        <f t="shared" si="28"/>
        <v/>
      </c>
      <c r="B960" s="136" t="str">
        <f>IF(D960&lt;&gt;"",'DATA TILL SLU'!$J$3,"")</f>
        <v/>
      </c>
      <c r="C960" s="146" t="str">
        <f>IF(D960&lt;&gt;"",'DATA TILL SLU'!$K$3,"")</f>
        <v/>
      </c>
      <c r="D960" s="2" t="str">
        <f>IF('DATA TILL SLU'!$D$7*1&lt;&gt;"",IF(COUNT(Beräkningshjälp!$AC$3:$AC$1082)&gt;=ROW(D959),'DATA TILL SLU'!$D$7*1,""),"")</f>
        <v/>
      </c>
      <c r="E960" s="136" t="str">
        <f>IF(D960&lt;&gt;"",VLOOKUP(ROW(E959),Beräkningshjälp!AC$2:AH$1082,COLUMN(Beräkningshjälp!AF$2)-COLUMN(Beräkningshjälp!AC$2)+1,FALSE),"")</f>
        <v/>
      </c>
      <c r="F960" s="352" t="str">
        <f t="shared" si="29"/>
        <v/>
      </c>
      <c r="G960" s="2" t="str">
        <f>IF(D960&lt;&gt;"",IF(VLOOKUP(VLOOKUP(E960,Beräkningshjälp!O$2:U$60,7,FALSE),Artuppgifter!$I$11:$P$22,8,FALSE)=TRUE,"Medelvikter!!","ALLA"),"")</f>
        <v/>
      </c>
      <c r="H960" s="2" t="str">
        <f>IF(D960&lt;&gt;"",VLOOKUP(ROW(H959),Beräkningshjälp!AC$2:AH$1082,COLUMN(Beräkningshjälp!AH$2)-COLUMN(Beräkningshjälp!AC$2)+1,FALSE),"")</f>
        <v/>
      </c>
      <c r="I960" s="116" t="str">
        <f>IF(D960&lt;&gt;"",VLOOKUP(ROW(E959),Beräkningshjälp!AC$2:AI$1082,COLUMN(Beräkningshjälp!AI$2)-COLUMN(Beräkningshjälp!AC$2)+1,FALSE),"")</f>
        <v/>
      </c>
    </row>
    <row r="961" spans="1:9" x14ac:dyDescent="0.25">
      <c r="A961" s="2" t="str">
        <f t="shared" si="28"/>
        <v/>
      </c>
      <c r="B961" s="136" t="str">
        <f>IF(D961&lt;&gt;"",'DATA TILL SLU'!$J$3,"")</f>
        <v/>
      </c>
      <c r="C961" s="146" t="str">
        <f>IF(D961&lt;&gt;"",'DATA TILL SLU'!$K$3,"")</f>
        <v/>
      </c>
      <c r="D961" s="2" t="str">
        <f>IF('DATA TILL SLU'!$D$7*1&lt;&gt;"",IF(COUNT(Beräkningshjälp!$AC$3:$AC$1082)&gt;=ROW(D960),'DATA TILL SLU'!$D$7*1,""),"")</f>
        <v/>
      </c>
      <c r="E961" s="136" t="str">
        <f>IF(D961&lt;&gt;"",VLOOKUP(ROW(E960),Beräkningshjälp!AC$2:AH$1082,COLUMN(Beräkningshjälp!AF$2)-COLUMN(Beräkningshjälp!AC$2)+1,FALSE),"")</f>
        <v/>
      </c>
      <c r="F961" s="352" t="str">
        <f t="shared" si="29"/>
        <v/>
      </c>
      <c r="G961" s="2" t="str">
        <f>IF(D961&lt;&gt;"",IF(VLOOKUP(VLOOKUP(E961,Beräkningshjälp!O$2:U$60,7,FALSE),Artuppgifter!$I$11:$P$22,8,FALSE)=TRUE,"Medelvikter!!","ALLA"),"")</f>
        <v/>
      </c>
      <c r="H961" s="2" t="str">
        <f>IF(D961&lt;&gt;"",VLOOKUP(ROW(H960),Beräkningshjälp!AC$2:AH$1082,COLUMN(Beräkningshjälp!AH$2)-COLUMN(Beräkningshjälp!AC$2)+1,FALSE),"")</f>
        <v/>
      </c>
      <c r="I961" s="116" t="str">
        <f>IF(D961&lt;&gt;"",VLOOKUP(ROW(E960),Beräkningshjälp!AC$2:AI$1082,COLUMN(Beräkningshjälp!AI$2)-COLUMN(Beräkningshjälp!AC$2)+1,FALSE),"")</f>
        <v/>
      </c>
    </row>
    <row r="962" spans="1:9" x14ac:dyDescent="0.25">
      <c r="A962" s="2" t="str">
        <f t="shared" si="28"/>
        <v/>
      </c>
      <c r="B962" s="136" t="str">
        <f>IF(D962&lt;&gt;"",'DATA TILL SLU'!$J$3,"")</f>
        <v/>
      </c>
      <c r="C962" s="146" t="str">
        <f>IF(D962&lt;&gt;"",'DATA TILL SLU'!$K$3,"")</f>
        <v/>
      </c>
      <c r="D962" s="2" t="str">
        <f>IF('DATA TILL SLU'!$D$7*1&lt;&gt;"",IF(COUNT(Beräkningshjälp!$AC$3:$AC$1082)&gt;=ROW(D961),'DATA TILL SLU'!$D$7*1,""),"")</f>
        <v/>
      </c>
      <c r="E962" s="136" t="str">
        <f>IF(D962&lt;&gt;"",VLOOKUP(ROW(E961),Beräkningshjälp!AC$2:AH$1082,COLUMN(Beräkningshjälp!AF$2)-COLUMN(Beräkningshjälp!AC$2)+1,FALSE),"")</f>
        <v/>
      </c>
      <c r="F962" s="352" t="str">
        <f t="shared" si="29"/>
        <v/>
      </c>
      <c r="G962" s="2" t="str">
        <f>IF(D962&lt;&gt;"",IF(VLOOKUP(VLOOKUP(E962,Beräkningshjälp!O$2:U$60,7,FALSE),Artuppgifter!$I$11:$P$22,8,FALSE)=TRUE,"Medelvikter!!","ALLA"),"")</f>
        <v/>
      </c>
      <c r="H962" s="2" t="str">
        <f>IF(D962&lt;&gt;"",VLOOKUP(ROW(H961),Beräkningshjälp!AC$2:AH$1082,COLUMN(Beräkningshjälp!AH$2)-COLUMN(Beräkningshjälp!AC$2)+1,FALSE),"")</f>
        <v/>
      </c>
      <c r="I962" s="116" t="str">
        <f>IF(D962&lt;&gt;"",VLOOKUP(ROW(E961),Beräkningshjälp!AC$2:AI$1082,COLUMN(Beräkningshjälp!AI$2)-COLUMN(Beräkningshjälp!AC$2)+1,FALSE),"")</f>
        <v/>
      </c>
    </row>
    <row r="963" spans="1:9" x14ac:dyDescent="0.25">
      <c r="A963" s="2" t="str">
        <f t="shared" ref="A963:A1026" si="30">IF(D963&lt;&gt;"","LANGDVIKTER","")</f>
        <v/>
      </c>
      <c r="B963" s="136" t="str">
        <f>IF(D963&lt;&gt;"",'DATA TILL SLU'!$J$3,"")</f>
        <v/>
      </c>
      <c r="C963" s="146" t="str">
        <f>IF(D963&lt;&gt;"",'DATA TILL SLU'!$K$3,"")</f>
        <v/>
      </c>
      <c r="D963" s="2" t="str">
        <f>IF('DATA TILL SLU'!$D$7*1&lt;&gt;"",IF(COUNT(Beräkningshjälp!$AC$3:$AC$1082)&gt;=ROW(D962),'DATA TILL SLU'!$D$7*1,""),"")</f>
        <v/>
      </c>
      <c r="E963" s="136" t="str">
        <f>IF(D963&lt;&gt;"",VLOOKUP(ROW(E962),Beräkningshjälp!AC$2:AH$1082,COLUMN(Beräkningshjälp!AF$2)-COLUMN(Beräkningshjälp!AC$2)+1,FALSE),"")</f>
        <v/>
      </c>
      <c r="F963" s="352" t="str">
        <f t="shared" ref="F963:F1026" si="31">IF(D963&lt;&gt;"","IND","")</f>
        <v/>
      </c>
      <c r="G963" s="2" t="str">
        <f>IF(D963&lt;&gt;"",IF(VLOOKUP(VLOOKUP(E963,Beräkningshjälp!O$2:U$60,7,FALSE),Artuppgifter!$I$11:$P$22,8,FALSE)=TRUE,"Medelvikter!!","ALLA"),"")</f>
        <v/>
      </c>
      <c r="H963" s="2" t="str">
        <f>IF(D963&lt;&gt;"",VLOOKUP(ROW(H962),Beräkningshjälp!AC$2:AH$1082,COLUMN(Beräkningshjälp!AH$2)-COLUMN(Beräkningshjälp!AC$2)+1,FALSE),"")</f>
        <v/>
      </c>
      <c r="I963" s="116" t="str">
        <f>IF(D963&lt;&gt;"",VLOOKUP(ROW(E962),Beräkningshjälp!AC$2:AI$1082,COLUMN(Beräkningshjälp!AI$2)-COLUMN(Beräkningshjälp!AC$2)+1,FALSE),"")</f>
        <v/>
      </c>
    </row>
    <row r="964" spans="1:9" x14ac:dyDescent="0.25">
      <c r="A964" s="2" t="str">
        <f t="shared" si="30"/>
        <v/>
      </c>
      <c r="B964" s="136" t="str">
        <f>IF(D964&lt;&gt;"",'DATA TILL SLU'!$J$3,"")</f>
        <v/>
      </c>
      <c r="C964" s="146" t="str">
        <f>IF(D964&lt;&gt;"",'DATA TILL SLU'!$K$3,"")</f>
        <v/>
      </c>
      <c r="D964" s="2" t="str">
        <f>IF('DATA TILL SLU'!$D$7*1&lt;&gt;"",IF(COUNT(Beräkningshjälp!$AC$3:$AC$1082)&gt;=ROW(D963),'DATA TILL SLU'!$D$7*1,""),"")</f>
        <v/>
      </c>
      <c r="E964" s="136" t="str">
        <f>IF(D964&lt;&gt;"",VLOOKUP(ROW(E963),Beräkningshjälp!AC$2:AH$1082,COLUMN(Beräkningshjälp!AF$2)-COLUMN(Beräkningshjälp!AC$2)+1,FALSE),"")</f>
        <v/>
      </c>
      <c r="F964" s="352" t="str">
        <f t="shared" si="31"/>
        <v/>
      </c>
      <c r="G964" s="2" t="str">
        <f>IF(D964&lt;&gt;"",IF(VLOOKUP(VLOOKUP(E964,Beräkningshjälp!O$2:U$60,7,FALSE),Artuppgifter!$I$11:$P$22,8,FALSE)=TRUE,"Medelvikter!!","ALLA"),"")</f>
        <v/>
      </c>
      <c r="H964" s="2" t="str">
        <f>IF(D964&lt;&gt;"",VLOOKUP(ROW(H963),Beräkningshjälp!AC$2:AH$1082,COLUMN(Beräkningshjälp!AH$2)-COLUMN(Beräkningshjälp!AC$2)+1,FALSE),"")</f>
        <v/>
      </c>
      <c r="I964" s="116" t="str">
        <f>IF(D964&lt;&gt;"",VLOOKUP(ROW(E963),Beräkningshjälp!AC$2:AI$1082,COLUMN(Beräkningshjälp!AI$2)-COLUMN(Beräkningshjälp!AC$2)+1,FALSE),"")</f>
        <v/>
      </c>
    </row>
    <row r="965" spans="1:9" x14ac:dyDescent="0.25">
      <c r="A965" s="2" t="str">
        <f t="shared" si="30"/>
        <v/>
      </c>
      <c r="B965" s="136" t="str">
        <f>IF(D965&lt;&gt;"",'DATA TILL SLU'!$J$3,"")</f>
        <v/>
      </c>
      <c r="C965" s="146" t="str">
        <f>IF(D965&lt;&gt;"",'DATA TILL SLU'!$K$3,"")</f>
        <v/>
      </c>
      <c r="D965" s="2" t="str">
        <f>IF('DATA TILL SLU'!$D$7*1&lt;&gt;"",IF(COUNT(Beräkningshjälp!$AC$3:$AC$1082)&gt;=ROW(D964),'DATA TILL SLU'!$D$7*1,""),"")</f>
        <v/>
      </c>
      <c r="E965" s="136" t="str">
        <f>IF(D965&lt;&gt;"",VLOOKUP(ROW(E964),Beräkningshjälp!AC$2:AH$1082,COLUMN(Beräkningshjälp!AF$2)-COLUMN(Beräkningshjälp!AC$2)+1,FALSE),"")</f>
        <v/>
      </c>
      <c r="F965" s="352" t="str">
        <f t="shared" si="31"/>
        <v/>
      </c>
      <c r="G965" s="2" t="str">
        <f>IF(D965&lt;&gt;"",IF(VLOOKUP(VLOOKUP(E965,Beräkningshjälp!O$2:U$60,7,FALSE),Artuppgifter!$I$11:$P$22,8,FALSE)=TRUE,"Medelvikter!!","ALLA"),"")</f>
        <v/>
      </c>
      <c r="H965" s="2" t="str">
        <f>IF(D965&lt;&gt;"",VLOOKUP(ROW(H964),Beräkningshjälp!AC$2:AH$1082,COLUMN(Beräkningshjälp!AH$2)-COLUMN(Beräkningshjälp!AC$2)+1,FALSE),"")</f>
        <v/>
      </c>
      <c r="I965" s="116" t="str">
        <f>IF(D965&lt;&gt;"",VLOOKUP(ROW(E964),Beräkningshjälp!AC$2:AI$1082,COLUMN(Beräkningshjälp!AI$2)-COLUMN(Beräkningshjälp!AC$2)+1,FALSE),"")</f>
        <v/>
      </c>
    </row>
    <row r="966" spans="1:9" x14ac:dyDescent="0.25">
      <c r="A966" s="2" t="str">
        <f t="shared" si="30"/>
        <v/>
      </c>
      <c r="B966" s="136" t="str">
        <f>IF(D966&lt;&gt;"",'DATA TILL SLU'!$J$3,"")</f>
        <v/>
      </c>
      <c r="C966" s="146" t="str">
        <f>IF(D966&lt;&gt;"",'DATA TILL SLU'!$K$3,"")</f>
        <v/>
      </c>
      <c r="D966" s="2" t="str">
        <f>IF('DATA TILL SLU'!$D$7*1&lt;&gt;"",IF(COUNT(Beräkningshjälp!$AC$3:$AC$1082)&gt;=ROW(D965),'DATA TILL SLU'!$D$7*1,""),"")</f>
        <v/>
      </c>
      <c r="E966" s="136" t="str">
        <f>IF(D966&lt;&gt;"",VLOOKUP(ROW(E965),Beräkningshjälp!AC$2:AH$1082,COLUMN(Beräkningshjälp!AF$2)-COLUMN(Beräkningshjälp!AC$2)+1,FALSE),"")</f>
        <v/>
      </c>
      <c r="F966" s="352" t="str">
        <f t="shared" si="31"/>
        <v/>
      </c>
      <c r="G966" s="2" t="str">
        <f>IF(D966&lt;&gt;"",IF(VLOOKUP(VLOOKUP(E966,Beräkningshjälp!O$2:U$60,7,FALSE),Artuppgifter!$I$11:$P$22,8,FALSE)=TRUE,"Medelvikter!!","ALLA"),"")</f>
        <v/>
      </c>
      <c r="H966" s="2" t="str">
        <f>IF(D966&lt;&gt;"",VLOOKUP(ROW(H965),Beräkningshjälp!AC$2:AH$1082,COLUMN(Beräkningshjälp!AH$2)-COLUMN(Beräkningshjälp!AC$2)+1,FALSE),"")</f>
        <v/>
      </c>
      <c r="I966" s="116" t="str">
        <f>IF(D966&lt;&gt;"",VLOOKUP(ROW(E965),Beräkningshjälp!AC$2:AI$1082,COLUMN(Beräkningshjälp!AI$2)-COLUMN(Beräkningshjälp!AC$2)+1,FALSE),"")</f>
        <v/>
      </c>
    </row>
    <row r="967" spans="1:9" x14ac:dyDescent="0.25">
      <c r="A967" s="2" t="str">
        <f t="shared" si="30"/>
        <v/>
      </c>
      <c r="B967" s="136" t="str">
        <f>IF(D967&lt;&gt;"",'DATA TILL SLU'!$J$3,"")</f>
        <v/>
      </c>
      <c r="C967" s="146" t="str">
        <f>IF(D967&lt;&gt;"",'DATA TILL SLU'!$K$3,"")</f>
        <v/>
      </c>
      <c r="D967" s="2" t="str">
        <f>IF('DATA TILL SLU'!$D$7*1&lt;&gt;"",IF(COUNT(Beräkningshjälp!$AC$3:$AC$1082)&gt;=ROW(D966),'DATA TILL SLU'!$D$7*1,""),"")</f>
        <v/>
      </c>
      <c r="E967" s="136" t="str">
        <f>IF(D967&lt;&gt;"",VLOOKUP(ROW(E966),Beräkningshjälp!AC$2:AH$1082,COLUMN(Beräkningshjälp!AF$2)-COLUMN(Beräkningshjälp!AC$2)+1,FALSE),"")</f>
        <v/>
      </c>
      <c r="F967" s="352" t="str">
        <f t="shared" si="31"/>
        <v/>
      </c>
      <c r="G967" s="2" t="str">
        <f>IF(D967&lt;&gt;"",IF(VLOOKUP(VLOOKUP(E967,Beräkningshjälp!O$2:U$60,7,FALSE),Artuppgifter!$I$11:$P$22,8,FALSE)=TRUE,"Medelvikter!!","ALLA"),"")</f>
        <v/>
      </c>
      <c r="H967" s="2" t="str">
        <f>IF(D967&lt;&gt;"",VLOOKUP(ROW(H966),Beräkningshjälp!AC$2:AH$1082,COLUMN(Beräkningshjälp!AH$2)-COLUMN(Beräkningshjälp!AC$2)+1,FALSE),"")</f>
        <v/>
      </c>
      <c r="I967" s="116" t="str">
        <f>IF(D967&lt;&gt;"",VLOOKUP(ROW(E966),Beräkningshjälp!AC$2:AI$1082,COLUMN(Beräkningshjälp!AI$2)-COLUMN(Beräkningshjälp!AC$2)+1,FALSE),"")</f>
        <v/>
      </c>
    </row>
    <row r="968" spans="1:9" x14ac:dyDescent="0.25">
      <c r="A968" s="2" t="str">
        <f t="shared" si="30"/>
        <v/>
      </c>
      <c r="B968" s="136" t="str">
        <f>IF(D968&lt;&gt;"",'DATA TILL SLU'!$J$3,"")</f>
        <v/>
      </c>
      <c r="C968" s="146" t="str">
        <f>IF(D968&lt;&gt;"",'DATA TILL SLU'!$K$3,"")</f>
        <v/>
      </c>
      <c r="D968" s="2" t="str">
        <f>IF('DATA TILL SLU'!$D$7*1&lt;&gt;"",IF(COUNT(Beräkningshjälp!$AC$3:$AC$1082)&gt;=ROW(D967),'DATA TILL SLU'!$D$7*1,""),"")</f>
        <v/>
      </c>
      <c r="E968" s="136" t="str">
        <f>IF(D968&lt;&gt;"",VLOOKUP(ROW(E967),Beräkningshjälp!AC$2:AH$1082,COLUMN(Beräkningshjälp!AF$2)-COLUMN(Beräkningshjälp!AC$2)+1,FALSE),"")</f>
        <v/>
      </c>
      <c r="F968" s="352" t="str">
        <f t="shared" si="31"/>
        <v/>
      </c>
      <c r="G968" s="2" t="str">
        <f>IF(D968&lt;&gt;"",IF(VLOOKUP(VLOOKUP(E968,Beräkningshjälp!O$2:U$60,7,FALSE),Artuppgifter!$I$11:$P$22,8,FALSE)=TRUE,"Medelvikter!!","ALLA"),"")</f>
        <v/>
      </c>
      <c r="H968" s="2" t="str">
        <f>IF(D968&lt;&gt;"",VLOOKUP(ROW(H967),Beräkningshjälp!AC$2:AH$1082,COLUMN(Beräkningshjälp!AH$2)-COLUMN(Beräkningshjälp!AC$2)+1,FALSE),"")</f>
        <v/>
      </c>
      <c r="I968" s="116" t="str">
        <f>IF(D968&lt;&gt;"",VLOOKUP(ROW(E967),Beräkningshjälp!AC$2:AI$1082,COLUMN(Beräkningshjälp!AI$2)-COLUMN(Beräkningshjälp!AC$2)+1,FALSE),"")</f>
        <v/>
      </c>
    </row>
    <row r="969" spans="1:9" x14ac:dyDescent="0.25">
      <c r="A969" s="2" t="str">
        <f t="shared" si="30"/>
        <v/>
      </c>
      <c r="B969" s="136" t="str">
        <f>IF(D969&lt;&gt;"",'DATA TILL SLU'!$J$3,"")</f>
        <v/>
      </c>
      <c r="C969" s="146" t="str">
        <f>IF(D969&lt;&gt;"",'DATA TILL SLU'!$K$3,"")</f>
        <v/>
      </c>
      <c r="D969" s="2" t="str">
        <f>IF('DATA TILL SLU'!$D$7*1&lt;&gt;"",IF(COUNT(Beräkningshjälp!$AC$3:$AC$1082)&gt;=ROW(D968),'DATA TILL SLU'!$D$7*1,""),"")</f>
        <v/>
      </c>
      <c r="E969" s="136" t="str">
        <f>IF(D969&lt;&gt;"",VLOOKUP(ROW(E968),Beräkningshjälp!AC$2:AH$1082,COLUMN(Beräkningshjälp!AF$2)-COLUMN(Beräkningshjälp!AC$2)+1,FALSE),"")</f>
        <v/>
      </c>
      <c r="F969" s="352" t="str">
        <f t="shared" si="31"/>
        <v/>
      </c>
      <c r="G969" s="2" t="str">
        <f>IF(D969&lt;&gt;"",IF(VLOOKUP(VLOOKUP(E969,Beräkningshjälp!O$2:U$60,7,FALSE),Artuppgifter!$I$11:$P$22,8,FALSE)=TRUE,"Medelvikter!!","ALLA"),"")</f>
        <v/>
      </c>
      <c r="H969" s="2" t="str">
        <f>IF(D969&lt;&gt;"",VLOOKUP(ROW(H968),Beräkningshjälp!AC$2:AH$1082,COLUMN(Beräkningshjälp!AH$2)-COLUMN(Beräkningshjälp!AC$2)+1,FALSE),"")</f>
        <v/>
      </c>
      <c r="I969" s="116" t="str">
        <f>IF(D969&lt;&gt;"",VLOOKUP(ROW(E968),Beräkningshjälp!AC$2:AI$1082,COLUMN(Beräkningshjälp!AI$2)-COLUMN(Beräkningshjälp!AC$2)+1,FALSE),"")</f>
        <v/>
      </c>
    </row>
    <row r="970" spans="1:9" x14ac:dyDescent="0.25">
      <c r="A970" s="2" t="str">
        <f t="shared" si="30"/>
        <v/>
      </c>
      <c r="B970" s="136" t="str">
        <f>IF(D970&lt;&gt;"",'DATA TILL SLU'!$J$3,"")</f>
        <v/>
      </c>
      <c r="C970" s="146" t="str">
        <f>IF(D970&lt;&gt;"",'DATA TILL SLU'!$K$3,"")</f>
        <v/>
      </c>
      <c r="D970" s="2" t="str">
        <f>IF('DATA TILL SLU'!$D$7*1&lt;&gt;"",IF(COUNT(Beräkningshjälp!$AC$3:$AC$1082)&gt;=ROW(D969),'DATA TILL SLU'!$D$7*1,""),"")</f>
        <v/>
      </c>
      <c r="E970" s="136" t="str">
        <f>IF(D970&lt;&gt;"",VLOOKUP(ROW(E969),Beräkningshjälp!AC$2:AH$1082,COLUMN(Beräkningshjälp!AF$2)-COLUMN(Beräkningshjälp!AC$2)+1,FALSE),"")</f>
        <v/>
      </c>
      <c r="F970" s="352" t="str">
        <f t="shared" si="31"/>
        <v/>
      </c>
      <c r="G970" s="2" t="str">
        <f>IF(D970&lt;&gt;"",IF(VLOOKUP(VLOOKUP(E970,Beräkningshjälp!O$2:U$60,7,FALSE),Artuppgifter!$I$11:$P$22,8,FALSE)=TRUE,"Medelvikter!!","ALLA"),"")</f>
        <v/>
      </c>
      <c r="H970" s="2" t="str">
        <f>IF(D970&lt;&gt;"",VLOOKUP(ROW(H969),Beräkningshjälp!AC$2:AH$1082,COLUMN(Beräkningshjälp!AH$2)-COLUMN(Beräkningshjälp!AC$2)+1,FALSE),"")</f>
        <v/>
      </c>
      <c r="I970" s="116" t="str">
        <f>IF(D970&lt;&gt;"",VLOOKUP(ROW(E969),Beräkningshjälp!AC$2:AI$1082,COLUMN(Beräkningshjälp!AI$2)-COLUMN(Beräkningshjälp!AC$2)+1,FALSE),"")</f>
        <v/>
      </c>
    </row>
    <row r="971" spans="1:9" x14ac:dyDescent="0.25">
      <c r="A971" s="2" t="str">
        <f t="shared" si="30"/>
        <v/>
      </c>
      <c r="B971" s="136" t="str">
        <f>IF(D971&lt;&gt;"",'DATA TILL SLU'!$J$3,"")</f>
        <v/>
      </c>
      <c r="C971" s="146" t="str">
        <f>IF(D971&lt;&gt;"",'DATA TILL SLU'!$K$3,"")</f>
        <v/>
      </c>
      <c r="D971" s="2" t="str">
        <f>IF('DATA TILL SLU'!$D$7*1&lt;&gt;"",IF(COUNT(Beräkningshjälp!$AC$3:$AC$1082)&gt;=ROW(D970),'DATA TILL SLU'!$D$7*1,""),"")</f>
        <v/>
      </c>
      <c r="E971" s="136" t="str">
        <f>IF(D971&lt;&gt;"",VLOOKUP(ROW(E970),Beräkningshjälp!AC$2:AH$1082,COLUMN(Beräkningshjälp!AF$2)-COLUMN(Beräkningshjälp!AC$2)+1,FALSE),"")</f>
        <v/>
      </c>
      <c r="F971" s="352" t="str">
        <f t="shared" si="31"/>
        <v/>
      </c>
      <c r="G971" s="2" t="str">
        <f>IF(D971&lt;&gt;"",IF(VLOOKUP(VLOOKUP(E971,Beräkningshjälp!O$2:U$60,7,FALSE),Artuppgifter!$I$11:$P$22,8,FALSE)=TRUE,"Medelvikter!!","ALLA"),"")</f>
        <v/>
      </c>
      <c r="H971" s="2" t="str">
        <f>IF(D971&lt;&gt;"",VLOOKUP(ROW(H970),Beräkningshjälp!AC$2:AH$1082,COLUMN(Beräkningshjälp!AH$2)-COLUMN(Beräkningshjälp!AC$2)+1,FALSE),"")</f>
        <v/>
      </c>
      <c r="I971" s="116" t="str">
        <f>IF(D971&lt;&gt;"",VLOOKUP(ROW(E970),Beräkningshjälp!AC$2:AI$1082,COLUMN(Beräkningshjälp!AI$2)-COLUMN(Beräkningshjälp!AC$2)+1,FALSE),"")</f>
        <v/>
      </c>
    </row>
    <row r="972" spans="1:9" x14ac:dyDescent="0.25">
      <c r="A972" s="2" t="str">
        <f t="shared" si="30"/>
        <v/>
      </c>
      <c r="B972" s="136" t="str">
        <f>IF(D972&lt;&gt;"",'DATA TILL SLU'!$J$3,"")</f>
        <v/>
      </c>
      <c r="C972" s="146" t="str">
        <f>IF(D972&lt;&gt;"",'DATA TILL SLU'!$K$3,"")</f>
        <v/>
      </c>
      <c r="D972" s="2" t="str">
        <f>IF('DATA TILL SLU'!$D$7*1&lt;&gt;"",IF(COUNT(Beräkningshjälp!$AC$3:$AC$1082)&gt;=ROW(D971),'DATA TILL SLU'!$D$7*1,""),"")</f>
        <v/>
      </c>
      <c r="E972" s="136" t="str">
        <f>IF(D972&lt;&gt;"",VLOOKUP(ROW(E971),Beräkningshjälp!AC$2:AH$1082,COLUMN(Beräkningshjälp!AF$2)-COLUMN(Beräkningshjälp!AC$2)+1,FALSE),"")</f>
        <v/>
      </c>
      <c r="F972" s="352" t="str">
        <f t="shared" si="31"/>
        <v/>
      </c>
      <c r="G972" s="2" t="str">
        <f>IF(D972&lt;&gt;"",IF(VLOOKUP(VLOOKUP(E972,Beräkningshjälp!O$2:U$60,7,FALSE),Artuppgifter!$I$11:$P$22,8,FALSE)=TRUE,"Medelvikter!!","ALLA"),"")</f>
        <v/>
      </c>
      <c r="H972" s="2" t="str">
        <f>IF(D972&lt;&gt;"",VLOOKUP(ROW(H971),Beräkningshjälp!AC$2:AH$1082,COLUMN(Beräkningshjälp!AH$2)-COLUMN(Beräkningshjälp!AC$2)+1,FALSE),"")</f>
        <v/>
      </c>
      <c r="I972" s="116" t="str">
        <f>IF(D972&lt;&gt;"",VLOOKUP(ROW(E971),Beräkningshjälp!AC$2:AI$1082,COLUMN(Beräkningshjälp!AI$2)-COLUMN(Beräkningshjälp!AC$2)+1,FALSE),"")</f>
        <v/>
      </c>
    </row>
    <row r="973" spans="1:9" x14ac:dyDescent="0.25">
      <c r="A973" s="2" t="str">
        <f t="shared" si="30"/>
        <v/>
      </c>
      <c r="B973" s="136" t="str">
        <f>IF(D973&lt;&gt;"",'DATA TILL SLU'!$J$3,"")</f>
        <v/>
      </c>
      <c r="C973" s="146" t="str">
        <f>IF(D973&lt;&gt;"",'DATA TILL SLU'!$K$3,"")</f>
        <v/>
      </c>
      <c r="D973" s="2" t="str">
        <f>IF('DATA TILL SLU'!$D$7*1&lt;&gt;"",IF(COUNT(Beräkningshjälp!$AC$3:$AC$1082)&gt;=ROW(D972),'DATA TILL SLU'!$D$7*1,""),"")</f>
        <v/>
      </c>
      <c r="E973" s="136" t="str">
        <f>IF(D973&lt;&gt;"",VLOOKUP(ROW(E972),Beräkningshjälp!AC$2:AH$1082,COLUMN(Beräkningshjälp!AF$2)-COLUMN(Beräkningshjälp!AC$2)+1,FALSE),"")</f>
        <v/>
      </c>
      <c r="F973" s="352" t="str">
        <f t="shared" si="31"/>
        <v/>
      </c>
      <c r="G973" s="2" t="str">
        <f>IF(D973&lt;&gt;"",IF(VLOOKUP(VLOOKUP(E973,Beräkningshjälp!O$2:U$60,7,FALSE),Artuppgifter!$I$11:$P$22,8,FALSE)=TRUE,"Medelvikter!!","ALLA"),"")</f>
        <v/>
      </c>
      <c r="H973" s="2" t="str">
        <f>IF(D973&lt;&gt;"",VLOOKUP(ROW(H972),Beräkningshjälp!AC$2:AH$1082,COLUMN(Beräkningshjälp!AH$2)-COLUMN(Beräkningshjälp!AC$2)+1,FALSE),"")</f>
        <v/>
      </c>
      <c r="I973" s="116" t="str">
        <f>IF(D973&lt;&gt;"",VLOOKUP(ROW(E972),Beräkningshjälp!AC$2:AI$1082,COLUMN(Beräkningshjälp!AI$2)-COLUMN(Beräkningshjälp!AC$2)+1,FALSE),"")</f>
        <v/>
      </c>
    </row>
    <row r="974" spans="1:9" x14ac:dyDescent="0.25">
      <c r="A974" s="2" t="str">
        <f t="shared" si="30"/>
        <v/>
      </c>
      <c r="B974" s="136" t="str">
        <f>IF(D974&lt;&gt;"",'DATA TILL SLU'!$J$3,"")</f>
        <v/>
      </c>
      <c r="C974" s="146" t="str">
        <f>IF(D974&lt;&gt;"",'DATA TILL SLU'!$K$3,"")</f>
        <v/>
      </c>
      <c r="D974" s="2" t="str">
        <f>IF('DATA TILL SLU'!$D$7*1&lt;&gt;"",IF(COUNT(Beräkningshjälp!$AC$3:$AC$1082)&gt;=ROW(D973),'DATA TILL SLU'!$D$7*1,""),"")</f>
        <v/>
      </c>
      <c r="E974" s="136" t="str">
        <f>IF(D974&lt;&gt;"",VLOOKUP(ROW(E973),Beräkningshjälp!AC$2:AH$1082,COLUMN(Beräkningshjälp!AF$2)-COLUMN(Beräkningshjälp!AC$2)+1,FALSE),"")</f>
        <v/>
      </c>
      <c r="F974" s="352" t="str">
        <f t="shared" si="31"/>
        <v/>
      </c>
      <c r="G974" s="2" t="str">
        <f>IF(D974&lt;&gt;"",IF(VLOOKUP(VLOOKUP(E974,Beräkningshjälp!O$2:U$60,7,FALSE),Artuppgifter!$I$11:$P$22,8,FALSE)=TRUE,"Medelvikter!!","ALLA"),"")</f>
        <v/>
      </c>
      <c r="H974" s="2" t="str">
        <f>IF(D974&lt;&gt;"",VLOOKUP(ROW(H973),Beräkningshjälp!AC$2:AH$1082,COLUMN(Beräkningshjälp!AH$2)-COLUMN(Beräkningshjälp!AC$2)+1,FALSE),"")</f>
        <v/>
      </c>
      <c r="I974" s="116" t="str">
        <f>IF(D974&lt;&gt;"",VLOOKUP(ROW(E973),Beräkningshjälp!AC$2:AI$1082,COLUMN(Beräkningshjälp!AI$2)-COLUMN(Beräkningshjälp!AC$2)+1,FALSE),"")</f>
        <v/>
      </c>
    </row>
    <row r="975" spans="1:9" x14ac:dyDescent="0.25">
      <c r="A975" s="2" t="str">
        <f t="shared" si="30"/>
        <v/>
      </c>
      <c r="B975" s="136" t="str">
        <f>IF(D975&lt;&gt;"",'DATA TILL SLU'!$J$3,"")</f>
        <v/>
      </c>
      <c r="C975" s="146" t="str">
        <f>IF(D975&lt;&gt;"",'DATA TILL SLU'!$K$3,"")</f>
        <v/>
      </c>
      <c r="D975" s="2" t="str">
        <f>IF('DATA TILL SLU'!$D$7*1&lt;&gt;"",IF(COUNT(Beräkningshjälp!$AC$3:$AC$1082)&gt;=ROW(D974),'DATA TILL SLU'!$D$7*1,""),"")</f>
        <v/>
      </c>
      <c r="E975" s="136" t="str">
        <f>IF(D975&lt;&gt;"",VLOOKUP(ROW(E974),Beräkningshjälp!AC$2:AH$1082,COLUMN(Beräkningshjälp!AF$2)-COLUMN(Beräkningshjälp!AC$2)+1,FALSE),"")</f>
        <v/>
      </c>
      <c r="F975" s="352" t="str">
        <f t="shared" si="31"/>
        <v/>
      </c>
      <c r="G975" s="2" t="str">
        <f>IF(D975&lt;&gt;"",IF(VLOOKUP(VLOOKUP(E975,Beräkningshjälp!O$2:U$60,7,FALSE),Artuppgifter!$I$11:$P$22,8,FALSE)=TRUE,"Medelvikter!!","ALLA"),"")</f>
        <v/>
      </c>
      <c r="H975" s="2" t="str">
        <f>IF(D975&lt;&gt;"",VLOOKUP(ROW(H974),Beräkningshjälp!AC$2:AH$1082,COLUMN(Beräkningshjälp!AH$2)-COLUMN(Beräkningshjälp!AC$2)+1,FALSE),"")</f>
        <v/>
      </c>
      <c r="I975" s="116" t="str">
        <f>IF(D975&lt;&gt;"",VLOOKUP(ROW(E974),Beräkningshjälp!AC$2:AI$1082,COLUMN(Beräkningshjälp!AI$2)-COLUMN(Beräkningshjälp!AC$2)+1,FALSE),"")</f>
        <v/>
      </c>
    </row>
    <row r="976" spans="1:9" x14ac:dyDescent="0.25">
      <c r="A976" s="2" t="str">
        <f t="shared" si="30"/>
        <v/>
      </c>
      <c r="B976" s="136" t="str">
        <f>IF(D976&lt;&gt;"",'DATA TILL SLU'!$J$3,"")</f>
        <v/>
      </c>
      <c r="C976" s="146" t="str">
        <f>IF(D976&lt;&gt;"",'DATA TILL SLU'!$K$3,"")</f>
        <v/>
      </c>
      <c r="D976" s="2" t="str">
        <f>IF('DATA TILL SLU'!$D$7*1&lt;&gt;"",IF(COUNT(Beräkningshjälp!$AC$3:$AC$1082)&gt;=ROW(D975),'DATA TILL SLU'!$D$7*1,""),"")</f>
        <v/>
      </c>
      <c r="E976" s="136" t="str">
        <f>IF(D976&lt;&gt;"",VLOOKUP(ROW(E975),Beräkningshjälp!AC$2:AH$1082,COLUMN(Beräkningshjälp!AF$2)-COLUMN(Beräkningshjälp!AC$2)+1,FALSE),"")</f>
        <v/>
      </c>
      <c r="F976" s="352" t="str">
        <f t="shared" si="31"/>
        <v/>
      </c>
      <c r="G976" s="2" t="str">
        <f>IF(D976&lt;&gt;"",IF(VLOOKUP(VLOOKUP(E976,Beräkningshjälp!O$2:U$60,7,FALSE),Artuppgifter!$I$11:$P$22,8,FALSE)=TRUE,"Medelvikter!!","ALLA"),"")</f>
        <v/>
      </c>
      <c r="H976" s="2" t="str">
        <f>IF(D976&lt;&gt;"",VLOOKUP(ROW(H975),Beräkningshjälp!AC$2:AH$1082,COLUMN(Beräkningshjälp!AH$2)-COLUMN(Beräkningshjälp!AC$2)+1,FALSE),"")</f>
        <v/>
      </c>
      <c r="I976" s="116" t="str">
        <f>IF(D976&lt;&gt;"",VLOOKUP(ROW(E975),Beräkningshjälp!AC$2:AI$1082,COLUMN(Beräkningshjälp!AI$2)-COLUMN(Beräkningshjälp!AC$2)+1,FALSE),"")</f>
        <v/>
      </c>
    </row>
    <row r="977" spans="1:9" x14ac:dyDescent="0.25">
      <c r="A977" s="2" t="str">
        <f t="shared" si="30"/>
        <v/>
      </c>
      <c r="B977" s="136" t="str">
        <f>IF(D977&lt;&gt;"",'DATA TILL SLU'!$J$3,"")</f>
        <v/>
      </c>
      <c r="C977" s="146" t="str">
        <f>IF(D977&lt;&gt;"",'DATA TILL SLU'!$K$3,"")</f>
        <v/>
      </c>
      <c r="D977" s="2" t="str">
        <f>IF('DATA TILL SLU'!$D$7*1&lt;&gt;"",IF(COUNT(Beräkningshjälp!$AC$3:$AC$1082)&gt;=ROW(D976),'DATA TILL SLU'!$D$7*1,""),"")</f>
        <v/>
      </c>
      <c r="E977" s="136" t="str">
        <f>IF(D977&lt;&gt;"",VLOOKUP(ROW(E976),Beräkningshjälp!AC$2:AH$1082,COLUMN(Beräkningshjälp!AF$2)-COLUMN(Beräkningshjälp!AC$2)+1,FALSE),"")</f>
        <v/>
      </c>
      <c r="F977" s="352" t="str">
        <f t="shared" si="31"/>
        <v/>
      </c>
      <c r="G977" s="2" t="str">
        <f>IF(D977&lt;&gt;"",IF(VLOOKUP(VLOOKUP(E977,Beräkningshjälp!O$2:U$60,7,FALSE),Artuppgifter!$I$11:$P$22,8,FALSE)=TRUE,"Medelvikter!!","ALLA"),"")</f>
        <v/>
      </c>
      <c r="H977" s="2" t="str">
        <f>IF(D977&lt;&gt;"",VLOOKUP(ROW(H976),Beräkningshjälp!AC$2:AH$1082,COLUMN(Beräkningshjälp!AH$2)-COLUMN(Beräkningshjälp!AC$2)+1,FALSE),"")</f>
        <v/>
      </c>
      <c r="I977" s="116" t="str">
        <f>IF(D977&lt;&gt;"",VLOOKUP(ROW(E976),Beräkningshjälp!AC$2:AI$1082,COLUMN(Beräkningshjälp!AI$2)-COLUMN(Beräkningshjälp!AC$2)+1,FALSE),"")</f>
        <v/>
      </c>
    </row>
    <row r="978" spans="1:9" x14ac:dyDescent="0.25">
      <c r="A978" s="2" t="str">
        <f t="shared" si="30"/>
        <v/>
      </c>
      <c r="B978" s="136" t="str">
        <f>IF(D978&lt;&gt;"",'DATA TILL SLU'!$J$3,"")</f>
        <v/>
      </c>
      <c r="C978" s="146" t="str">
        <f>IF(D978&lt;&gt;"",'DATA TILL SLU'!$K$3,"")</f>
        <v/>
      </c>
      <c r="D978" s="2" t="str">
        <f>IF('DATA TILL SLU'!$D$7*1&lt;&gt;"",IF(COUNT(Beräkningshjälp!$AC$3:$AC$1082)&gt;=ROW(D977),'DATA TILL SLU'!$D$7*1,""),"")</f>
        <v/>
      </c>
      <c r="E978" s="136" t="str">
        <f>IF(D978&lt;&gt;"",VLOOKUP(ROW(E977),Beräkningshjälp!AC$2:AH$1082,COLUMN(Beräkningshjälp!AF$2)-COLUMN(Beräkningshjälp!AC$2)+1,FALSE),"")</f>
        <v/>
      </c>
      <c r="F978" s="352" t="str">
        <f t="shared" si="31"/>
        <v/>
      </c>
      <c r="G978" s="2" t="str">
        <f>IF(D978&lt;&gt;"",IF(VLOOKUP(VLOOKUP(E978,Beräkningshjälp!O$2:U$60,7,FALSE),Artuppgifter!$I$11:$P$22,8,FALSE)=TRUE,"Medelvikter!!","ALLA"),"")</f>
        <v/>
      </c>
      <c r="H978" s="2" t="str">
        <f>IF(D978&lt;&gt;"",VLOOKUP(ROW(H977),Beräkningshjälp!AC$2:AH$1082,COLUMN(Beräkningshjälp!AH$2)-COLUMN(Beräkningshjälp!AC$2)+1,FALSE),"")</f>
        <v/>
      </c>
      <c r="I978" s="116" t="str">
        <f>IF(D978&lt;&gt;"",VLOOKUP(ROW(E977),Beräkningshjälp!AC$2:AI$1082,COLUMN(Beräkningshjälp!AI$2)-COLUMN(Beräkningshjälp!AC$2)+1,FALSE),"")</f>
        <v/>
      </c>
    </row>
    <row r="979" spans="1:9" x14ac:dyDescent="0.25">
      <c r="A979" s="2" t="str">
        <f t="shared" si="30"/>
        <v/>
      </c>
      <c r="B979" s="136" t="str">
        <f>IF(D979&lt;&gt;"",'DATA TILL SLU'!$J$3,"")</f>
        <v/>
      </c>
      <c r="C979" s="146" t="str">
        <f>IF(D979&lt;&gt;"",'DATA TILL SLU'!$K$3,"")</f>
        <v/>
      </c>
      <c r="D979" s="2" t="str">
        <f>IF('DATA TILL SLU'!$D$7*1&lt;&gt;"",IF(COUNT(Beräkningshjälp!$AC$3:$AC$1082)&gt;=ROW(D978),'DATA TILL SLU'!$D$7*1,""),"")</f>
        <v/>
      </c>
      <c r="E979" s="136" t="str">
        <f>IF(D979&lt;&gt;"",VLOOKUP(ROW(E978),Beräkningshjälp!AC$2:AH$1082,COLUMN(Beräkningshjälp!AF$2)-COLUMN(Beräkningshjälp!AC$2)+1,FALSE),"")</f>
        <v/>
      </c>
      <c r="F979" s="352" t="str">
        <f t="shared" si="31"/>
        <v/>
      </c>
      <c r="G979" s="2" t="str">
        <f>IF(D979&lt;&gt;"",IF(VLOOKUP(VLOOKUP(E979,Beräkningshjälp!O$2:U$60,7,FALSE),Artuppgifter!$I$11:$P$22,8,FALSE)=TRUE,"Medelvikter!!","ALLA"),"")</f>
        <v/>
      </c>
      <c r="H979" s="2" t="str">
        <f>IF(D979&lt;&gt;"",VLOOKUP(ROW(H978),Beräkningshjälp!AC$2:AH$1082,COLUMN(Beräkningshjälp!AH$2)-COLUMN(Beräkningshjälp!AC$2)+1,FALSE),"")</f>
        <v/>
      </c>
      <c r="I979" s="116" t="str">
        <f>IF(D979&lt;&gt;"",VLOOKUP(ROW(E978),Beräkningshjälp!AC$2:AI$1082,COLUMN(Beräkningshjälp!AI$2)-COLUMN(Beräkningshjälp!AC$2)+1,FALSE),"")</f>
        <v/>
      </c>
    </row>
    <row r="980" spans="1:9" x14ac:dyDescent="0.25">
      <c r="A980" s="2" t="str">
        <f t="shared" si="30"/>
        <v/>
      </c>
      <c r="B980" s="136" t="str">
        <f>IF(D980&lt;&gt;"",'DATA TILL SLU'!$J$3,"")</f>
        <v/>
      </c>
      <c r="C980" s="146" t="str">
        <f>IF(D980&lt;&gt;"",'DATA TILL SLU'!$K$3,"")</f>
        <v/>
      </c>
      <c r="D980" s="2" t="str">
        <f>IF('DATA TILL SLU'!$D$7*1&lt;&gt;"",IF(COUNT(Beräkningshjälp!$AC$3:$AC$1082)&gt;=ROW(D979),'DATA TILL SLU'!$D$7*1,""),"")</f>
        <v/>
      </c>
      <c r="E980" s="136" t="str">
        <f>IF(D980&lt;&gt;"",VLOOKUP(ROW(E979),Beräkningshjälp!AC$2:AH$1082,COLUMN(Beräkningshjälp!AF$2)-COLUMN(Beräkningshjälp!AC$2)+1,FALSE),"")</f>
        <v/>
      </c>
      <c r="F980" s="352" t="str">
        <f t="shared" si="31"/>
        <v/>
      </c>
      <c r="G980" s="2" t="str">
        <f>IF(D980&lt;&gt;"",IF(VLOOKUP(VLOOKUP(E980,Beräkningshjälp!O$2:U$60,7,FALSE),Artuppgifter!$I$11:$P$22,8,FALSE)=TRUE,"Medelvikter!!","ALLA"),"")</f>
        <v/>
      </c>
      <c r="H980" s="2" t="str">
        <f>IF(D980&lt;&gt;"",VLOOKUP(ROW(H979),Beräkningshjälp!AC$2:AH$1082,COLUMN(Beräkningshjälp!AH$2)-COLUMN(Beräkningshjälp!AC$2)+1,FALSE),"")</f>
        <v/>
      </c>
      <c r="I980" s="116" t="str">
        <f>IF(D980&lt;&gt;"",VLOOKUP(ROW(E979),Beräkningshjälp!AC$2:AI$1082,COLUMN(Beräkningshjälp!AI$2)-COLUMN(Beräkningshjälp!AC$2)+1,FALSE),"")</f>
        <v/>
      </c>
    </row>
    <row r="981" spans="1:9" x14ac:dyDescent="0.25">
      <c r="A981" s="2" t="str">
        <f t="shared" si="30"/>
        <v/>
      </c>
      <c r="B981" s="136" t="str">
        <f>IF(D981&lt;&gt;"",'DATA TILL SLU'!$J$3,"")</f>
        <v/>
      </c>
      <c r="C981" s="146" t="str">
        <f>IF(D981&lt;&gt;"",'DATA TILL SLU'!$K$3,"")</f>
        <v/>
      </c>
      <c r="D981" s="2" t="str">
        <f>IF('DATA TILL SLU'!$D$7*1&lt;&gt;"",IF(COUNT(Beräkningshjälp!$AC$3:$AC$1082)&gt;=ROW(D980),'DATA TILL SLU'!$D$7*1,""),"")</f>
        <v/>
      </c>
      <c r="E981" s="136" t="str">
        <f>IF(D981&lt;&gt;"",VLOOKUP(ROW(E980),Beräkningshjälp!AC$2:AH$1082,COLUMN(Beräkningshjälp!AF$2)-COLUMN(Beräkningshjälp!AC$2)+1,FALSE),"")</f>
        <v/>
      </c>
      <c r="F981" s="352" t="str">
        <f t="shared" si="31"/>
        <v/>
      </c>
      <c r="G981" s="2" t="str">
        <f>IF(D981&lt;&gt;"",IF(VLOOKUP(VLOOKUP(E981,Beräkningshjälp!O$2:U$60,7,FALSE),Artuppgifter!$I$11:$P$22,8,FALSE)=TRUE,"Medelvikter!!","ALLA"),"")</f>
        <v/>
      </c>
      <c r="H981" s="2" t="str">
        <f>IF(D981&lt;&gt;"",VLOOKUP(ROW(H980),Beräkningshjälp!AC$2:AH$1082,COLUMN(Beräkningshjälp!AH$2)-COLUMN(Beräkningshjälp!AC$2)+1,FALSE),"")</f>
        <v/>
      </c>
      <c r="I981" s="116" t="str">
        <f>IF(D981&lt;&gt;"",VLOOKUP(ROW(E980),Beräkningshjälp!AC$2:AI$1082,COLUMN(Beräkningshjälp!AI$2)-COLUMN(Beräkningshjälp!AC$2)+1,FALSE),"")</f>
        <v/>
      </c>
    </row>
    <row r="982" spans="1:9" x14ac:dyDescent="0.25">
      <c r="A982" s="2" t="str">
        <f t="shared" si="30"/>
        <v/>
      </c>
      <c r="B982" s="136" t="str">
        <f>IF(D982&lt;&gt;"",'DATA TILL SLU'!$J$3,"")</f>
        <v/>
      </c>
      <c r="C982" s="146" t="str">
        <f>IF(D982&lt;&gt;"",'DATA TILL SLU'!$K$3,"")</f>
        <v/>
      </c>
      <c r="D982" s="2" t="str">
        <f>IF('DATA TILL SLU'!$D$7*1&lt;&gt;"",IF(COUNT(Beräkningshjälp!$AC$3:$AC$1082)&gt;=ROW(D981),'DATA TILL SLU'!$D$7*1,""),"")</f>
        <v/>
      </c>
      <c r="E982" s="136" t="str">
        <f>IF(D982&lt;&gt;"",VLOOKUP(ROW(E981),Beräkningshjälp!AC$2:AH$1082,COLUMN(Beräkningshjälp!AF$2)-COLUMN(Beräkningshjälp!AC$2)+1,FALSE),"")</f>
        <v/>
      </c>
      <c r="F982" s="352" t="str">
        <f t="shared" si="31"/>
        <v/>
      </c>
      <c r="G982" s="2" t="str">
        <f>IF(D982&lt;&gt;"",IF(VLOOKUP(VLOOKUP(E982,Beräkningshjälp!O$2:U$60,7,FALSE),Artuppgifter!$I$11:$P$22,8,FALSE)=TRUE,"Medelvikter!!","ALLA"),"")</f>
        <v/>
      </c>
      <c r="H982" s="2" t="str">
        <f>IF(D982&lt;&gt;"",VLOOKUP(ROW(H981),Beräkningshjälp!AC$2:AH$1082,COLUMN(Beräkningshjälp!AH$2)-COLUMN(Beräkningshjälp!AC$2)+1,FALSE),"")</f>
        <v/>
      </c>
      <c r="I982" s="116" t="str">
        <f>IF(D982&lt;&gt;"",VLOOKUP(ROW(E981),Beräkningshjälp!AC$2:AI$1082,COLUMN(Beräkningshjälp!AI$2)-COLUMN(Beräkningshjälp!AC$2)+1,FALSE),"")</f>
        <v/>
      </c>
    </row>
    <row r="983" spans="1:9" x14ac:dyDescent="0.25">
      <c r="A983" s="2" t="str">
        <f t="shared" si="30"/>
        <v/>
      </c>
      <c r="B983" s="136" t="str">
        <f>IF(D983&lt;&gt;"",'DATA TILL SLU'!$J$3,"")</f>
        <v/>
      </c>
      <c r="C983" s="146" t="str">
        <f>IF(D983&lt;&gt;"",'DATA TILL SLU'!$K$3,"")</f>
        <v/>
      </c>
      <c r="D983" s="2" t="str">
        <f>IF('DATA TILL SLU'!$D$7*1&lt;&gt;"",IF(COUNT(Beräkningshjälp!$AC$3:$AC$1082)&gt;=ROW(D982),'DATA TILL SLU'!$D$7*1,""),"")</f>
        <v/>
      </c>
      <c r="E983" s="136" t="str">
        <f>IF(D983&lt;&gt;"",VLOOKUP(ROW(E982),Beräkningshjälp!AC$2:AH$1082,COLUMN(Beräkningshjälp!AF$2)-COLUMN(Beräkningshjälp!AC$2)+1,FALSE),"")</f>
        <v/>
      </c>
      <c r="F983" s="352" t="str">
        <f t="shared" si="31"/>
        <v/>
      </c>
      <c r="G983" s="2" t="str">
        <f>IF(D983&lt;&gt;"",IF(VLOOKUP(VLOOKUP(E983,Beräkningshjälp!O$2:U$60,7,FALSE),Artuppgifter!$I$11:$P$22,8,FALSE)=TRUE,"Medelvikter!!","ALLA"),"")</f>
        <v/>
      </c>
      <c r="H983" s="2" t="str">
        <f>IF(D983&lt;&gt;"",VLOOKUP(ROW(H982),Beräkningshjälp!AC$2:AH$1082,COLUMN(Beräkningshjälp!AH$2)-COLUMN(Beräkningshjälp!AC$2)+1,FALSE),"")</f>
        <v/>
      </c>
      <c r="I983" s="116" t="str">
        <f>IF(D983&lt;&gt;"",VLOOKUP(ROW(E982),Beräkningshjälp!AC$2:AI$1082,COLUMN(Beräkningshjälp!AI$2)-COLUMN(Beräkningshjälp!AC$2)+1,FALSE),"")</f>
        <v/>
      </c>
    </row>
    <row r="984" spans="1:9" x14ac:dyDescent="0.25">
      <c r="A984" s="2" t="str">
        <f t="shared" si="30"/>
        <v/>
      </c>
      <c r="B984" s="136" t="str">
        <f>IF(D984&lt;&gt;"",'DATA TILL SLU'!$J$3,"")</f>
        <v/>
      </c>
      <c r="C984" s="146" t="str">
        <f>IF(D984&lt;&gt;"",'DATA TILL SLU'!$K$3,"")</f>
        <v/>
      </c>
      <c r="D984" s="2" t="str">
        <f>IF('DATA TILL SLU'!$D$7*1&lt;&gt;"",IF(COUNT(Beräkningshjälp!$AC$3:$AC$1082)&gt;=ROW(D983),'DATA TILL SLU'!$D$7*1,""),"")</f>
        <v/>
      </c>
      <c r="E984" s="136" t="str">
        <f>IF(D984&lt;&gt;"",VLOOKUP(ROW(E983),Beräkningshjälp!AC$2:AH$1082,COLUMN(Beräkningshjälp!AF$2)-COLUMN(Beräkningshjälp!AC$2)+1,FALSE),"")</f>
        <v/>
      </c>
      <c r="F984" s="352" t="str">
        <f t="shared" si="31"/>
        <v/>
      </c>
      <c r="G984" s="2" t="str">
        <f>IF(D984&lt;&gt;"",IF(VLOOKUP(VLOOKUP(E984,Beräkningshjälp!O$2:U$60,7,FALSE),Artuppgifter!$I$11:$P$22,8,FALSE)=TRUE,"Medelvikter!!","ALLA"),"")</f>
        <v/>
      </c>
      <c r="H984" s="2" t="str">
        <f>IF(D984&lt;&gt;"",VLOOKUP(ROW(H983),Beräkningshjälp!AC$2:AH$1082,COLUMN(Beräkningshjälp!AH$2)-COLUMN(Beräkningshjälp!AC$2)+1,FALSE),"")</f>
        <v/>
      </c>
      <c r="I984" s="116" t="str">
        <f>IF(D984&lt;&gt;"",VLOOKUP(ROW(E983),Beräkningshjälp!AC$2:AI$1082,COLUMN(Beräkningshjälp!AI$2)-COLUMN(Beräkningshjälp!AC$2)+1,FALSE),"")</f>
        <v/>
      </c>
    </row>
    <row r="985" spans="1:9" x14ac:dyDescent="0.25">
      <c r="A985" s="2" t="str">
        <f t="shared" si="30"/>
        <v/>
      </c>
      <c r="B985" s="136" t="str">
        <f>IF(D985&lt;&gt;"",'DATA TILL SLU'!$J$3,"")</f>
        <v/>
      </c>
      <c r="C985" s="146" t="str">
        <f>IF(D985&lt;&gt;"",'DATA TILL SLU'!$K$3,"")</f>
        <v/>
      </c>
      <c r="D985" s="2" t="str">
        <f>IF('DATA TILL SLU'!$D$7*1&lt;&gt;"",IF(COUNT(Beräkningshjälp!$AC$3:$AC$1082)&gt;=ROW(D984),'DATA TILL SLU'!$D$7*1,""),"")</f>
        <v/>
      </c>
      <c r="E985" s="136" t="str">
        <f>IF(D985&lt;&gt;"",VLOOKUP(ROW(E984),Beräkningshjälp!AC$2:AH$1082,COLUMN(Beräkningshjälp!AF$2)-COLUMN(Beräkningshjälp!AC$2)+1,FALSE),"")</f>
        <v/>
      </c>
      <c r="F985" s="352" t="str">
        <f t="shared" si="31"/>
        <v/>
      </c>
      <c r="G985" s="2" t="str">
        <f>IF(D985&lt;&gt;"",IF(VLOOKUP(VLOOKUP(E985,Beräkningshjälp!O$2:U$60,7,FALSE),Artuppgifter!$I$11:$P$22,8,FALSE)=TRUE,"Medelvikter!!","ALLA"),"")</f>
        <v/>
      </c>
      <c r="H985" s="2" t="str">
        <f>IF(D985&lt;&gt;"",VLOOKUP(ROW(H984),Beräkningshjälp!AC$2:AH$1082,COLUMN(Beräkningshjälp!AH$2)-COLUMN(Beräkningshjälp!AC$2)+1,FALSE),"")</f>
        <v/>
      </c>
      <c r="I985" s="116" t="str">
        <f>IF(D985&lt;&gt;"",VLOOKUP(ROW(E984),Beräkningshjälp!AC$2:AI$1082,COLUMN(Beräkningshjälp!AI$2)-COLUMN(Beräkningshjälp!AC$2)+1,FALSE),"")</f>
        <v/>
      </c>
    </row>
    <row r="986" spans="1:9" x14ac:dyDescent="0.25">
      <c r="A986" s="2" t="str">
        <f t="shared" si="30"/>
        <v/>
      </c>
      <c r="B986" s="136" t="str">
        <f>IF(D986&lt;&gt;"",'DATA TILL SLU'!$J$3,"")</f>
        <v/>
      </c>
      <c r="C986" s="146" t="str">
        <f>IF(D986&lt;&gt;"",'DATA TILL SLU'!$K$3,"")</f>
        <v/>
      </c>
      <c r="D986" s="2" t="str">
        <f>IF('DATA TILL SLU'!$D$7*1&lt;&gt;"",IF(COUNT(Beräkningshjälp!$AC$3:$AC$1082)&gt;=ROW(D985),'DATA TILL SLU'!$D$7*1,""),"")</f>
        <v/>
      </c>
      <c r="E986" s="136" t="str">
        <f>IF(D986&lt;&gt;"",VLOOKUP(ROW(E985),Beräkningshjälp!AC$2:AH$1082,COLUMN(Beräkningshjälp!AF$2)-COLUMN(Beräkningshjälp!AC$2)+1,FALSE),"")</f>
        <v/>
      </c>
      <c r="F986" s="352" t="str">
        <f t="shared" si="31"/>
        <v/>
      </c>
      <c r="G986" s="2" t="str">
        <f>IF(D986&lt;&gt;"",IF(VLOOKUP(VLOOKUP(E986,Beräkningshjälp!O$2:U$60,7,FALSE),Artuppgifter!$I$11:$P$22,8,FALSE)=TRUE,"Medelvikter!!","ALLA"),"")</f>
        <v/>
      </c>
      <c r="H986" s="2" t="str">
        <f>IF(D986&lt;&gt;"",VLOOKUP(ROW(H985),Beräkningshjälp!AC$2:AH$1082,COLUMN(Beräkningshjälp!AH$2)-COLUMN(Beräkningshjälp!AC$2)+1,FALSE),"")</f>
        <v/>
      </c>
      <c r="I986" s="116" t="str">
        <f>IF(D986&lt;&gt;"",VLOOKUP(ROW(E985),Beräkningshjälp!AC$2:AI$1082,COLUMN(Beräkningshjälp!AI$2)-COLUMN(Beräkningshjälp!AC$2)+1,FALSE),"")</f>
        <v/>
      </c>
    </row>
    <row r="987" spans="1:9" x14ac:dyDescent="0.25">
      <c r="A987" s="2" t="str">
        <f t="shared" si="30"/>
        <v/>
      </c>
      <c r="B987" s="136" t="str">
        <f>IF(D987&lt;&gt;"",'DATA TILL SLU'!$J$3,"")</f>
        <v/>
      </c>
      <c r="C987" s="146" t="str">
        <f>IF(D987&lt;&gt;"",'DATA TILL SLU'!$K$3,"")</f>
        <v/>
      </c>
      <c r="D987" s="2" t="str">
        <f>IF('DATA TILL SLU'!$D$7*1&lt;&gt;"",IF(COUNT(Beräkningshjälp!$AC$3:$AC$1082)&gt;=ROW(D986),'DATA TILL SLU'!$D$7*1,""),"")</f>
        <v/>
      </c>
      <c r="E987" s="136" t="str">
        <f>IF(D987&lt;&gt;"",VLOOKUP(ROW(E986),Beräkningshjälp!AC$2:AH$1082,COLUMN(Beräkningshjälp!AF$2)-COLUMN(Beräkningshjälp!AC$2)+1,FALSE),"")</f>
        <v/>
      </c>
      <c r="F987" s="352" t="str">
        <f t="shared" si="31"/>
        <v/>
      </c>
      <c r="G987" s="2" t="str">
        <f>IF(D987&lt;&gt;"",IF(VLOOKUP(VLOOKUP(E987,Beräkningshjälp!O$2:U$60,7,FALSE),Artuppgifter!$I$11:$P$22,8,FALSE)=TRUE,"Medelvikter!!","ALLA"),"")</f>
        <v/>
      </c>
      <c r="H987" s="2" t="str">
        <f>IF(D987&lt;&gt;"",VLOOKUP(ROW(H986),Beräkningshjälp!AC$2:AH$1082,COLUMN(Beräkningshjälp!AH$2)-COLUMN(Beräkningshjälp!AC$2)+1,FALSE),"")</f>
        <v/>
      </c>
      <c r="I987" s="116" t="str">
        <f>IF(D987&lt;&gt;"",VLOOKUP(ROW(E986),Beräkningshjälp!AC$2:AI$1082,COLUMN(Beräkningshjälp!AI$2)-COLUMN(Beräkningshjälp!AC$2)+1,FALSE),"")</f>
        <v/>
      </c>
    </row>
    <row r="988" spans="1:9" x14ac:dyDescent="0.25">
      <c r="A988" s="2" t="str">
        <f t="shared" si="30"/>
        <v/>
      </c>
      <c r="B988" s="136" t="str">
        <f>IF(D988&lt;&gt;"",'DATA TILL SLU'!$J$3,"")</f>
        <v/>
      </c>
      <c r="C988" s="146" t="str">
        <f>IF(D988&lt;&gt;"",'DATA TILL SLU'!$K$3,"")</f>
        <v/>
      </c>
      <c r="D988" s="2" t="str">
        <f>IF('DATA TILL SLU'!$D$7*1&lt;&gt;"",IF(COUNT(Beräkningshjälp!$AC$3:$AC$1082)&gt;=ROW(D987),'DATA TILL SLU'!$D$7*1,""),"")</f>
        <v/>
      </c>
      <c r="E988" s="136" t="str">
        <f>IF(D988&lt;&gt;"",VLOOKUP(ROW(E987),Beräkningshjälp!AC$2:AH$1082,COLUMN(Beräkningshjälp!AF$2)-COLUMN(Beräkningshjälp!AC$2)+1,FALSE),"")</f>
        <v/>
      </c>
      <c r="F988" s="352" t="str">
        <f t="shared" si="31"/>
        <v/>
      </c>
      <c r="G988" s="2" t="str">
        <f>IF(D988&lt;&gt;"",IF(VLOOKUP(VLOOKUP(E988,Beräkningshjälp!O$2:U$60,7,FALSE),Artuppgifter!$I$11:$P$22,8,FALSE)=TRUE,"Medelvikter!!","ALLA"),"")</f>
        <v/>
      </c>
      <c r="H988" s="2" t="str">
        <f>IF(D988&lt;&gt;"",VLOOKUP(ROW(H987),Beräkningshjälp!AC$2:AH$1082,COLUMN(Beräkningshjälp!AH$2)-COLUMN(Beräkningshjälp!AC$2)+1,FALSE),"")</f>
        <v/>
      </c>
      <c r="I988" s="116" t="str">
        <f>IF(D988&lt;&gt;"",VLOOKUP(ROW(E987),Beräkningshjälp!AC$2:AI$1082,COLUMN(Beräkningshjälp!AI$2)-COLUMN(Beräkningshjälp!AC$2)+1,FALSE),"")</f>
        <v/>
      </c>
    </row>
    <row r="989" spans="1:9" x14ac:dyDescent="0.25">
      <c r="A989" s="2" t="str">
        <f t="shared" si="30"/>
        <v/>
      </c>
      <c r="B989" s="136" t="str">
        <f>IF(D989&lt;&gt;"",'DATA TILL SLU'!$J$3,"")</f>
        <v/>
      </c>
      <c r="C989" s="146" t="str">
        <f>IF(D989&lt;&gt;"",'DATA TILL SLU'!$K$3,"")</f>
        <v/>
      </c>
      <c r="D989" s="2" t="str">
        <f>IF('DATA TILL SLU'!$D$7*1&lt;&gt;"",IF(COUNT(Beräkningshjälp!$AC$3:$AC$1082)&gt;=ROW(D988),'DATA TILL SLU'!$D$7*1,""),"")</f>
        <v/>
      </c>
      <c r="E989" s="136" t="str">
        <f>IF(D989&lt;&gt;"",VLOOKUP(ROW(E988),Beräkningshjälp!AC$2:AH$1082,COLUMN(Beräkningshjälp!AF$2)-COLUMN(Beräkningshjälp!AC$2)+1,FALSE),"")</f>
        <v/>
      </c>
      <c r="F989" s="352" t="str">
        <f t="shared" si="31"/>
        <v/>
      </c>
      <c r="G989" s="2" t="str">
        <f>IF(D989&lt;&gt;"",IF(VLOOKUP(VLOOKUP(E989,Beräkningshjälp!O$2:U$60,7,FALSE),Artuppgifter!$I$11:$P$22,8,FALSE)=TRUE,"Medelvikter!!","ALLA"),"")</f>
        <v/>
      </c>
      <c r="H989" s="2" t="str">
        <f>IF(D989&lt;&gt;"",VLOOKUP(ROW(H988),Beräkningshjälp!AC$2:AH$1082,COLUMN(Beräkningshjälp!AH$2)-COLUMN(Beräkningshjälp!AC$2)+1,FALSE),"")</f>
        <v/>
      </c>
      <c r="I989" s="116" t="str">
        <f>IF(D989&lt;&gt;"",VLOOKUP(ROW(E988),Beräkningshjälp!AC$2:AI$1082,COLUMN(Beräkningshjälp!AI$2)-COLUMN(Beräkningshjälp!AC$2)+1,FALSE),"")</f>
        <v/>
      </c>
    </row>
    <row r="990" spans="1:9" x14ac:dyDescent="0.25">
      <c r="A990" s="2" t="str">
        <f t="shared" si="30"/>
        <v/>
      </c>
      <c r="B990" s="136" t="str">
        <f>IF(D990&lt;&gt;"",'DATA TILL SLU'!$J$3,"")</f>
        <v/>
      </c>
      <c r="C990" s="146" t="str">
        <f>IF(D990&lt;&gt;"",'DATA TILL SLU'!$K$3,"")</f>
        <v/>
      </c>
      <c r="D990" s="2" t="str">
        <f>IF('DATA TILL SLU'!$D$7*1&lt;&gt;"",IF(COUNT(Beräkningshjälp!$AC$3:$AC$1082)&gt;=ROW(D989),'DATA TILL SLU'!$D$7*1,""),"")</f>
        <v/>
      </c>
      <c r="E990" s="136" t="str">
        <f>IF(D990&lt;&gt;"",VLOOKUP(ROW(E989),Beräkningshjälp!AC$2:AH$1082,COLUMN(Beräkningshjälp!AF$2)-COLUMN(Beräkningshjälp!AC$2)+1,FALSE),"")</f>
        <v/>
      </c>
      <c r="F990" s="352" t="str">
        <f t="shared" si="31"/>
        <v/>
      </c>
      <c r="G990" s="2" t="str">
        <f>IF(D990&lt;&gt;"",IF(VLOOKUP(VLOOKUP(E990,Beräkningshjälp!O$2:U$60,7,FALSE),Artuppgifter!$I$11:$P$22,8,FALSE)=TRUE,"Medelvikter!!","ALLA"),"")</f>
        <v/>
      </c>
      <c r="H990" s="2" t="str">
        <f>IF(D990&lt;&gt;"",VLOOKUP(ROW(H989),Beräkningshjälp!AC$2:AH$1082,COLUMN(Beräkningshjälp!AH$2)-COLUMN(Beräkningshjälp!AC$2)+1,FALSE),"")</f>
        <v/>
      </c>
      <c r="I990" s="116" t="str">
        <f>IF(D990&lt;&gt;"",VLOOKUP(ROW(E989),Beräkningshjälp!AC$2:AI$1082,COLUMN(Beräkningshjälp!AI$2)-COLUMN(Beräkningshjälp!AC$2)+1,FALSE),"")</f>
        <v/>
      </c>
    </row>
    <row r="991" spans="1:9" x14ac:dyDescent="0.25">
      <c r="A991" s="2" t="str">
        <f t="shared" si="30"/>
        <v/>
      </c>
      <c r="B991" s="136" t="str">
        <f>IF(D991&lt;&gt;"",'DATA TILL SLU'!$J$3,"")</f>
        <v/>
      </c>
      <c r="C991" s="146" t="str">
        <f>IF(D991&lt;&gt;"",'DATA TILL SLU'!$K$3,"")</f>
        <v/>
      </c>
      <c r="D991" s="2" t="str">
        <f>IF('DATA TILL SLU'!$D$7*1&lt;&gt;"",IF(COUNT(Beräkningshjälp!$AC$3:$AC$1082)&gt;=ROW(D990),'DATA TILL SLU'!$D$7*1,""),"")</f>
        <v/>
      </c>
      <c r="E991" s="136" t="str">
        <f>IF(D991&lt;&gt;"",VLOOKUP(ROW(E990),Beräkningshjälp!AC$2:AH$1082,COLUMN(Beräkningshjälp!AF$2)-COLUMN(Beräkningshjälp!AC$2)+1,FALSE),"")</f>
        <v/>
      </c>
      <c r="F991" s="352" t="str">
        <f t="shared" si="31"/>
        <v/>
      </c>
      <c r="G991" s="2" t="str">
        <f>IF(D991&lt;&gt;"",IF(VLOOKUP(VLOOKUP(E991,Beräkningshjälp!O$2:U$60,7,FALSE),Artuppgifter!$I$11:$P$22,8,FALSE)=TRUE,"Medelvikter!!","ALLA"),"")</f>
        <v/>
      </c>
      <c r="H991" s="2" t="str">
        <f>IF(D991&lt;&gt;"",VLOOKUP(ROW(H990),Beräkningshjälp!AC$2:AH$1082,COLUMN(Beräkningshjälp!AH$2)-COLUMN(Beräkningshjälp!AC$2)+1,FALSE),"")</f>
        <v/>
      </c>
      <c r="I991" s="116" t="str">
        <f>IF(D991&lt;&gt;"",VLOOKUP(ROW(E990),Beräkningshjälp!AC$2:AI$1082,COLUMN(Beräkningshjälp!AI$2)-COLUMN(Beräkningshjälp!AC$2)+1,FALSE),"")</f>
        <v/>
      </c>
    </row>
    <row r="992" spans="1:9" x14ac:dyDescent="0.25">
      <c r="A992" s="2" t="str">
        <f t="shared" si="30"/>
        <v/>
      </c>
      <c r="B992" s="136" t="str">
        <f>IF(D992&lt;&gt;"",'DATA TILL SLU'!$J$3,"")</f>
        <v/>
      </c>
      <c r="C992" s="146" t="str">
        <f>IF(D992&lt;&gt;"",'DATA TILL SLU'!$K$3,"")</f>
        <v/>
      </c>
      <c r="D992" s="2" t="str">
        <f>IF('DATA TILL SLU'!$D$7*1&lt;&gt;"",IF(COUNT(Beräkningshjälp!$AC$3:$AC$1082)&gt;=ROW(D991),'DATA TILL SLU'!$D$7*1,""),"")</f>
        <v/>
      </c>
      <c r="E992" s="136" t="str">
        <f>IF(D992&lt;&gt;"",VLOOKUP(ROW(E991),Beräkningshjälp!AC$2:AH$1082,COLUMN(Beräkningshjälp!AF$2)-COLUMN(Beräkningshjälp!AC$2)+1,FALSE),"")</f>
        <v/>
      </c>
      <c r="F992" s="352" t="str">
        <f t="shared" si="31"/>
        <v/>
      </c>
      <c r="G992" s="2" t="str">
        <f>IF(D992&lt;&gt;"",IF(VLOOKUP(VLOOKUP(E992,Beräkningshjälp!O$2:U$60,7,FALSE),Artuppgifter!$I$11:$P$22,8,FALSE)=TRUE,"Medelvikter!!","ALLA"),"")</f>
        <v/>
      </c>
      <c r="H992" s="2" t="str">
        <f>IF(D992&lt;&gt;"",VLOOKUP(ROW(H991),Beräkningshjälp!AC$2:AH$1082,COLUMN(Beräkningshjälp!AH$2)-COLUMN(Beräkningshjälp!AC$2)+1,FALSE),"")</f>
        <v/>
      </c>
      <c r="I992" s="116" t="str">
        <f>IF(D992&lt;&gt;"",VLOOKUP(ROW(E991),Beräkningshjälp!AC$2:AI$1082,COLUMN(Beräkningshjälp!AI$2)-COLUMN(Beräkningshjälp!AC$2)+1,FALSE),"")</f>
        <v/>
      </c>
    </row>
    <row r="993" spans="1:9" x14ac:dyDescent="0.25">
      <c r="A993" s="2" t="str">
        <f t="shared" si="30"/>
        <v/>
      </c>
      <c r="B993" s="136" t="str">
        <f>IF(D993&lt;&gt;"",'DATA TILL SLU'!$J$3,"")</f>
        <v/>
      </c>
      <c r="C993" s="146" t="str">
        <f>IF(D993&lt;&gt;"",'DATA TILL SLU'!$K$3,"")</f>
        <v/>
      </c>
      <c r="D993" s="2" t="str">
        <f>IF('DATA TILL SLU'!$D$7*1&lt;&gt;"",IF(COUNT(Beräkningshjälp!$AC$3:$AC$1082)&gt;=ROW(D992),'DATA TILL SLU'!$D$7*1,""),"")</f>
        <v/>
      </c>
      <c r="E993" s="136" t="str">
        <f>IF(D993&lt;&gt;"",VLOOKUP(ROW(E992),Beräkningshjälp!AC$2:AH$1082,COLUMN(Beräkningshjälp!AF$2)-COLUMN(Beräkningshjälp!AC$2)+1,FALSE),"")</f>
        <v/>
      </c>
      <c r="F993" s="352" t="str">
        <f t="shared" si="31"/>
        <v/>
      </c>
      <c r="G993" s="2" t="str">
        <f>IF(D993&lt;&gt;"",IF(VLOOKUP(VLOOKUP(E993,Beräkningshjälp!O$2:U$60,7,FALSE),Artuppgifter!$I$11:$P$22,8,FALSE)=TRUE,"Medelvikter!!","ALLA"),"")</f>
        <v/>
      </c>
      <c r="H993" s="2" t="str">
        <f>IF(D993&lt;&gt;"",VLOOKUP(ROW(H992),Beräkningshjälp!AC$2:AH$1082,COLUMN(Beräkningshjälp!AH$2)-COLUMN(Beräkningshjälp!AC$2)+1,FALSE),"")</f>
        <v/>
      </c>
      <c r="I993" s="116" t="str">
        <f>IF(D993&lt;&gt;"",VLOOKUP(ROW(E992),Beräkningshjälp!AC$2:AI$1082,COLUMN(Beräkningshjälp!AI$2)-COLUMN(Beräkningshjälp!AC$2)+1,FALSE),"")</f>
        <v/>
      </c>
    </row>
    <row r="994" spans="1:9" x14ac:dyDescent="0.25">
      <c r="A994" s="2" t="str">
        <f t="shared" si="30"/>
        <v/>
      </c>
      <c r="B994" s="136" t="str">
        <f>IF(D994&lt;&gt;"",'DATA TILL SLU'!$J$3,"")</f>
        <v/>
      </c>
      <c r="C994" s="146" t="str">
        <f>IF(D994&lt;&gt;"",'DATA TILL SLU'!$K$3,"")</f>
        <v/>
      </c>
      <c r="D994" s="2" t="str">
        <f>IF('DATA TILL SLU'!$D$7*1&lt;&gt;"",IF(COUNT(Beräkningshjälp!$AC$3:$AC$1082)&gt;=ROW(D993),'DATA TILL SLU'!$D$7*1,""),"")</f>
        <v/>
      </c>
      <c r="E994" s="136" t="str">
        <f>IF(D994&lt;&gt;"",VLOOKUP(ROW(E993),Beräkningshjälp!AC$2:AH$1082,COLUMN(Beräkningshjälp!AF$2)-COLUMN(Beräkningshjälp!AC$2)+1,FALSE),"")</f>
        <v/>
      </c>
      <c r="F994" s="352" t="str">
        <f t="shared" si="31"/>
        <v/>
      </c>
      <c r="G994" s="2" t="str">
        <f>IF(D994&lt;&gt;"",IF(VLOOKUP(VLOOKUP(E994,Beräkningshjälp!O$2:U$60,7,FALSE),Artuppgifter!$I$11:$P$22,8,FALSE)=TRUE,"Medelvikter!!","ALLA"),"")</f>
        <v/>
      </c>
      <c r="H994" s="2" t="str">
        <f>IF(D994&lt;&gt;"",VLOOKUP(ROW(H993),Beräkningshjälp!AC$2:AH$1082,COLUMN(Beräkningshjälp!AH$2)-COLUMN(Beräkningshjälp!AC$2)+1,FALSE),"")</f>
        <v/>
      </c>
      <c r="I994" s="116" t="str">
        <f>IF(D994&lt;&gt;"",VLOOKUP(ROW(E993),Beräkningshjälp!AC$2:AI$1082,COLUMN(Beräkningshjälp!AI$2)-COLUMN(Beräkningshjälp!AC$2)+1,FALSE),"")</f>
        <v/>
      </c>
    </row>
    <row r="995" spans="1:9" x14ac:dyDescent="0.25">
      <c r="A995" s="2" t="str">
        <f t="shared" si="30"/>
        <v/>
      </c>
      <c r="B995" s="136" t="str">
        <f>IF(D995&lt;&gt;"",'DATA TILL SLU'!$J$3,"")</f>
        <v/>
      </c>
      <c r="C995" s="146" t="str">
        <f>IF(D995&lt;&gt;"",'DATA TILL SLU'!$K$3,"")</f>
        <v/>
      </c>
      <c r="D995" s="2" t="str">
        <f>IF('DATA TILL SLU'!$D$7*1&lt;&gt;"",IF(COUNT(Beräkningshjälp!$AC$3:$AC$1082)&gt;=ROW(D994),'DATA TILL SLU'!$D$7*1,""),"")</f>
        <v/>
      </c>
      <c r="E995" s="136" t="str">
        <f>IF(D995&lt;&gt;"",VLOOKUP(ROW(E994),Beräkningshjälp!AC$2:AH$1082,COLUMN(Beräkningshjälp!AF$2)-COLUMN(Beräkningshjälp!AC$2)+1,FALSE),"")</f>
        <v/>
      </c>
      <c r="F995" s="352" t="str">
        <f t="shared" si="31"/>
        <v/>
      </c>
      <c r="G995" s="2" t="str">
        <f>IF(D995&lt;&gt;"",IF(VLOOKUP(VLOOKUP(E995,Beräkningshjälp!O$2:U$60,7,FALSE),Artuppgifter!$I$11:$P$22,8,FALSE)=TRUE,"Medelvikter!!","ALLA"),"")</f>
        <v/>
      </c>
      <c r="H995" s="2" t="str">
        <f>IF(D995&lt;&gt;"",VLOOKUP(ROW(H994),Beräkningshjälp!AC$2:AH$1082,COLUMN(Beräkningshjälp!AH$2)-COLUMN(Beräkningshjälp!AC$2)+1,FALSE),"")</f>
        <v/>
      </c>
      <c r="I995" s="116" t="str">
        <f>IF(D995&lt;&gt;"",VLOOKUP(ROW(E994),Beräkningshjälp!AC$2:AI$1082,COLUMN(Beräkningshjälp!AI$2)-COLUMN(Beräkningshjälp!AC$2)+1,FALSE),"")</f>
        <v/>
      </c>
    </row>
    <row r="996" spans="1:9" x14ac:dyDescent="0.25">
      <c r="A996" s="2" t="str">
        <f t="shared" si="30"/>
        <v/>
      </c>
      <c r="B996" s="136" t="str">
        <f>IF(D996&lt;&gt;"",'DATA TILL SLU'!$J$3,"")</f>
        <v/>
      </c>
      <c r="C996" s="146" t="str">
        <f>IF(D996&lt;&gt;"",'DATA TILL SLU'!$K$3,"")</f>
        <v/>
      </c>
      <c r="D996" s="2" t="str">
        <f>IF('DATA TILL SLU'!$D$7*1&lt;&gt;"",IF(COUNT(Beräkningshjälp!$AC$3:$AC$1082)&gt;=ROW(D995),'DATA TILL SLU'!$D$7*1,""),"")</f>
        <v/>
      </c>
      <c r="E996" s="136" t="str">
        <f>IF(D996&lt;&gt;"",VLOOKUP(ROW(E995),Beräkningshjälp!AC$2:AH$1082,COLUMN(Beräkningshjälp!AF$2)-COLUMN(Beräkningshjälp!AC$2)+1,FALSE),"")</f>
        <v/>
      </c>
      <c r="F996" s="352" t="str">
        <f t="shared" si="31"/>
        <v/>
      </c>
      <c r="G996" s="2" t="str">
        <f>IF(D996&lt;&gt;"",IF(VLOOKUP(VLOOKUP(E996,Beräkningshjälp!O$2:U$60,7,FALSE),Artuppgifter!$I$11:$P$22,8,FALSE)=TRUE,"Medelvikter!!","ALLA"),"")</f>
        <v/>
      </c>
      <c r="H996" s="2" t="str">
        <f>IF(D996&lt;&gt;"",VLOOKUP(ROW(H995),Beräkningshjälp!AC$2:AH$1082,COLUMN(Beräkningshjälp!AH$2)-COLUMN(Beräkningshjälp!AC$2)+1,FALSE),"")</f>
        <v/>
      </c>
      <c r="I996" s="116" t="str">
        <f>IF(D996&lt;&gt;"",VLOOKUP(ROW(E995),Beräkningshjälp!AC$2:AI$1082,COLUMN(Beräkningshjälp!AI$2)-COLUMN(Beräkningshjälp!AC$2)+1,FALSE),"")</f>
        <v/>
      </c>
    </row>
    <row r="997" spans="1:9" x14ac:dyDescent="0.25">
      <c r="A997" s="2" t="str">
        <f t="shared" si="30"/>
        <v/>
      </c>
      <c r="B997" s="136" t="str">
        <f>IF(D997&lt;&gt;"",'DATA TILL SLU'!$J$3,"")</f>
        <v/>
      </c>
      <c r="C997" s="146" t="str">
        <f>IF(D997&lt;&gt;"",'DATA TILL SLU'!$K$3,"")</f>
        <v/>
      </c>
      <c r="D997" s="2" t="str">
        <f>IF('DATA TILL SLU'!$D$7*1&lt;&gt;"",IF(COUNT(Beräkningshjälp!$AC$3:$AC$1082)&gt;=ROW(D996),'DATA TILL SLU'!$D$7*1,""),"")</f>
        <v/>
      </c>
      <c r="E997" s="136" t="str">
        <f>IF(D997&lt;&gt;"",VLOOKUP(ROW(E996),Beräkningshjälp!AC$2:AH$1082,COLUMN(Beräkningshjälp!AF$2)-COLUMN(Beräkningshjälp!AC$2)+1,FALSE),"")</f>
        <v/>
      </c>
      <c r="F997" s="352" t="str">
        <f t="shared" si="31"/>
        <v/>
      </c>
      <c r="G997" s="2" t="str">
        <f>IF(D997&lt;&gt;"",IF(VLOOKUP(VLOOKUP(E997,Beräkningshjälp!O$2:U$60,7,FALSE),Artuppgifter!$I$11:$P$22,8,FALSE)=TRUE,"Medelvikter!!","ALLA"),"")</f>
        <v/>
      </c>
      <c r="H997" s="2" t="str">
        <f>IF(D997&lt;&gt;"",VLOOKUP(ROW(H996),Beräkningshjälp!AC$2:AH$1082,COLUMN(Beräkningshjälp!AH$2)-COLUMN(Beräkningshjälp!AC$2)+1,FALSE),"")</f>
        <v/>
      </c>
      <c r="I997" s="116" t="str">
        <f>IF(D997&lt;&gt;"",VLOOKUP(ROW(E996),Beräkningshjälp!AC$2:AI$1082,COLUMN(Beräkningshjälp!AI$2)-COLUMN(Beräkningshjälp!AC$2)+1,FALSE),"")</f>
        <v/>
      </c>
    </row>
    <row r="998" spans="1:9" x14ac:dyDescent="0.25">
      <c r="A998" s="2" t="str">
        <f t="shared" si="30"/>
        <v/>
      </c>
      <c r="B998" s="136" t="str">
        <f>IF(D998&lt;&gt;"",'DATA TILL SLU'!$J$3,"")</f>
        <v/>
      </c>
      <c r="C998" s="146" t="str">
        <f>IF(D998&lt;&gt;"",'DATA TILL SLU'!$K$3,"")</f>
        <v/>
      </c>
      <c r="D998" s="2" t="str">
        <f>IF('DATA TILL SLU'!$D$7*1&lt;&gt;"",IF(COUNT(Beräkningshjälp!$AC$3:$AC$1082)&gt;=ROW(D997),'DATA TILL SLU'!$D$7*1,""),"")</f>
        <v/>
      </c>
      <c r="E998" s="136" t="str">
        <f>IF(D998&lt;&gt;"",VLOOKUP(ROW(E997),Beräkningshjälp!AC$2:AH$1082,COLUMN(Beräkningshjälp!AF$2)-COLUMN(Beräkningshjälp!AC$2)+1,FALSE),"")</f>
        <v/>
      </c>
      <c r="F998" s="352" t="str">
        <f t="shared" si="31"/>
        <v/>
      </c>
      <c r="G998" s="2" t="str">
        <f>IF(D998&lt;&gt;"",IF(VLOOKUP(VLOOKUP(E998,Beräkningshjälp!O$2:U$60,7,FALSE),Artuppgifter!$I$11:$P$22,8,FALSE)=TRUE,"Medelvikter!!","ALLA"),"")</f>
        <v/>
      </c>
      <c r="H998" s="2" t="str">
        <f>IF(D998&lt;&gt;"",VLOOKUP(ROW(H997),Beräkningshjälp!AC$2:AH$1082,COLUMN(Beräkningshjälp!AH$2)-COLUMN(Beräkningshjälp!AC$2)+1,FALSE),"")</f>
        <v/>
      </c>
      <c r="I998" s="116" t="str">
        <f>IF(D998&lt;&gt;"",VLOOKUP(ROW(E997),Beräkningshjälp!AC$2:AI$1082,COLUMN(Beräkningshjälp!AI$2)-COLUMN(Beräkningshjälp!AC$2)+1,FALSE),"")</f>
        <v/>
      </c>
    </row>
    <row r="999" spans="1:9" x14ac:dyDescent="0.25">
      <c r="A999" s="2" t="str">
        <f t="shared" si="30"/>
        <v/>
      </c>
      <c r="B999" s="136" t="str">
        <f>IF(D999&lt;&gt;"",'DATA TILL SLU'!$J$3,"")</f>
        <v/>
      </c>
      <c r="C999" s="146" t="str">
        <f>IF(D999&lt;&gt;"",'DATA TILL SLU'!$K$3,"")</f>
        <v/>
      </c>
      <c r="D999" s="2" t="str">
        <f>IF('DATA TILL SLU'!$D$7*1&lt;&gt;"",IF(COUNT(Beräkningshjälp!$AC$3:$AC$1082)&gt;=ROW(D998),'DATA TILL SLU'!$D$7*1,""),"")</f>
        <v/>
      </c>
      <c r="E999" s="136" t="str">
        <f>IF(D999&lt;&gt;"",VLOOKUP(ROW(E998),Beräkningshjälp!AC$2:AH$1082,COLUMN(Beräkningshjälp!AF$2)-COLUMN(Beräkningshjälp!AC$2)+1,FALSE),"")</f>
        <v/>
      </c>
      <c r="F999" s="352" t="str">
        <f t="shared" si="31"/>
        <v/>
      </c>
      <c r="G999" s="2" t="str">
        <f>IF(D999&lt;&gt;"",IF(VLOOKUP(VLOOKUP(E999,Beräkningshjälp!O$2:U$60,7,FALSE),Artuppgifter!$I$11:$P$22,8,FALSE)=TRUE,"Medelvikter!!","ALLA"),"")</f>
        <v/>
      </c>
      <c r="H999" s="2" t="str">
        <f>IF(D999&lt;&gt;"",VLOOKUP(ROW(H998),Beräkningshjälp!AC$2:AH$1082,COLUMN(Beräkningshjälp!AH$2)-COLUMN(Beräkningshjälp!AC$2)+1,FALSE),"")</f>
        <v/>
      </c>
      <c r="I999" s="116" t="str">
        <f>IF(D999&lt;&gt;"",VLOOKUP(ROW(E998),Beräkningshjälp!AC$2:AI$1082,COLUMN(Beräkningshjälp!AI$2)-COLUMN(Beräkningshjälp!AC$2)+1,FALSE),"")</f>
        <v/>
      </c>
    </row>
    <row r="1000" spans="1:9" x14ac:dyDescent="0.25">
      <c r="A1000" s="2" t="str">
        <f t="shared" si="30"/>
        <v/>
      </c>
      <c r="B1000" s="136" t="str">
        <f>IF(D1000&lt;&gt;"",'DATA TILL SLU'!$J$3,"")</f>
        <v/>
      </c>
      <c r="C1000" s="146" t="str">
        <f>IF(D1000&lt;&gt;"",'DATA TILL SLU'!$K$3,"")</f>
        <v/>
      </c>
      <c r="D1000" s="2" t="str">
        <f>IF('DATA TILL SLU'!$D$7*1&lt;&gt;"",IF(COUNT(Beräkningshjälp!$AC$3:$AC$1082)&gt;=ROW(D999),'DATA TILL SLU'!$D$7*1,""),"")</f>
        <v/>
      </c>
      <c r="E1000" s="136" t="str">
        <f>IF(D1000&lt;&gt;"",VLOOKUP(ROW(E999),Beräkningshjälp!AC$2:AH$1082,COLUMN(Beräkningshjälp!AF$2)-COLUMN(Beräkningshjälp!AC$2)+1,FALSE),"")</f>
        <v/>
      </c>
      <c r="F1000" s="352" t="str">
        <f t="shared" si="31"/>
        <v/>
      </c>
      <c r="G1000" s="2" t="str">
        <f>IF(D1000&lt;&gt;"",IF(VLOOKUP(VLOOKUP(E1000,Beräkningshjälp!O$2:U$60,7,FALSE),Artuppgifter!$I$11:$P$22,8,FALSE)=TRUE,"Medelvikter!!","ALLA"),"")</f>
        <v/>
      </c>
      <c r="H1000" s="2" t="str">
        <f>IF(D1000&lt;&gt;"",VLOOKUP(ROW(H999),Beräkningshjälp!AC$2:AH$1082,COLUMN(Beräkningshjälp!AH$2)-COLUMN(Beräkningshjälp!AC$2)+1,FALSE),"")</f>
        <v/>
      </c>
      <c r="I1000" s="116" t="str">
        <f>IF(D1000&lt;&gt;"",VLOOKUP(ROW(E999),Beräkningshjälp!AC$2:AI$1082,COLUMN(Beräkningshjälp!AI$2)-COLUMN(Beräkningshjälp!AC$2)+1,FALSE),"")</f>
        <v/>
      </c>
    </row>
    <row r="1001" spans="1:9" x14ac:dyDescent="0.25">
      <c r="A1001" s="2" t="str">
        <f t="shared" si="30"/>
        <v/>
      </c>
      <c r="B1001" s="136" t="str">
        <f>IF(D1001&lt;&gt;"",'DATA TILL SLU'!$J$3,"")</f>
        <v/>
      </c>
      <c r="C1001" s="146" t="str">
        <f>IF(D1001&lt;&gt;"",'DATA TILL SLU'!$K$3,"")</f>
        <v/>
      </c>
      <c r="D1001" s="2" t="str">
        <f>IF('DATA TILL SLU'!$D$7*1&lt;&gt;"",IF(COUNT(Beräkningshjälp!$AC$3:$AC$1082)&gt;=ROW(D1000),'DATA TILL SLU'!$D$7*1,""),"")</f>
        <v/>
      </c>
      <c r="E1001" s="136" t="str">
        <f>IF(D1001&lt;&gt;"",VLOOKUP(ROW(E1000),Beräkningshjälp!AC$2:AH$1082,COLUMN(Beräkningshjälp!AF$2)-COLUMN(Beräkningshjälp!AC$2)+1,FALSE),"")</f>
        <v/>
      </c>
      <c r="F1001" s="352" t="str">
        <f t="shared" si="31"/>
        <v/>
      </c>
      <c r="G1001" s="2" t="str">
        <f>IF(D1001&lt;&gt;"",IF(VLOOKUP(VLOOKUP(E1001,Beräkningshjälp!O$2:U$60,7,FALSE),Artuppgifter!$I$11:$P$22,8,FALSE)=TRUE,"Medelvikter!!","ALLA"),"")</f>
        <v/>
      </c>
      <c r="H1001" s="2" t="str">
        <f>IF(D1001&lt;&gt;"",VLOOKUP(ROW(H1000),Beräkningshjälp!AC$2:AH$1082,COLUMN(Beräkningshjälp!AH$2)-COLUMN(Beräkningshjälp!AC$2)+1,FALSE),"")</f>
        <v/>
      </c>
      <c r="I1001" s="116" t="str">
        <f>IF(D1001&lt;&gt;"",VLOOKUP(ROW(E1000),Beräkningshjälp!AC$2:AI$1082,COLUMN(Beräkningshjälp!AI$2)-COLUMN(Beräkningshjälp!AC$2)+1,FALSE),"")</f>
        <v/>
      </c>
    </row>
    <row r="1002" spans="1:9" x14ac:dyDescent="0.25">
      <c r="A1002" s="2" t="str">
        <f t="shared" si="30"/>
        <v/>
      </c>
      <c r="B1002" s="136" t="str">
        <f>IF(D1002&lt;&gt;"",'DATA TILL SLU'!$J$3,"")</f>
        <v/>
      </c>
      <c r="C1002" s="146" t="str">
        <f>IF(D1002&lt;&gt;"",'DATA TILL SLU'!$K$3,"")</f>
        <v/>
      </c>
      <c r="D1002" s="2" t="str">
        <f>IF('DATA TILL SLU'!$D$7*1&lt;&gt;"",IF(COUNT(Beräkningshjälp!$AC$3:$AC$1082)&gt;=ROW(D1001),'DATA TILL SLU'!$D$7*1,""),"")</f>
        <v/>
      </c>
      <c r="E1002" s="136" t="str">
        <f>IF(D1002&lt;&gt;"",VLOOKUP(ROW(E1001),Beräkningshjälp!AC$2:AH$1082,COLUMN(Beräkningshjälp!AF$2)-COLUMN(Beräkningshjälp!AC$2)+1,FALSE),"")</f>
        <v/>
      </c>
      <c r="F1002" s="352" t="str">
        <f t="shared" si="31"/>
        <v/>
      </c>
      <c r="G1002" s="2" t="str">
        <f>IF(D1002&lt;&gt;"",IF(VLOOKUP(VLOOKUP(E1002,Beräkningshjälp!O$2:U$60,7,FALSE),Artuppgifter!$I$11:$P$22,8,FALSE)=TRUE,"Medelvikter!!","ALLA"),"")</f>
        <v/>
      </c>
      <c r="H1002" s="2" t="str">
        <f>IF(D1002&lt;&gt;"",VLOOKUP(ROW(H1001),Beräkningshjälp!AC$2:AH$1082,COLUMN(Beräkningshjälp!AH$2)-COLUMN(Beräkningshjälp!AC$2)+1,FALSE),"")</f>
        <v/>
      </c>
      <c r="I1002" s="116" t="str">
        <f>IF(D1002&lt;&gt;"",VLOOKUP(ROW(E1001),Beräkningshjälp!AC$2:AI$1082,COLUMN(Beräkningshjälp!AI$2)-COLUMN(Beräkningshjälp!AC$2)+1,FALSE),"")</f>
        <v/>
      </c>
    </row>
    <row r="1003" spans="1:9" x14ac:dyDescent="0.25">
      <c r="A1003" s="2" t="str">
        <f t="shared" si="30"/>
        <v/>
      </c>
      <c r="B1003" s="136" t="str">
        <f>IF(D1003&lt;&gt;"",'DATA TILL SLU'!$J$3,"")</f>
        <v/>
      </c>
      <c r="C1003" s="146" t="str">
        <f>IF(D1003&lt;&gt;"",'DATA TILL SLU'!$K$3,"")</f>
        <v/>
      </c>
      <c r="D1003" s="2" t="str">
        <f>IF('DATA TILL SLU'!$D$7*1&lt;&gt;"",IF(COUNT(Beräkningshjälp!$AC$3:$AC$1082)&gt;=ROW(D1002),'DATA TILL SLU'!$D$7*1,""),"")</f>
        <v/>
      </c>
      <c r="E1003" s="136" t="str">
        <f>IF(D1003&lt;&gt;"",VLOOKUP(ROW(E1002),Beräkningshjälp!AC$2:AH$1082,COLUMN(Beräkningshjälp!AF$2)-COLUMN(Beräkningshjälp!AC$2)+1,FALSE),"")</f>
        <v/>
      </c>
      <c r="F1003" s="352" t="str">
        <f t="shared" si="31"/>
        <v/>
      </c>
      <c r="G1003" s="2" t="str">
        <f>IF(D1003&lt;&gt;"",IF(VLOOKUP(VLOOKUP(E1003,Beräkningshjälp!O$2:U$60,7,FALSE),Artuppgifter!$I$11:$P$22,8,FALSE)=TRUE,"Medelvikter!!","ALLA"),"")</f>
        <v/>
      </c>
      <c r="H1003" s="2" t="str">
        <f>IF(D1003&lt;&gt;"",VLOOKUP(ROW(H1002),Beräkningshjälp!AC$2:AH$1082,COLUMN(Beräkningshjälp!AH$2)-COLUMN(Beräkningshjälp!AC$2)+1,FALSE),"")</f>
        <v/>
      </c>
      <c r="I1003" s="116" t="str">
        <f>IF(D1003&lt;&gt;"",VLOOKUP(ROW(E1002),Beräkningshjälp!AC$2:AI$1082,COLUMN(Beräkningshjälp!AI$2)-COLUMN(Beräkningshjälp!AC$2)+1,FALSE),"")</f>
        <v/>
      </c>
    </row>
    <row r="1004" spans="1:9" x14ac:dyDescent="0.25">
      <c r="A1004" s="2" t="str">
        <f t="shared" si="30"/>
        <v/>
      </c>
      <c r="B1004" s="136" t="str">
        <f>IF(D1004&lt;&gt;"",'DATA TILL SLU'!$J$3,"")</f>
        <v/>
      </c>
      <c r="C1004" s="146" t="str">
        <f>IF(D1004&lt;&gt;"",'DATA TILL SLU'!$K$3,"")</f>
        <v/>
      </c>
      <c r="D1004" s="2" t="str">
        <f>IF('DATA TILL SLU'!$D$7*1&lt;&gt;"",IF(COUNT(Beräkningshjälp!$AC$3:$AC$1082)&gt;=ROW(D1003),'DATA TILL SLU'!$D$7*1,""),"")</f>
        <v/>
      </c>
      <c r="E1004" s="136" t="str">
        <f>IF(D1004&lt;&gt;"",VLOOKUP(ROW(E1003),Beräkningshjälp!AC$2:AH$1082,COLUMN(Beräkningshjälp!AF$2)-COLUMN(Beräkningshjälp!AC$2)+1,FALSE),"")</f>
        <v/>
      </c>
      <c r="F1004" s="352" t="str">
        <f t="shared" si="31"/>
        <v/>
      </c>
      <c r="G1004" s="2" t="str">
        <f>IF(D1004&lt;&gt;"",IF(VLOOKUP(VLOOKUP(E1004,Beräkningshjälp!O$2:U$60,7,FALSE),Artuppgifter!$I$11:$P$22,8,FALSE)=TRUE,"Medelvikter!!","ALLA"),"")</f>
        <v/>
      </c>
      <c r="H1004" s="2" t="str">
        <f>IF(D1004&lt;&gt;"",VLOOKUP(ROW(H1003),Beräkningshjälp!AC$2:AH$1082,COLUMN(Beräkningshjälp!AH$2)-COLUMN(Beräkningshjälp!AC$2)+1,FALSE),"")</f>
        <v/>
      </c>
      <c r="I1004" s="116" t="str">
        <f>IF(D1004&lt;&gt;"",VLOOKUP(ROW(E1003),Beräkningshjälp!AC$2:AI$1082,COLUMN(Beräkningshjälp!AI$2)-COLUMN(Beräkningshjälp!AC$2)+1,FALSE),"")</f>
        <v/>
      </c>
    </row>
    <row r="1005" spans="1:9" x14ac:dyDescent="0.25">
      <c r="A1005" s="2" t="str">
        <f t="shared" si="30"/>
        <v/>
      </c>
      <c r="B1005" s="136" t="str">
        <f>IF(D1005&lt;&gt;"",'DATA TILL SLU'!$J$3,"")</f>
        <v/>
      </c>
      <c r="C1005" s="146" t="str">
        <f>IF(D1005&lt;&gt;"",'DATA TILL SLU'!$K$3,"")</f>
        <v/>
      </c>
      <c r="D1005" s="2" t="str">
        <f>IF('DATA TILL SLU'!$D$7*1&lt;&gt;"",IF(COUNT(Beräkningshjälp!$AC$3:$AC$1082)&gt;=ROW(D1004),'DATA TILL SLU'!$D$7*1,""),"")</f>
        <v/>
      </c>
      <c r="E1005" s="136" t="str">
        <f>IF(D1005&lt;&gt;"",VLOOKUP(ROW(E1004),Beräkningshjälp!AC$2:AH$1082,COLUMN(Beräkningshjälp!AF$2)-COLUMN(Beräkningshjälp!AC$2)+1,FALSE),"")</f>
        <v/>
      </c>
      <c r="F1005" s="352" t="str">
        <f t="shared" si="31"/>
        <v/>
      </c>
      <c r="G1005" s="2" t="str">
        <f>IF(D1005&lt;&gt;"",IF(VLOOKUP(VLOOKUP(E1005,Beräkningshjälp!O$2:U$60,7,FALSE),Artuppgifter!$I$11:$P$22,8,FALSE)=TRUE,"Medelvikter!!","ALLA"),"")</f>
        <v/>
      </c>
      <c r="H1005" s="2" t="str">
        <f>IF(D1005&lt;&gt;"",VLOOKUP(ROW(H1004),Beräkningshjälp!AC$2:AH$1082,COLUMN(Beräkningshjälp!AH$2)-COLUMN(Beräkningshjälp!AC$2)+1,FALSE),"")</f>
        <v/>
      </c>
      <c r="I1005" s="116" t="str">
        <f>IF(D1005&lt;&gt;"",VLOOKUP(ROW(E1004),Beräkningshjälp!AC$2:AI$1082,COLUMN(Beräkningshjälp!AI$2)-COLUMN(Beräkningshjälp!AC$2)+1,FALSE),"")</f>
        <v/>
      </c>
    </row>
    <row r="1006" spans="1:9" x14ac:dyDescent="0.25">
      <c r="A1006" s="2" t="str">
        <f t="shared" si="30"/>
        <v/>
      </c>
      <c r="B1006" s="136" t="str">
        <f>IF(D1006&lt;&gt;"",'DATA TILL SLU'!$J$3,"")</f>
        <v/>
      </c>
      <c r="C1006" s="146" t="str">
        <f>IF(D1006&lt;&gt;"",'DATA TILL SLU'!$K$3,"")</f>
        <v/>
      </c>
      <c r="D1006" s="2" t="str">
        <f>IF('DATA TILL SLU'!$D$7*1&lt;&gt;"",IF(COUNT(Beräkningshjälp!$AC$3:$AC$1082)&gt;=ROW(D1005),'DATA TILL SLU'!$D$7*1,""),"")</f>
        <v/>
      </c>
      <c r="E1006" s="136" t="str">
        <f>IF(D1006&lt;&gt;"",VLOOKUP(ROW(E1005),Beräkningshjälp!AC$2:AH$1082,COLUMN(Beräkningshjälp!AF$2)-COLUMN(Beräkningshjälp!AC$2)+1,FALSE),"")</f>
        <v/>
      </c>
      <c r="F1006" s="352" t="str">
        <f t="shared" si="31"/>
        <v/>
      </c>
      <c r="G1006" s="2" t="str">
        <f>IF(D1006&lt;&gt;"",IF(VLOOKUP(VLOOKUP(E1006,Beräkningshjälp!O$2:U$60,7,FALSE),Artuppgifter!$I$11:$P$22,8,FALSE)=TRUE,"Medelvikter!!","ALLA"),"")</f>
        <v/>
      </c>
      <c r="H1006" s="2" t="str">
        <f>IF(D1006&lt;&gt;"",VLOOKUP(ROW(H1005),Beräkningshjälp!AC$2:AH$1082,COLUMN(Beräkningshjälp!AH$2)-COLUMN(Beräkningshjälp!AC$2)+1,FALSE),"")</f>
        <v/>
      </c>
      <c r="I1006" s="116" t="str">
        <f>IF(D1006&lt;&gt;"",VLOOKUP(ROW(E1005),Beräkningshjälp!AC$2:AI$1082,COLUMN(Beräkningshjälp!AI$2)-COLUMN(Beräkningshjälp!AC$2)+1,FALSE),"")</f>
        <v/>
      </c>
    </row>
    <row r="1007" spans="1:9" x14ac:dyDescent="0.25">
      <c r="A1007" s="2" t="str">
        <f t="shared" si="30"/>
        <v/>
      </c>
      <c r="B1007" s="136" t="str">
        <f>IF(D1007&lt;&gt;"",'DATA TILL SLU'!$J$3,"")</f>
        <v/>
      </c>
      <c r="C1007" s="146" t="str">
        <f>IF(D1007&lt;&gt;"",'DATA TILL SLU'!$K$3,"")</f>
        <v/>
      </c>
      <c r="D1007" s="2" t="str">
        <f>IF('DATA TILL SLU'!$D$7*1&lt;&gt;"",IF(COUNT(Beräkningshjälp!$AC$3:$AC$1082)&gt;=ROW(D1006),'DATA TILL SLU'!$D$7*1,""),"")</f>
        <v/>
      </c>
      <c r="E1007" s="136" t="str">
        <f>IF(D1007&lt;&gt;"",VLOOKUP(ROW(E1006),Beräkningshjälp!AC$2:AH$1082,COLUMN(Beräkningshjälp!AF$2)-COLUMN(Beräkningshjälp!AC$2)+1,FALSE),"")</f>
        <v/>
      </c>
      <c r="F1007" s="352" t="str">
        <f t="shared" si="31"/>
        <v/>
      </c>
      <c r="G1007" s="2" t="str">
        <f>IF(D1007&lt;&gt;"",IF(VLOOKUP(VLOOKUP(E1007,Beräkningshjälp!O$2:U$60,7,FALSE),Artuppgifter!$I$11:$P$22,8,FALSE)=TRUE,"Medelvikter!!","ALLA"),"")</f>
        <v/>
      </c>
      <c r="H1007" s="2" t="str">
        <f>IF(D1007&lt;&gt;"",VLOOKUP(ROW(H1006),Beräkningshjälp!AC$2:AH$1082,COLUMN(Beräkningshjälp!AH$2)-COLUMN(Beräkningshjälp!AC$2)+1,FALSE),"")</f>
        <v/>
      </c>
      <c r="I1007" s="116" t="str">
        <f>IF(D1007&lt;&gt;"",VLOOKUP(ROW(E1006),Beräkningshjälp!AC$2:AI$1082,COLUMN(Beräkningshjälp!AI$2)-COLUMN(Beräkningshjälp!AC$2)+1,FALSE),"")</f>
        <v/>
      </c>
    </row>
    <row r="1008" spans="1:9" x14ac:dyDescent="0.25">
      <c r="A1008" s="2" t="str">
        <f t="shared" si="30"/>
        <v/>
      </c>
      <c r="B1008" s="136" t="str">
        <f>IF(D1008&lt;&gt;"",'DATA TILL SLU'!$J$3,"")</f>
        <v/>
      </c>
      <c r="C1008" s="146" t="str">
        <f>IF(D1008&lt;&gt;"",'DATA TILL SLU'!$K$3,"")</f>
        <v/>
      </c>
      <c r="D1008" s="2" t="str">
        <f>IF('DATA TILL SLU'!$D$7*1&lt;&gt;"",IF(COUNT(Beräkningshjälp!$AC$3:$AC$1082)&gt;=ROW(D1007),'DATA TILL SLU'!$D$7*1,""),"")</f>
        <v/>
      </c>
      <c r="E1008" s="136" t="str">
        <f>IF(D1008&lt;&gt;"",VLOOKUP(ROW(E1007),Beräkningshjälp!AC$2:AH$1082,COLUMN(Beräkningshjälp!AF$2)-COLUMN(Beräkningshjälp!AC$2)+1,FALSE),"")</f>
        <v/>
      </c>
      <c r="F1008" s="352" t="str">
        <f t="shared" si="31"/>
        <v/>
      </c>
      <c r="G1008" s="2" t="str">
        <f>IF(D1008&lt;&gt;"",IF(VLOOKUP(VLOOKUP(E1008,Beräkningshjälp!O$2:U$60,7,FALSE),Artuppgifter!$I$11:$P$22,8,FALSE)=TRUE,"Medelvikter!!","ALLA"),"")</f>
        <v/>
      </c>
      <c r="H1008" s="2" t="str">
        <f>IF(D1008&lt;&gt;"",VLOOKUP(ROW(H1007),Beräkningshjälp!AC$2:AH$1082,COLUMN(Beräkningshjälp!AH$2)-COLUMN(Beräkningshjälp!AC$2)+1,FALSE),"")</f>
        <v/>
      </c>
      <c r="I1008" s="116" t="str">
        <f>IF(D1008&lt;&gt;"",VLOOKUP(ROW(E1007),Beräkningshjälp!AC$2:AI$1082,COLUMN(Beräkningshjälp!AI$2)-COLUMN(Beräkningshjälp!AC$2)+1,FALSE),"")</f>
        <v/>
      </c>
    </row>
    <row r="1009" spans="1:9" x14ac:dyDescent="0.25">
      <c r="A1009" s="2" t="str">
        <f t="shared" si="30"/>
        <v/>
      </c>
      <c r="B1009" s="136" t="str">
        <f>IF(D1009&lt;&gt;"",'DATA TILL SLU'!$J$3,"")</f>
        <v/>
      </c>
      <c r="C1009" s="146" t="str">
        <f>IF(D1009&lt;&gt;"",'DATA TILL SLU'!$K$3,"")</f>
        <v/>
      </c>
      <c r="D1009" s="2" t="str">
        <f>IF('DATA TILL SLU'!$D$7*1&lt;&gt;"",IF(COUNT(Beräkningshjälp!$AC$3:$AC$1082)&gt;=ROW(D1008),'DATA TILL SLU'!$D$7*1,""),"")</f>
        <v/>
      </c>
      <c r="E1009" s="136" t="str">
        <f>IF(D1009&lt;&gt;"",VLOOKUP(ROW(E1008),Beräkningshjälp!AC$2:AH$1082,COLUMN(Beräkningshjälp!AF$2)-COLUMN(Beräkningshjälp!AC$2)+1,FALSE),"")</f>
        <v/>
      </c>
      <c r="F1009" s="352" t="str">
        <f t="shared" si="31"/>
        <v/>
      </c>
      <c r="G1009" s="2" t="str">
        <f>IF(D1009&lt;&gt;"",IF(VLOOKUP(VLOOKUP(E1009,Beräkningshjälp!O$2:U$60,7,FALSE),Artuppgifter!$I$11:$P$22,8,FALSE)=TRUE,"Medelvikter!!","ALLA"),"")</f>
        <v/>
      </c>
      <c r="H1009" s="2" t="str">
        <f>IF(D1009&lt;&gt;"",VLOOKUP(ROW(H1008),Beräkningshjälp!AC$2:AH$1082,COLUMN(Beräkningshjälp!AH$2)-COLUMN(Beräkningshjälp!AC$2)+1,FALSE),"")</f>
        <v/>
      </c>
      <c r="I1009" s="116" t="str">
        <f>IF(D1009&lt;&gt;"",VLOOKUP(ROW(E1008),Beräkningshjälp!AC$2:AI$1082,COLUMN(Beräkningshjälp!AI$2)-COLUMN(Beräkningshjälp!AC$2)+1,FALSE),"")</f>
        <v/>
      </c>
    </row>
    <row r="1010" spans="1:9" x14ac:dyDescent="0.25">
      <c r="A1010" s="2" t="str">
        <f t="shared" si="30"/>
        <v/>
      </c>
      <c r="B1010" s="136" t="str">
        <f>IF(D1010&lt;&gt;"",'DATA TILL SLU'!$J$3,"")</f>
        <v/>
      </c>
      <c r="C1010" s="146" t="str">
        <f>IF(D1010&lt;&gt;"",'DATA TILL SLU'!$K$3,"")</f>
        <v/>
      </c>
      <c r="D1010" s="2" t="str">
        <f>IF('DATA TILL SLU'!$D$7*1&lt;&gt;"",IF(COUNT(Beräkningshjälp!$AC$3:$AC$1082)&gt;=ROW(D1009),'DATA TILL SLU'!$D$7*1,""),"")</f>
        <v/>
      </c>
      <c r="E1010" s="136" t="str">
        <f>IF(D1010&lt;&gt;"",VLOOKUP(ROW(E1009),Beräkningshjälp!AC$2:AH$1082,COLUMN(Beräkningshjälp!AF$2)-COLUMN(Beräkningshjälp!AC$2)+1,FALSE),"")</f>
        <v/>
      </c>
      <c r="F1010" s="352" t="str">
        <f t="shared" si="31"/>
        <v/>
      </c>
      <c r="G1010" s="2" t="str">
        <f>IF(D1010&lt;&gt;"",IF(VLOOKUP(VLOOKUP(E1010,Beräkningshjälp!O$2:U$60,7,FALSE),Artuppgifter!$I$11:$P$22,8,FALSE)=TRUE,"Medelvikter!!","ALLA"),"")</f>
        <v/>
      </c>
      <c r="H1010" s="2" t="str">
        <f>IF(D1010&lt;&gt;"",VLOOKUP(ROW(H1009),Beräkningshjälp!AC$2:AH$1082,COLUMN(Beräkningshjälp!AH$2)-COLUMN(Beräkningshjälp!AC$2)+1,FALSE),"")</f>
        <v/>
      </c>
      <c r="I1010" s="116" t="str">
        <f>IF(D1010&lt;&gt;"",VLOOKUP(ROW(E1009),Beräkningshjälp!AC$2:AI$1082,COLUMN(Beräkningshjälp!AI$2)-COLUMN(Beräkningshjälp!AC$2)+1,FALSE),"")</f>
        <v/>
      </c>
    </row>
    <row r="1011" spans="1:9" x14ac:dyDescent="0.25">
      <c r="A1011" s="2" t="str">
        <f t="shared" si="30"/>
        <v/>
      </c>
      <c r="B1011" s="136" t="str">
        <f>IF(D1011&lt;&gt;"",'DATA TILL SLU'!$J$3,"")</f>
        <v/>
      </c>
      <c r="C1011" s="146" t="str">
        <f>IF(D1011&lt;&gt;"",'DATA TILL SLU'!$K$3,"")</f>
        <v/>
      </c>
      <c r="D1011" s="2" t="str">
        <f>IF('DATA TILL SLU'!$D$7*1&lt;&gt;"",IF(COUNT(Beräkningshjälp!$AC$3:$AC$1082)&gt;=ROW(D1010),'DATA TILL SLU'!$D$7*1,""),"")</f>
        <v/>
      </c>
      <c r="E1011" s="136" t="str">
        <f>IF(D1011&lt;&gt;"",VLOOKUP(ROW(E1010),Beräkningshjälp!AC$2:AH$1082,COLUMN(Beräkningshjälp!AF$2)-COLUMN(Beräkningshjälp!AC$2)+1,FALSE),"")</f>
        <v/>
      </c>
      <c r="F1011" s="352" t="str">
        <f t="shared" si="31"/>
        <v/>
      </c>
      <c r="G1011" s="2" t="str">
        <f>IF(D1011&lt;&gt;"",IF(VLOOKUP(VLOOKUP(E1011,Beräkningshjälp!O$2:U$60,7,FALSE),Artuppgifter!$I$11:$P$22,8,FALSE)=TRUE,"Medelvikter!!","ALLA"),"")</f>
        <v/>
      </c>
      <c r="H1011" s="2" t="str">
        <f>IF(D1011&lt;&gt;"",VLOOKUP(ROW(H1010),Beräkningshjälp!AC$2:AH$1082,COLUMN(Beräkningshjälp!AH$2)-COLUMN(Beräkningshjälp!AC$2)+1,FALSE),"")</f>
        <v/>
      </c>
      <c r="I1011" s="116" t="str">
        <f>IF(D1011&lt;&gt;"",VLOOKUP(ROW(E1010),Beräkningshjälp!AC$2:AI$1082,COLUMN(Beräkningshjälp!AI$2)-COLUMN(Beräkningshjälp!AC$2)+1,FALSE),"")</f>
        <v/>
      </c>
    </row>
    <row r="1012" spans="1:9" x14ac:dyDescent="0.25">
      <c r="A1012" s="2" t="str">
        <f t="shared" si="30"/>
        <v/>
      </c>
      <c r="B1012" s="136" t="str">
        <f>IF(D1012&lt;&gt;"",'DATA TILL SLU'!$J$3,"")</f>
        <v/>
      </c>
      <c r="C1012" s="146" t="str">
        <f>IF(D1012&lt;&gt;"",'DATA TILL SLU'!$K$3,"")</f>
        <v/>
      </c>
      <c r="D1012" s="2" t="str">
        <f>IF('DATA TILL SLU'!$D$7*1&lt;&gt;"",IF(COUNT(Beräkningshjälp!$AC$3:$AC$1082)&gt;=ROW(D1011),'DATA TILL SLU'!$D$7*1,""),"")</f>
        <v/>
      </c>
      <c r="E1012" s="136" t="str">
        <f>IF(D1012&lt;&gt;"",VLOOKUP(ROW(E1011),Beräkningshjälp!AC$2:AH$1082,COLUMN(Beräkningshjälp!AF$2)-COLUMN(Beräkningshjälp!AC$2)+1,FALSE),"")</f>
        <v/>
      </c>
      <c r="F1012" s="352" t="str">
        <f t="shared" si="31"/>
        <v/>
      </c>
      <c r="G1012" s="2" t="str">
        <f>IF(D1012&lt;&gt;"",IF(VLOOKUP(VLOOKUP(E1012,Beräkningshjälp!O$2:U$60,7,FALSE),Artuppgifter!$I$11:$P$22,8,FALSE)=TRUE,"Medelvikter!!","ALLA"),"")</f>
        <v/>
      </c>
      <c r="H1012" s="2" t="str">
        <f>IF(D1012&lt;&gt;"",VLOOKUP(ROW(H1011),Beräkningshjälp!AC$2:AH$1082,COLUMN(Beräkningshjälp!AH$2)-COLUMN(Beräkningshjälp!AC$2)+1,FALSE),"")</f>
        <v/>
      </c>
      <c r="I1012" s="116" t="str">
        <f>IF(D1012&lt;&gt;"",VLOOKUP(ROW(E1011),Beräkningshjälp!AC$2:AI$1082,COLUMN(Beräkningshjälp!AI$2)-COLUMN(Beräkningshjälp!AC$2)+1,FALSE),"")</f>
        <v/>
      </c>
    </row>
    <row r="1013" spans="1:9" x14ac:dyDescent="0.25">
      <c r="A1013" s="2" t="str">
        <f t="shared" si="30"/>
        <v/>
      </c>
      <c r="B1013" s="136" t="str">
        <f>IF(D1013&lt;&gt;"",'DATA TILL SLU'!$J$3,"")</f>
        <v/>
      </c>
      <c r="C1013" s="146" t="str">
        <f>IF(D1013&lt;&gt;"",'DATA TILL SLU'!$K$3,"")</f>
        <v/>
      </c>
      <c r="D1013" s="2" t="str">
        <f>IF('DATA TILL SLU'!$D$7*1&lt;&gt;"",IF(COUNT(Beräkningshjälp!$AC$3:$AC$1082)&gt;=ROW(D1012),'DATA TILL SLU'!$D$7*1,""),"")</f>
        <v/>
      </c>
      <c r="E1013" s="136" t="str">
        <f>IF(D1013&lt;&gt;"",VLOOKUP(ROW(E1012),Beräkningshjälp!AC$2:AH$1082,COLUMN(Beräkningshjälp!AF$2)-COLUMN(Beräkningshjälp!AC$2)+1,FALSE),"")</f>
        <v/>
      </c>
      <c r="F1013" s="352" t="str">
        <f t="shared" si="31"/>
        <v/>
      </c>
      <c r="G1013" s="2" t="str">
        <f>IF(D1013&lt;&gt;"",IF(VLOOKUP(VLOOKUP(E1013,Beräkningshjälp!O$2:U$60,7,FALSE),Artuppgifter!$I$11:$P$22,8,FALSE)=TRUE,"Medelvikter!!","ALLA"),"")</f>
        <v/>
      </c>
      <c r="H1013" s="2" t="str">
        <f>IF(D1013&lt;&gt;"",VLOOKUP(ROW(H1012),Beräkningshjälp!AC$2:AH$1082,COLUMN(Beräkningshjälp!AH$2)-COLUMN(Beräkningshjälp!AC$2)+1,FALSE),"")</f>
        <v/>
      </c>
      <c r="I1013" s="116" t="str">
        <f>IF(D1013&lt;&gt;"",VLOOKUP(ROW(E1012),Beräkningshjälp!AC$2:AI$1082,COLUMN(Beräkningshjälp!AI$2)-COLUMN(Beräkningshjälp!AC$2)+1,FALSE),"")</f>
        <v/>
      </c>
    </row>
    <row r="1014" spans="1:9" x14ac:dyDescent="0.25">
      <c r="A1014" s="2" t="str">
        <f t="shared" si="30"/>
        <v/>
      </c>
      <c r="B1014" s="136" t="str">
        <f>IF(D1014&lt;&gt;"",'DATA TILL SLU'!$J$3,"")</f>
        <v/>
      </c>
      <c r="C1014" s="146" t="str">
        <f>IF(D1014&lt;&gt;"",'DATA TILL SLU'!$K$3,"")</f>
        <v/>
      </c>
      <c r="D1014" s="2" t="str">
        <f>IF('DATA TILL SLU'!$D$7*1&lt;&gt;"",IF(COUNT(Beräkningshjälp!$AC$3:$AC$1082)&gt;=ROW(D1013),'DATA TILL SLU'!$D$7*1,""),"")</f>
        <v/>
      </c>
      <c r="E1014" s="136" t="str">
        <f>IF(D1014&lt;&gt;"",VLOOKUP(ROW(E1013),Beräkningshjälp!AC$2:AH$1082,COLUMN(Beräkningshjälp!AF$2)-COLUMN(Beräkningshjälp!AC$2)+1,FALSE),"")</f>
        <v/>
      </c>
      <c r="F1014" s="352" t="str">
        <f t="shared" si="31"/>
        <v/>
      </c>
      <c r="G1014" s="2" t="str">
        <f>IF(D1014&lt;&gt;"",IF(VLOOKUP(VLOOKUP(E1014,Beräkningshjälp!O$2:U$60,7,FALSE),Artuppgifter!$I$11:$P$22,8,FALSE)=TRUE,"Medelvikter!!","ALLA"),"")</f>
        <v/>
      </c>
      <c r="H1014" s="2" t="str">
        <f>IF(D1014&lt;&gt;"",VLOOKUP(ROW(H1013),Beräkningshjälp!AC$2:AH$1082,COLUMN(Beräkningshjälp!AH$2)-COLUMN(Beräkningshjälp!AC$2)+1,FALSE),"")</f>
        <v/>
      </c>
      <c r="I1014" s="116" t="str">
        <f>IF(D1014&lt;&gt;"",VLOOKUP(ROW(E1013),Beräkningshjälp!AC$2:AI$1082,COLUMN(Beräkningshjälp!AI$2)-COLUMN(Beräkningshjälp!AC$2)+1,FALSE),"")</f>
        <v/>
      </c>
    </row>
    <row r="1015" spans="1:9" x14ac:dyDescent="0.25">
      <c r="A1015" s="2" t="str">
        <f t="shared" si="30"/>
        <v/>
      </c>
      <c r="B1015" s="136" t="str">
        <f>IF(D1015&lt;&gt;"",'DATA TILL SLU'!$J$3,"")</f>
        <v/>
      </c>
      <c r="C1015" s="146" t="str">
        <f>IF(D1015&lt;&gt;"",'DATA TILL SLU'!$K$3,"")</f>
        <v/>
      </c>
      <c r="D1015" s="2" t="str">
        <f>IF('DATA TILL SLU'!$D$7*1&lt;&gt;"",IF(COUNT(Beräkningshjälp!$AC$3:$AC$1082)&gt;=ROW(D1014),'DATA TILL SLU'!$D$7*1,""),"")</f>
        <v/>
      </c>
      <c r="E1015" s="136" t="str">
        <f>IF(D1015&lt;&gt;"",VLOOKUP(ROW(E1014),Beräkningshjälp!AC$2:AH$1082,COLUMN(Beräkningshjälp!AF$2)-COLUMN(Beräkningshjälp!AC$2)+1,FALSE),"")</f>
        <v/>
      </c>
      <c r="F1015" s="352" t="str">
        <f t="shared" si="31"/>
        <v/>
      </c>
      <c r="G1015" s="2" t="str">
        <f>IF(D1015&lt;&gt;"",IF(VLOOKUP(VLOOKUP(E1015,Beräkningshjälp!O$2:U$60,7,FALSE),Artuppgifter!$I$11:$P$22,8,FALSE)=TRUE,"Medelvikter!!","ALLA"),"")</f>
        <v/>
      </c>
      <c r="H1015" s="2" t="str">
        <f>IF(D1015&lt;&gt;"",VLOOKUP(ROW(H1014),Beräkningshjälp!AC$2:AH$1082,COLUMN(Beräkningshjälp!AH$2)-COLUMN(Beräkningshjälp!AC$2)+1,FALSE),"")</f>
        <v/>
      </c>
      <c r="I1015" s="116" t="str">
        <f>IF(D1015&lt;&gt;"",VLOOKUP(ROW(E1014),Beräkningshjälp!AC$2:AI$1082,COLUMN(Beräkningshjälp!AI$2)-COLUMN(Beräkningshjälp!AC$2)+1,FALSE),"")</f>
        <v/>
      </c>
    </row>
    <row r="1016" spans="1:9" x14ac:dyDescent="0.25">
      <c r="A1016" s="2" t="str">
        <f t="shared" si="30"/>
        <v/>
      </c>
      <c r="B1016" s="136" t="str">
        <f>IF(D1016&lt;&gt;"",'DATA TILL SLU'!$J$3,"")</f>
        <v/>
      </c>
      <c r="C1016" s="146" t="str">
        <f>IF(D1016&lt;&gt;"",'DATA TILL SLU'!$K$3,"")</f>
        <v/>
      </c>
      <c r="D1016" s="2" t="str">
        <f>IF('DATA TILL SLU'!$D$7*1&lt;&gt;"",IF(COUNT(Beräkningshjälp!$AC$3:$AC$1082)&gt;=ROW(D1015),'DATA TILL SLU'!$D$7*1,""),"")</f>
        <v/>
      </c>
      <c r="E1016" s="136" t="str">
        <f>IF(D1016&lt;&gt;"",VLOOKUP(ROW(E1015),Beräkningshjälp!AC$2:AH$1082,COLUMN(Beräkningshjälp!AF$2)-COLUMN(Beräkningshjälp!AC$2)+1,FALSE),"")</f>
        <v/>
      </c>
      <c r="F1016" s="352" t="str">
        <f t="shared" si="31"/>
        <v/>
      </c>
      <c r="G1016" s="2" t="str">
        <f>IF(D1016&lt;&gt;"",IF(VLOOKUP(VLOOKUP(E1016,Beräkningshjälp!O$2:U$60,7,FALSE),Artuppgifter!$I$11:$P$22,8,FALSE)=TRUE,"Medelvikter!!","ALLA"),"")</f>
        <v/>
      </c>
      <c r="H1016" s="2" t="str">
        <f>IF(D1016&lt;&gt;"",VLOOKUP(ROW(H1015),Beräkningshjälp!AC$2:AH$1082,COLUMN(Beräkningshjälp!AH$2)-COLUMN(Beräkningshjälp!AC$2)+1,FALSE),"")</f>
        <v/>
      </c>
      <c r="I1016" s="116" t="str">
        <f>IF(D1016&lt;&gt;"",VLOOKUP(ROW(E1015),Beräkningshjälp!AC$2:AI$1082,COLUMN(Beräkningshjälp!AI$2)-COLUMN(Beräkningshjälp!AC$2)+1,FALSE),"")</f>
        <v/>
      </c>
    </row>
    <row r="1017" spans="1:9" x14ac:dyDescent="0.25">
      <c r="A1017" s="2" t="str">
        <f t="shared" si="30"/>
        <v/>
      </c>
      <c r="B1017" s="136" t="str">
        <f>IF(D1017&lt;&gt;"",'DATA TILL SLU'!$J$3,"")</f>
        <v/>
      </c>
      <c r="C1017" s="146" t="str">
        <f>IF(D1017&lt;&gt;"",'DATA TILL SLU'!$K$3,"")</f>
        <v/>
      </c>
      <c r="D1017" s="2" t="str">
        <f>IF('DATA TILL SLU'!$D$7*1&lt;&gt;"",IF(COUNT(Beräkningshjälp!$AC$3:$AC$1082)&gt;=ROW(D1016),'DATA TILL SLU'!$D$7*1,""),"")</f>
        <v/>
      </c>
      <c r="E1017" s="136" t="str">
        <f>IF(D1017&lt;&gt;"",VLOOKUP(ROW(E1016),Beräkningshjälp!AC$2:AH$1082,COLUMN(Beräkningshjälp!AF$2)-COLUMN(Beräkningshjälp!AC$2)+1,FALSE),"")</f>
        <v/>
      </c>
      <c r="F1017" s="352" t="str">
        <f t="shared" si="31"/>
        <v/>
      </c>
      <c r="G1017" s="2" t="str">
        <f>IF(D1017&lt;&gt;"",IF(VLOOKUP(VLOOKUP(E1017,Beräkningshjälp!O$2:U$60,7,FALSE),Artuppgifter!$I$11:$P$22,8,FALSE)=TRUE,"Medelvikter!!","ALLA"),"")</f>
        <v/>
      </c>
      <c r="H1017" s="2" t="str">
        <f>IF(D1017&lt;&gt;"",VLOOKUP(ROW(H1016),Beräkningshjälp!AC$2:AH$1082,COLUMN(Beräkningshjälp!AH$2)-COLUMN(Beräkningshjälp!AC$2)+1,FALSE),"")</f>
        <v/>
      </c>
      <c r="I1017" s="116" t="str">
        <f>IF(D1017&lt;&gt;"",VLOOKUP(ROW(E1016),Beräkningshjälp!AC$2:AI$1082,COLUMN(Beräkningshjälp!AI$2)-COLUMN(Beräkningshjälp!AC$2)+1,FALSE),"")</f>
        <v/>
      </c>
    </row>
    <row r="1018" spans="1:9" x14ac:dyDescent="0.25">
      <c r="A1018" s="2" t="str">
        <f t="shared" si="30"/>
        <v/>
      </c>
      <c r="B1018" s="136" t="str">
        <f>IF(D1018&lt;&gt;"",'DATA TILL SLU'!$J$3,"")</f>
        <v/>
      </c>
      <c r="C1018" s="146" t="str">
        <f>IF(D1018&lt;&gt;"",'DATA TILL SLU'!$K$3,"")</f>
        <v/>
      </c>
      <c r="D1018" s="2" t="str">
        <f>IF('DATA TILL SLU'!$D$7*1&lt;&gt;"",IF(COUNT(Beräkningshjälp!$AC$3:$AC$1082)&gt;=ROW(D1017),'DATA TILL SLU'!$D$7*1,""),"")</f>
        <v/>
      </c>
      <c r="E1018" s="136" t="str">
        <f>IF(D1018&lt;&gt;"",VLOOKUP(ROW(E1017),Beräkningshjälp!AC$2:AH$1082,COLUMN(Beräkningshjälp!AF$2)-COLUMN(Beräkningshjälp!AC$2)+1,FALSE),"")</f>
        <v/>
      </c>
      <c r="F1018" s="352" t="str">
        <f t="shared" si="31"/>
        <v/>
      </c>
      <c r="G1018" s="2" t="str">
        <f>IF(D1018&lt;&gt;"",IF(VLOOKUP(VLOOKUP(E1018,Beräkningshjälp!O$2:U$60,7,FALSE),Artuppgifter!$I$11:$P$22,8,FALSE)=TRUE,"Medelvikter!!","ALLA"),"")</f>
        <v/>
      </c>
      <c r="H1018" s="2" t="str">
        <f>IF(D1018&lt;&gt;"",VLOOKUP(ROW(H1017),Beräkningshjälp!AC$2:AH$1082,COLUMN(Beräkningshjälp!AH$2)-COLUMN(Beräkningshjälp!AC$2)+1,FALSE),"")</f>
        <v/>
      </c>
      <c r="I1018" s="116" t="str">
        <f>IF(D1018&lt;&gt;"",VLOOKUP(ROW(E1017),Beräkningshjälp!AC$2:AI$1082,COLUMN(Beräkningshjälp!AI$2)-COLUMN(Beräkningshjälp!AC$2)+1,FALSE),"")</f>
        <v/>
      </c>
    </row>
    <row r="1019" spans="1:9" x14ac:dyDescent="0.25">
      <c r="A1019" s="2" t="str">
        <f t="shared" si="30"/>
        <v/>
      </c>
      <c r="B1019" s="136" t="str">
        <f>IF(D1019&lt;&gt;"",'DATA TILL SLU'!$J$3,"")</f>
        <v/>
      </c>
      <c r="C1019" s="146" t="str">
        <f>IF(D1019&lt;&gt;"",'DATA TILL SLU'!$K$3,"")</f>
        <v/>
      </c>
      <c r="D1019" s="2" t="str">
        <f>IF('DATA TILL SLU'!$D$7*1&lt;&gt;"",IF(COUNT(Beräkningshjälp!$AC$3:$AC$1082)&gt;=ROW(D1018),'DATA TILL SLU'!$D$7*1,""),"")</f>
        <v/>
      </c>
      <c r="E1019" s="136" t="str">
        <f>IF(D1019&lt;&gt;"",VLOOKUP(ROW(E1018),Beräkningshjälp!AC$2:AH$1082,COLUMN(Beräkningshjälp!AF$2)-COLUMN(Beräkningshjälp!AC$2)+1,FALSE),"")</f>
        <v/>
      </c>
      <c r="F1019" s="352" t="str">
        <f t="shared" si="31"/>
        <v/>
      </c>
      <c r="G1019" s="2" t="str">
        <f>IF(D1019&lt;&gt;"",IF(VLOOKUP(VLOOKUP(E1019,Beräkningshjälp!O$2:U$60,7,FALSE),Artuppgifter!$I$11:$P$22,8,FALSE)=TRUE,"Medelvikter!!","ALLA"),"")</f>
        <v/>
      </c>
      <c r="H1019" s="2" t="str">
        <f>IF(D1019&lt;&gt;"",VLOOKUP(ROW(H1018),Beräkningshjälp!AC$2:AH$1082,COLUMN(Beräkningshjälp!AH$2)-COLUMN(Beräkningshjälp!AC$2)+1,FALSE),"")</f>
        <v/>
      </c>
      <c r="I1019" s="116" t="str">
        <f>IF(D1019&lt;&gt;"",VLOOKUP(ROW(E1018),Beräkningshjälp!AC$2:AI$1082,COLUMN(Beräkningshjälp!AI$2)-COLUMN(Beräkningshjälp!AC$2)+1,FALSE),"")</f>
        <v/>
      </c>
    </row>
    <row r="1020" spans="1:9" x14ac:dyDescent="0.25">
      <c r="A1020" s="2" t="str">
        <f t="shared" si="30"/>
        <v/>
      </c>
      <c r="B1020" s="136" t="str">
        <f>IF(D1020&lt;&gt;"",'DATA TILL SLU'!$J$3,"")</f>
        <v/>
      </c>
      <c r="C1020" s="146" t="str">
        <f>IF(D1020&lt;&gt;"",'DATA TILL SLU'!$K$3,"")</f>
        <v/>
      </c>
      <c r="D1020" s="2" t="str">
        <f>IF('DATA TILL SLU'!$D$7*1&lt;&gt;"",IF(COUNT(Beräkningshjälp!$AC$3:$AC$1082)&gt;=ROW(D1019),'DATA TILL SLU'!$D$7*1,""),"")</f>
        <v/>
      </c>
      <c r="E1020" s="136" t="str">
        <f>IF(D1020&lt;&gt;"",VLOOKUP(ROW(E1019),Beräkningshjälp!AC$2:AH$1082,COLUMN(Beräkningshjälp!AF$2)-COLUMN(Beräkningshjälp!AC$2)+1,FALSE),"")</f>
        <v/>
      </c>
      <c r="F1020" s="352" t="str">
        <f t="shared" si="31"/>
        <v/>
      </c>
      <c r="G1020" s="2" t="str">
        <f>IF(D1020&lt;&gt;"",IF(VLOOKUP(VLOOKUP(E1020,Beräkningshjälp!O$2:U$60,7,FALSE),Artuppgifter!$I$11:$P$22,8,FALSE)=TRUE,"Medelvikter!!","ALLA"),"")</f>
        <v/>
      </c>
      <c r="H1020" s="2" t="str">
        <f>IF(D1020&lt;&gt;"",VLOOKUP(ROW(H1019),Beräkningshjälp!AC$2:AH$1082,COLUMN(Beräkningshjälp!AH$2)-COLUMN(Beräkningshjälp!AC$2)+1,FALSE),"")</f>
        <v/>
      </c>
      <c r="I1020" s="116" t="str">
        <f>IF(D1020&lt;&gt;"",VLOOKUP(ROW(E1019),Beräkningshjälp!AC$2:AI$1082,COLUMN(Beräkningshjälp!AI$2)-COLUMN(Beräkningshjälp!AC$2)+1,FALSE),"")</f>
        <v/>
      </c>
    </row>
    <row r="1021" spans="1:9" x14ac:dyDescent="0.25">
      <c r="A1021" s="2" t="str">
        <f t="shared" si="30"/>
        <v/>
      </c>
      <c r="B1021" s="136" t="str">
        <f>IF(D1021&lt;&gt;"",'DATA TILL SLU'!$J$3,"")</f>
        <v/>
      </c>
      <c r="C1021" s="146" t="str">
        <f>IF(D1021&lt;&gt;"",'DATA TILL SLU'!$K$3,"")</f>
        <v/>
      </c>
      <c r="D1021" s="2" t="str">
        <f>IF('DATA TILL SLU'!$D$7*1&lt;&gt;"",IF(COUNT(Beräkningshjälp!$AC$3:$AC$1082)&gt;=ROW(D1020),'DATA TILL SLU'!$D$7*1,""),"")</f>
        <v/>
      </c>
      <c r="E1021" s="136" t="str">
        <f>IF(D1021&lt;&gt;"",VLOOKUP(ROW(E1020),Beräkningshjälp!AC$2:AH$1082,COLUMN(Beräkningshjälp!AF$2)-COLUMN(Beräkningshjälp!AC$2)+1,FALSE),"")</f>
        <v/>
      </c>
      <c r="F1021" s="352" t="str">
        <f t="shared" si="31"/>
        <v/>
      </c>
      <c r="G1021" s="2" t="str">
        <f>IF(D1021&lt;&gt;"",IF(VLOOKUP(VLOOKUP(E1021,Beräkningshjälp!O$2:U$60,7,FALSE),Artuppgifter!$I$11:$P$22,8,FALSE)=TRUE,"Medelvikter!!","ALLA"),"")</f>
        <v/>
      </c>
      <c r="H1021" s="2" t="str">
        <f>IF(D1021&lt;&gt;"",VLOOKUP(ROW(H1020),Beräkningshjälp!AC$2:AH$1082,COLUMN(Beräkningshjälp!AH$2)-COLUMN(Beräkningshjälp!AC$2)+1,FALSE),"")</f>
        <v/>
      </c>
      <c r="I1021" s="116" t="str">
        <f>IF(D1021&lt;&gt;"",VLOOKUP(ROW(E1020),Beräkningshjälp!AC$2:AI$1082,COLUMN(Beräkningshjälp!AI$2)-COLUMN(Beräkningshjälp!AC$2)+1,FALSE),"")</f>
        <v/>
      </c>
    </row>
    <row r="1022" spans="1:9" x14ac:dyDescent="0.25">
      <c r="A1022" s="2" t="str">
        <f t="shared" si="30"/>
        <v/>
      </c>
      <c r="B1022" s="136" t="str">
        <f>IF(D1022&lt;&gt;"",'DATA TILL SLU'!$J$3,"")</f>
        <v/>
      </c>
      <c r="C1022" s="146" t="str">
        <f>IF(D1022&lt;&gt;"",'DATA TILL SLU'!$K$3,"")</f>
        <v/>
      </c>
      <c r="D1022" s="2" t="str">
        <f>IF('DATA TILL SLU'!$D$7*1&lt;&gt;"",IF(COUNT(Beräkningshjälp!$AC$3:$AC$1082)&gt;=ROW(D1021),'DATA TILL SLU'!$D$7*1,""),"")</f>
        <v/>
      </c>
      <c r="E1022" s="136" t="str">
        <f>IF(D1022&lt;&gt;"",VLOOKUP(ROW(E1021),Beräkningshjälp!AC$2:AH$1082,COLUMN(Beräkningshjälp!AF$2)-COLUMN(Beräkningshjälp!AC$2)+1,FALSE),"")</f>
        <v/>
      </c>
      <c r="F1022" s="352" t="str">
        <f t="shared" si="31"/>
        <v/>
      </c>
      <c r="G1022" s="2" t="str">
        <f>IF(D1022&lt;&gt;"",IF(VLOOKUP(VLOOKUP(E1022,Beräkningshjälp!O$2:U$60,7,FALSE),Artuppgifter!$I$11:$P$22,8,FALSE)=TRUE,"Medelvikter!!","ALLA"),"")</f>
        <v/>
      </c>
      <c r="H1022" s="2" t="str">
        <f>IF(D1022&lt;&gt;"",VLOOKUP(ROW(H1021),Beräkningshjälp!AC$2:AH$1082,COLUMN(Beräkningshjälp!AH$2)-COLUMN(Beräkningshjälp!AC$2)+1,FALSE),"")</f>
        <v/>
      </c>
      <c r="I1022" s="116" t="str">
        <f>IF(D1022&lt;&gt;"",VLOOKUP(ROW(E1021),Beräkningshjälp!AC$2:AI$1082,COLUMN(Beräkningshjälp!AI$2)-COLUMN(Beräkningshjälp!AC$2)+1,FALSE),"")</f>
        <v/>
      </c>
    </row>
    <row r="1023" spans="1:9" x14ac:dyDescent="0.25">
      <c r="A1023" s="2" t="str">
        <f t="shared" si="30"/>
        <v/>
      </c>
      <c r="B1023" s="136" t="str">
        <f>IF(D1023&lt;&gt;"",'DATA TILL SLU'!$J$3,"")</f>
        <v/>
      </c>
      <c r="C1023" s="146" t="str">
        <f>IF(D1023&lt;&gt;"",'DATA TILL SLU'!$K$3,"")</f>
        <v/>
      </c>
      <c r="D1023" s="2" t="str">
        <f>IF('DATA TILL SLU'!$D$7*1&lt;&gt;"",IF(COUNT(Beräkningshjälp!$AC$3:$AC$1082)&gt;=ROW(D1022),'DATA TILL SLU'!$D$7*1,""),"")</f>
        <v/>
      </c>
      <c r="E1023" s="136" t="str">
        <f>IF(D1023&lt;&gt;"",VLOOKUP(ROW(E1022),Beräkningshjälp!AC$2:AH$1082,COLUMN(Beräkningshjälp!AF$2)-COLUMN(Beräkningshjälp!AC$2)+1,FALSE),"")</f>
        <v/>
      </c>
      <c r="F1023" s="352" t="str">
        <f t="shared" si="31"/>
        <v/>
      </c>
      <c r="G1023" s="2" t="str">
        <f>IF(D1023&lt;&gt;"",IF(VLOOKUP(VLOOKUP(E1023,Beräkningshjälp!O$2:U$60,7,FALSE),Artuppgifter!$I$11:$P$22,8,FALSE)=TRUE,"Medelvikter!!","ALLA"),"")</f>
        <v/>
      </c>
      <c r="H1023" s="2" t="str">
        <f>IF(D1023&lt;&gt;"",VLOOKUP(ROW(H1022),Beräkningshjälp!AC$2:AH$1082,COLUMN(Beräkningshjälp!AH$2)-COLUMN(Beräkningshjälp!AC$2)+1,FALSE),"")</f>
        <v/>
      </c>
      <c r="I1023" s="116" t="str">
        <f>IF(D1023&lt;&gt;"",VLOOKUP(ROW(E1022),Beräkningshjälp!AC$2:AI$1082,COLUMN(Beräkningshjälp!AI$2)-COLUMN(Beräkningshjälp!AC$2)+1,FALSE),"")</f>
        <v/>
      </c>
    </row>
    <row r="1024" spans="1:9" x14ac:dyDescent="0.25">
      <c r="A1024" s="2" t="str">
        <f t="shared" si="30"/>
        <v/>
      </c>
      <c r="B1024" s="136" t="str">
        <f>IF(D1024&lt;&gt;"",'DATA TILL SLU'!$J$3,"")</f>
        <v/>
      </c>
      <c r="C1024" s="146" t="str">
        <f>IF(D1024&lt;&gt;"",'DATA TILL SLU'!$K$3,"")</f>
        <v/>
      </c>
      <c r="D1024" s="2" t="str">
        <f>IF('DATA TILL SLU'!$D$7*1&lt;&gt;"",IF(COUNT(Beräkningshjälp!$AC$3:$AC$1082)&gt;=ROW(D1023),'DATA TILL SLU'!$D$7*1,""),"")</f>
        <v/>
      </c>
      <c r="E1024" s="136" t="str">
        <f>IF(D1024&lt;&gt;"",VLOOKUP(ROW(E1023),Beräkningshjälp!AC$2:AH$1082,COLUMN(Beräkningshjälp!AF$2)-COLUMN(Beräkningshjälp!AC$2)+1,FALSE),"")</f>
        <v/>
      </c>
      <c r="F1024" s="352" t="str">
        <f t="shared" si="31"/>
        <v/>
      </c>
      <c r="G1024" s="2" t="str">
        <f>IF(D1024&lt;&gt;"",IF(VLOOKUP(VLOOKUP(E1024,Beräkningshjälp!O$2:U$60,7,FALSE),Artuppgifter!$I$11:$P$22,8,FALSE)=TRUE,"Medelvikter!!","ALLA"),"")</f>
        <v/>
      </c>
      <c r="H1024" s="2" t="str">
        <f>IF(D1024&lt;&gt;"",VLOOKUP(ROW(H1023),Beräkningshjälp!AC$2:AH$1082,COLUMN(Beräkningshjälp!AH$2)-COLUMN(Beräkningshjälp!AC$2)+1,FALSE),"")</f>
        <v/>
      </c>
      <c r="I1024" s="116" t="str">
        <f>IF(D1024&lt;&gt;"",VLOOKUP(ROW(E1023),Beräkningshjälp!AC$2:AI$1082,COLUMN(Beräkningshjälp!AI$2)-COLUMN(Beräkningshjälp!AC$2)+1,FALSE),"")</f>
        <v/>
      </c>
    </row>
    <row r="1025" spans="1:9" x14ac:dyDescent="0.25">
      <c r="A1025" s="2" t="str">
        <f t="shared" si="30"/>
        <v/>
      </c>
      <c r="B1025" s="136" t="str">
        <f>IF(D1025&lt;&gt;"",'DATA TILL SLU'!$J$3,"")</f>
        <v/>
      </c>
      <c r="C1025" s="146" t="str">
        <f>IF(D1025&lt;&gt;"",'DATA TILL SLU'!$K$3,"")</f>
        <v/>
      </c>
      <c r="D1025" s="2" t="str">
        <f>IF('DATA TILL SLU'!$D$7*1&lt;&gt;"",IF(COUNT(Beräkningshjälp!$AC$3:$AC$1082)&gt;=ROW(D1024),'DATA TILL SLU'!$D$7*1,""),"")</f>
        <v/>
      </c>
      <c r="E1025" s="136" t="str">
        <f>IF(D1025&lt;&gt;"",VLOOKUP(ROW(E1024),Beräkningshjälp!AC$2:AH$1082,COLUMN(Beräkningshjälp!AF$2)-COLUMN(Beräkningshjälp!AC$2)+1,FALSE),"")</f>
        <v/>
      </c>
      <c r="F1025" s="352" t="str">
        <f t="shared" si="31"/>
        <v/>
      </c>
      <c r="G1025" s="2" t="str">
        <f>IF(D1025&lt;&gt;"",IF(VLOOKUP(VLOOKUP(E1025,Beräkningshjälp!O$2:U$60,7,FALSE),Artuppgifter!$I$11:$P$22,8,FALSE)=TRUE,"Medelvikter!!","ALLA"),"")</f>
        <v/>
      </c>
      <c r="H1025" s="2" t="str">
        <f>IF(D1025&lt;&gt;"",VLOOKUP(ROW(H1024),Beräkningshjälp!AC$2:AH$1082,COLUMN(Beräkningshjälp!AH$2)-COLUMN(Beräkningshjälp!AC$2)+1,FALSE),"")</f>
        <v/>
      </c>
      <c r="I1025" s="116" t="str">
        <f>IF(D1025&lt;&gt;"",VLOOKUP(ROW(E1024),Beräkningshjälp!AC$2:AI$1082,COLUMN(Beräkningshjälp!AI$2)-COLUMN(Beräkningshjälp!AC$2)+1,FALSE),"")</f>
        <v/>
      </c>
    </row>
    <row r="1026" spans="1:9" x14ac:dyDescent="0.25">
      <c r="A1026" s="2" t="str">
        <f t="shared" si="30"/>
        <v/>
      </c>
      <c r="B1026" s="136" t="str">
        <f>IF(D1026&lt;&gt;"",'DATA TILL SLU'!$J$3,"")</f>
        <v/>
      </c>
      <c r="C1026" s="146" t="str">
        <f>IF(D1026&lt;&gt;"",'DATA TILL SLU'!$K$3,"")</f>
        <v/>
      </c>
      <c r="D1026" s="2" t="str">
        <f>IF('DATA TILL SLU'!$D$7*1&lt;&gt;"",IF(COUNT(Beräkningshjälp!$AC$3:$AC$1082)&gt;=ROW(D1025),'DATA TILL SLU'!$D$7*1,""),"")</f>
        <v/>
      </c>
      <c r="E1026" s="136" t="str">
        <f>IF(D1026&lt;&gt;"",VLOOKUP(ROW(E1025),Beräkningshjälp!AC$2:AH$1082,COLUMN(Beräkningshjälp!AF$2)-COLUMN(Beräkningshjälp!AC$2)+1,FALSE),"")</f>
        <v/>
      </c>
      <c r="F1026" s="352" t="str">
        <f t="shared" si="31"/>
        <v/>
      </c>
      <c r="G1026" s="2" t="str">
        <f>IF(D1026&lt;&gt;"",IF(VLOOKUP(VLOOKUP(E1026,Beräkningshjälp!O$2:U$60,7,FALSE),Artuppgifter!$I$11:$P$22,8,FALSE)=TRUE,"Medelvikter!!","ALLA"),"")</f>
        <v/>
      </c>
      <c r="H1026" s="2" t="str">
        <f>IF(D1026&lt;&gt;"",VLOOKUP(ROW(H1025),Beräkningshjälp!AC$2:AH$1082,COLUMN(Beräkningshjälp!AH$2)-COLUMN(Beräkningshjälp!AC$2)+1,FALSE),"")</f>
        <v/>
      </c>
      <c r="I1026" s="116" t="str">
        <f>IF(D1026&lt;&gt;"",VLOOKUP(ROW(E1025),Beräkningshjälp!AC$2:AI$1082,COLUMN(Beräkningshjälp!AI$2)-COLUMN(Beräkningshjälp!AC$2)+1,FALSE),"")</f>
        <v/>
      </c>
    </row>
    <row r="1027" spans="1:9" x14ac:dyDescent="0.25">
      <c r="A1027" s="2" t="str">
        <f t="shared" ref="A1027:A1090" si="32">IF(D1027&lt;&gt;"","LANGDVIKTER","")</f>
        <v/>
      </c>
      <c r="B1027" s="136" t="str">
        <f>IF(D1027&lt;&gt;"",'DATA TILL SLU'!$J$3,"")</f>
        <v/>
      </c>
      <c r="C1027" s="146" t="str">
        <f>IF(D1027&lt;&gt;"",'DATA TILL SLU'!$K$3,"")</f>
        <v/>
      </c>
      <c r="D1027" s="2" t="str">
        <f>IF('DATA TILL SLU'!$D$7*1&lt;&gt;"",IF(COUNT(Beräkningshjälp!$AC$3:$AC$1082)&gt;=ROW(D1026),'DATA TILL SLU'!$D$7*1,""),"")</f>
        <v/>
      </c>
      <c r="E1027" s="136" t="str">
        <f>IF(D1027&lt;&gt;"",VLOOKUP(ROW(E1026),Beräkningshjälp!AC$2:AH$1082,COLUMN(Beräkningshjälp!AF$2)-COLUMN(Beräkningshjälp!AC$2)+1,FALSE),"")</f>
        <v/>
      </c>
      <c r="F1027" s="352" t="str">
        <f t="shared" ref="F1027:F1090" si="33">IF(D1027&lt;&gt;"","IND","")</f>
        <v/>
      </c>
      <c r="G1027" s="2" t="str">
        <f>IF(D1027&lt;&gt;"",IF(VLOOKUP(VLOOKUP(E1027,Beräkningshjälp!O$2:U$60,7,FALSE),Artuppgifter!$I$11:$P$22,8,FALSE)=TRUE,"Medelvikter!!","ALLA"),"")</f>
        <v/>
      </c>
      <c r="H1027" s="2" t="str">
        <f>IF(D1027&lt;&gt;"",VLOOKUP(ROW(H1026),Beräkningshjälp!AC$2:AH$1082,COLUMN(Beräkningshjälp!AH$2)-COLUMN(Beräkningshjälp!AC$2)+1,FALSE),"")</f>
        <v/>
      </c>
      <c r="I1027" s="116" t="str">
        <f>IF(D1027&lt;&gt;"",VLOOKUP(ROW(E1026),Beräkningshjälp!AC$2:AI$1082,COLUMN(Beräkningshjälp!AI$2)-COLUMN(Beräkningshjälp!AC$2)+1,FALSE),"")</f>
        <v/>
      </c>
    </row>
    <row r="1028" spans="1:9" x14ac:dyDescent="0.25">
      <c r="A1028" s="2" t="str">
        <f t="shared" si="32"/>
        <v/>
      </c>
      <c r="B1028" s="136" t="str">
        <f>IF(D1028&lt;&gt;"",'DATA TILL SLU'!$J$3,"")</f>
        <v/>
      </c>
      <c r="C1028" s="146" t="str">
        <f>IF(D1028&lt;&gt;"",'DATA TILL SLU'!$K$3,"")</f>
        <v/>
      </c>
      <c r="D1028" s="2" t="str">
        <f>IF('DATA TILL SLU'!$D$7*1&lt;&gt;"",IF(COUNT(Beräkningshjälp!$AC$3:$AC$1082)&gt;=ROW(D1027),'DATA TILL SLU'!$D$7*1,""),"")</f>
        <v/>
      </c>
      <c r="E1028" s="136" t="str">
        <f>IF(D1028&lt;&gt;"",VLOOKUP(ROW(E1027),Beräkningshjälp!AC$2:AH$1082,COLUMN(Beräkningshjälp!AF$2)-COLUMN(Beräkningshjälp!AC$2)+1,FALSE),"")</f>
        <v/>
      </c>
      <c r="F1028" s="352" t="str">
        <f t="shared" si="33"/>
        <v/>
      </c>
      <c r="G1028" s="2" t="str">
        <f>IF(D1028&lt;&gt;"",IF(VLOOKUP(VLOOKUP(E1028,Beräkningshjälp!O$2:U$60,7,FALSE),Artuppgifter!$I$11:$P$22,8,FALSE)=TRUE,"Medelvikter!!","ALLA"),"")</f>
        <v/>
      </c>
      <c r="H1028" s="2" t="str">
        <f>IF(D1028&lt;&gt;"",VLOOKUP(ROW(H1027),Beräkningshjälp!AC$2:AH$1082,COLUMN(Beräkningshjälp!AH$2)-COLUMN(Beräkningshjälp!AC$2)+1,FALSE),"")</f>
        <v/>
      </c>
      <c r="I1028" s="116" t="str">
        <f>IF(D1028&lt;&gt;"",VLOOKUP(ROW(E1027),Beräkningshjälp!AC$2:AI$1082,COLUMN(Beräkningshjälp!AI$2)-COLUMN(Beräkningshjälp!AC$2)+1,FALSE),"")</f>
        <v/>
      </c>
    </row>
    <row r="1029" spans="1:9" x14ac:dyDescent="0.25">
      <c r="A1029" s="2" t="str">
        <f t="shared" si="32"/>
        <v/>
      </c>
      <c r="B1029" s="136" t="str">
        <f>IF(D1029&lt;&gt;"",'DATA TILL SLU'!$J$3,"")</f>
        <v/>
      </c>
      <c r="C1029" s="146" t="str">
        <f>IF(D1029&lt;&gt;"",'DATA TILL SLU'!$K$3,"")</f>
        <v/>
      </c>
      <c r="D1029" s="2" t="str">
        <f>IF('DATA TILL SLU'!$D$7*1&lt;&gt;"",IF(COUNT(Beräkningshjälp!$AC$3:$AC$1082)&gt;=ROW(D1028),'DATA TILL SLU'!$D$7*1,""),"")</f>
        <v/>
      </c>
      <c r="E1029" s="136" t="str">
        <f>IF(D1029&lt;&gt;"",VLOOKUP(ROW(E1028),Beräkningshjälp!AC$2:AH$1082,COLUMN(Beräkningshjälp!AF$2)-COLUMN(Beräkningshjälp!AC$2)+1,FALSE),"")</f>
        <v/>
      </c>
      <c r="F1029" s="352" t="str">
        <f t="shared" si="33"/>
        <v/>
      </c>
      <c r="G1029" s="2" t="str">
        <f>IF(D1029&lt;&gt;"",IF(VLOOKUP(VLOOKUP(E1029,Beräkningshjälp!O$2:U$60,7,FALSE),Artuppgifter!$I$11:$P$22,8,FALSE)=TRUE,"Medelvikter!!","ALLA"),"")</f>
        <v/>
      </c>
      <c r="H1029" s="2" t="str">
        <f>IF(D1029&lt;&gt;"",VLOOKUP(ROW(H1028),Beräkningshjälp!AC$2:AH$1082,COLUMN(Beräkningshjälp!AH$2)-COLUMN(Beräkningshjälp!AC$2)+1,FALSE),"")</f>
        <v/>
      </c>
      <c r="I1029" s="116" t="str">
        <f>IF(D1029&lt;&gt;"",VLOOKUP(ROW(E1028),Beräkningshjälp!AC$2:AI$1082,COLUMN(Beräkningshjälp!AI$2)-COLUMN(Beräkningshjälp!AC$2)+1,FALSE),"")</f>
        <v/>
      </c>
    </row>
    <row r="1030" spans="1:9" x14ac:dyDescent="0.25">
      <c r="A1030" s="2" t="str">
        <f t="shared" si="32"/>
        <v/>
      </c>
      <c r="B1030" s="136" t="str">
        <f>IF(D1030&lt;&gt;"",'DATA TILL SLU'!$J$3,"")</f>
        <v/>
      </c>
      <c r="C1030" s="146" t="str">
        <f>IF(D1030&lt;&gt;"",'DATA TILL SLU'!$K$3,"")</f>
        <v/>
      </c>
      <c r="D1030" s="2" t="str">
        <f>IF('DATA TILL SLU'!$D$7*1&lt;&gt;"",IF(COUNT(Beräkningshjälp!$AC$3:$AC$1082)&gt;=ROW(D1029),'DATA TILL SLU'!$D$7*1,""),"")</f>
        <v/>
      </c>
      <c r="E1030" s="136" t="str">
        <f>IF(D1030&lt;&gt;"",VLOOKUP(ROW(E1029),Beräkningshjälp!AC$2:AH$1082,COLUMN(Beräkningshjälp!AF$2)-COLUMN(Beräkningshjälp!AC$2)+1,FALSE),"")</f>
        <v/>
      </c>
      <c r="F1030" s="352" t="str">
        <f t="shared" si="33"/>
        <v/>
      </c>
      <c r="G1030" s="2" t="str">
        <f>IF(D1030&lt;&gt;"",IF(VLOOKUP(VLOOKUP(E1030,Beräkningshjälp!O$2:U$60,7,FALSE),Artuppgifter!$I$11:$P$22,8,FALSE)=TRUE,"Medelvikter!!","ALLA"),"")</f>
        <v/>
      </c>
      <c r="H1030" s="2" t="str">
        <f>IF(D1030&lt;&gt;"",VLOOKUP(ROW(H1029),Beräkningshjälp!AC$2:AH$1082,COLUMN(Beräkningshjälp!AH$2)-COLUMN(Beräkningshjälp!AC$2)+1,FALSE),"")</f>
        <v/>
      </c>
      <c r="I1030" s="116" t="str">
        <f>IF(D1030&lt;&gt;"",VLOOKUP(ROW(E1029),Beräkningshjälp!AC$2:AI$1082,COLUMN(Beräkningshjälp!AI$2)-COLUMN(Beräkningshjälp!AC$2)+1,FALSE),"")</f>
        <v/>
      </c>
    </row>
    <row r="1031" spans="1:9" x14ac:dyDescent="0.25">
      <c r="A1031" s="2" t="str">
        <f t="shared" si="32"/>
        <v/>
      </c>
      <c r="B1031" s="136" t="str">
        <f>IF(D1031&lt;&gt;"",'DATA TILL SLU'!$J$3,"")</f>
        <v/>
      </c>
      <c r="C1031" s="146" t="str">
        <f>IF(D1031&lt;&gt;"",'DATA TILL SLU'!$K$3,"")</f>
        <v/>
      </c>
      <c r="D1031" s="2" t="str">
        <f>IF('DATA TILL SLU'!$D$7*1&lt;&gt;"",IF(COUNT(Beräkningshjälp!$AC$3:$AC$1082)&gt;=ROW(D1030),'DATA TILL SLU'!$D$7*1,""),"")</f>
        <v/>
      </c>
      <c r="E1031" s="136" t="str">
        <f>IF(D1031&lt;&gt;"",VLOOKUP(ROW(E1030),Beräkningshjälp!AC$2:AH$1082,COLUMN(Beräkningshjälp!AF$2)-COLUMN(Beräkningshjälp!AC$2)+1,FALSE),"")</f>
        <v/>
      </c>
      <c r="F1031" s="352" t="str">
        <f t="shared" si="33"/>
        <v/>
      </c>
      <c r="G1031" s="2" t="str">
        <f>IF(D1031&lt;&gt;"",IF(VLOOKUP(VLOOKUP(E1031,Beräkningshjälp!O$2:U$60,7,FALSE),Artuppgifter!$I$11:$P$22,8,FALSE)=TRUE,"Medelvikter!!","ALLA"),"")</f>
        <v/>
      </c>
      <c r="H1031" s="2" t="str">
        <f>IF(D1031&lt;&gt;"",VLOOKUP(ROW(H1030),Beräkningshjälp!AC$2:AH$1082,COLUMN(Beräkningshjälp!AH$2)-COLUMN(Beräkningshjälp!AC$2)+1,FALSE),"")</f>
        <v/>
      </c>
      <c r="I1031" s="116" t="str">
        <f>IF(D1031&lt;&gt;"",VLOOKUP(ROW(E1030),Beräkningshjälp!AC$2:AI$1082,COLUMN(Beräkningshjälp!AI$2)-COLUMN(Beräkningshjälp!AC$2)+1,FALSE),"")</f>
        <v/>
      </c>
    </row>
    <row r="1032" spans="1:9" x14ac:dyDescent="0.25">
      <c r="A1032" s="2" t="str">
        <f t="shared" si="32"/>
        <v/>
      </c>
      <c r="B1032" s="136" t="str">
        <f>IF(D1032&lt;&gt;"",'DATA TILL SLU'!$J$3,"")</f>
        <v/>
      </c>
      <c r="C1032" s="146" t="str">
        <f>IF(D1032&lt;&gt;"",'DATA TILL SLU'!$K$3,"")</f>
        <v/>
      </c>
      <c r="D1032" s="2" t="str">
        <f>IF('DATA TILL SLU'!$D$7*1&lt;&gt;"",IF(COUNT(Beräkningshjälp!$AC$3:$AC$1082)&gt;=ROW(D1031),'DATA TILL SLU'!$D$7*1,""),"")</f>
        <v/>
      </c>
      <c r="E1032" s="136" t="str">
        <f>IF(D1032&lt;&gt;"",VLOOKUP(ROW(E1031),Beräkningshjälp!AC$2:AH$1082,COLUMN(Beräkningshjälp!AF$2)-COLUMN(Beräkningshjälp!AC$2)+1,FALSE),"")</f>
        <v/>
      </c>
      <c r="F1032" s="352" t="str">
        <f t="shared" si="33"/>
        <v/>
      </c>
      <c r="G1032" s="2" t="str">
        <f>IF(D1032&lt;&gt;"",IF(VLOOKUP(VLOOKUP(E1032,Beräkningshjälp!O$2:U$60,7,FALSE),Artuppgifter!$I$11:$P$22,8,FALSE)=TRUE,"Medelvikter!!","ALLA"),"")</f>
        <v/>
      </c>
      <c r="H1032" s="2" t="str">
        <f>IF(D1032&lt;&gt;"",VLOOKUP(ROW(H1031),Beräkningshjälp!AC$2:AH$1082,COLUMN(Beräkningshjälp!AH$2)-COLUMN(Beräkningshjälp!AC$2)+1,FALSE),"")</f>
        <v/>
      </c>
      <c r="I1032" s="116" t="str">
        <f>IF(D1032&lt;&gt;"",VLOOKUP(ROW(E1031),Beräkningshjälp!AC$2:AI$1082,COLUMN(Beräkningshjälp!AI$2)-COLUMN(Beräkningshjälp!AC$2)+1,FALSE),"")</f>
        <v/>
      </c>
    </row>
    <row r="1033" spans="1:9" x14ac:dyDescent="0.25">
      <c r="A1033" s="2" t="str">
        <f t="shared" si="32"/>
        <v/>
      </c>
      <c r="B1033" s="136" t="str">
        <f>IF(D1033&lt;&gt;"",'DATA TILL SLU'!$J$3,"")</f>
        <v/>
      </c>
      <c r="C1033" s="146" t="str">
        <f>IF(D1033&lt;&gt;"",'DATA TILL SLU'!$K$3,"")</f>
        <v/>
      </c>
      <c r="D1033" s="2" t="str">
        <f>IF('DATA TILL SLU'!$D$7*1&lt;&gt;"",IF(COUNT(Beräkningshjälp!$AC$3:$AC$1082)&gt;=ROW(D1032),'DATA TILL SLU'!$D$7*1,""),"")</f>
        <v/>
      </c>
      <c r="E1033" s="136" t="str">
        <f>IF(D1033&lt;&gt;"",VLOOKUP(ROW(E1032),Beräkningshjälp!AC$2:AH$1082,COLUMN(Beräkningshjälp!AF$2)-COLUMN(Beräkningshjälp!AC$2)+1,FALSE),"")</f>
        <v/>
      </c>
      <c r="F1033" s="352" t="str">
        <f t="shared" si="33"/>
        <v/>
      </c>
      <c r="G1033" s="2" t="str">
        <f>IF(D1033&lt;&gt;"",IF(VLOOKUP(VLOOKUP(E1033,Beräkningshjälp!O$2:U$60,7,FALSE),Artuppgifter!$I$11:$P$22,8,FALSE)=TRUE,"Medelvikter!!","ALLA"),"")</f>
        <v/>
      </c>
      <c r="H1033" s="2" t="str">
        <f>IF(D1033&lt;&gt;"",VLOOKUP(ROW(H1032),Beräkningshjälp!AC$2:AH$1082,COLUMN(Beräkningshjälp!AH$2)-COLUMN(Beräkningshjälp!AC$2)+1,FALSE),"")</f>
        <v/>
      </c>
      <c r="I1033" s="116" t="str">
        <f>IF(D1033&lt;&gt;"",VLOOKUP(ROW(E1032),Beräkningshjälp!AC$2:AI$1082,COLUMN(Beräkningshjälp!AI$2)-COLUMN(Beräkningshjälp!AC$2)+1,FALSE),"")</f>
        <v/>
      </c>
    </row>
    <row r="1034" spans="1:9" x14ac:dyDescent="0.25">
      <c r="A1034" s="2" t="str">
        <f t="shared" si="32"/>
        <v/>
      </c>
      <c r="B1034" s="136" t="str">
        <f>IF(D1034&lt;&gt;"",'DATA TILL SLU'!$J$3,"")</f>
        <v/>
      </c>
      <c r="C1034" s="146" t="str">
        <f>IF(D1034&lt;&gt;"",'DATA TILL SLU'!$K$3,"")</f>
        <v/>
      </c>
      <c r="D1034" s="2" t="str">
        <f>IF('DATA TILL SLU'!$D$7*1&lt;&gt;"",IF(COUNT(Beräkningshjälp!$AC$3:$AC$1082)&gt;=ROW(D1033),'DATA TILL SLU'!$D$7*1,""),"")</f>
        <v/>
      </c>
      <c r="E1034" s="136" t="str">
        <f>IF(D1034&lt;&gt;"",VLOOKUP(ROW(E1033),Beräkningshjälp!AC$2:AH$1082,COLUMN(Beräkningshjälp!AF$2)-COLUMN(Beräkningshjälp!AC$2)+1,FALSE),"")</f>
        <v/>
      </c>
      <c r="F1034" s="352" t="str">
        <f t="shared" si="33"/>
        <v/>
      </c>
      <c r="G1034" s="2" t="str">
        <f>IF(D1034&lt;&gt;"",IF(VLOOKUP(VLOOKUP(E1034,Beräkningshjälp!O$2:U$60,7,FALSE),Artuppgifter!$I$11:$P$22,8,FALSE)=TRUE,"Medelvikter!!","ALLA"),"")</f>
        <v/>
      </c>
      <c r="H1034" s="2" t="str">
        <f>IF(D1034&lt;&gt;"",VLOOKUP(ROW(H1033),Beräkningshjälp!AC$2:AH$1082,COLUMN(Beräkningshjälp!AH$2)-COLUMN(Beräkningshjälp!AC$2)+1,FALSE),"")</f>
        <v/>
      </c>
      <c r="I1034" s="116" t="str">
        <f>IF(D1034&lt;&gt;"",VLOOKUP(ROW(E1033),Beräkningshjälp!AC$2:AI$1082,COLUMN(Beräkningshjälp!AI$2)-COLUMN(Beräkningshjälp!AC$2)+1,FALSE),"")</f>
        <v/>
      </c>
    </row>
    <row r="1035" spans="1:9" x14ac:dyDescent="0.25">
      <c r="A1035" s="2" t="str">
        <f t="shared" si="32"/>
        <v/>
      </c>
      <c r="B1035" s="136" t="str">
        <f>IF(D1035&lt;&gt;"",'DATA TILL SLU'!$J$3,"")</f>
        <v/>
      </c>
      <c r="C1035" s="146" t="str">
        <f>IF(D1035&lt;&gt;"",'DATA TILL SLU'!$K$3,"")</f>
        <v/>
      </c>
      <c r="D1035" s="2" t="str">
        <f>IF('DATA TILL SLU'!$D$7*1&lt;&gt;"",IF(COUNT(Beräkningshjälp!$AC$3:$AC$1082)&gt;=ROW(D1034),'DATA TILL SLU'!$D$7*1,""),"")</f>
        <v/>
      </c>
      <c r="E1035" s="136" t="str">
        <f>IF(D1035&lt;&gt;"",VLOOKUP(ROW(E1034),Beräkningshjälp!AC$2:AH$1082,COLUMN(Beräkningshjälp!AF$2)-COLUMN(Beräkningshjälp!AC$2)+1,FALSE),"")</f>
        <v/>
      </c>
      <c r="F1035" s="352" t="str">
        <f t="shared" si="33"/>
        <v/>
      </c>
      <c r="G1035" s="2" t="str">
        <f>IF(D1035&lt;&gt;"",IF(VLOOKUP(VLOOKUP(E1035,Beräkningshjälp!O$2:U$60,7,FALSE),Artuppgifter!$I$11:$P$22,8,FALSE)=TRUE,"Medelvikter!!","ALLA"),"")</f>
        <v/>
      </c>
      <c r="H1035" s="2" t="str">
        <f>IF(D1035&lt;&gt;"",VLOOKUP(ROW(H1034),Beräkningshjälp!AC$2:AH$1082,COLUMN(Beräkningshjälp!AH$2)-COLUMN(Beräkningshjälp!AC$2)+1,FALSE),"")</f>
        <v/>
      </c>
      <c r="I1035" s="116" t="str">
        <f>IF(D1035&lt;&gt;"",VLOOKUP(ROW(E1034),Beräkningshjälp!AC$2:AI$1082,COLUMN(Beräkningshjälp!AI$2)-COLUMN(Beräkningshjälp!AC$2)+1,FALSE),"")</f>
        <v/>
      </c>
    </row>
    <row r="1036" spans="1:9" x14ac:dyDescent="0.25">
      <c r="A1036" s="2" t="str">
        <f t="shared" si="32"/>
        <v/>
      </c>
      <c r="B1036" s="136" t="str">
        <f>IF(D1036&lt;&gt;"",'DATA TILL SLU'!$J$3,"")</f>
        <v/>
      </c>
      <c r="C1036" s="146" t="str">
        <f>IF(D1036&lt;&gt;"",'DATA TILL SLU'!$K$3,"")</f>
        <v/>
      </c>
      <c r="D1036" s="2" t="str">
        <f>IF('DATA TILL SLU'!$D$7*1&lt;&gt;"",IF(COUNT(Beräkningshjälp!$AC$3:$AC$1082)&gt;=ROW(D1035),'DATA TILL SLU'!$D$7*1,""),"")</f>
        <v/>
      </c>
      <c r="E1036" s="136" t="str">
        <f>IF(D1036&lt;&gt;"",VLOOKUP(ROW(E1035),Beräkningshjälp!AC$2:AH$1082,COLUMN(Beräkningshjälp!AF$2)-COLUMN(Beräkningshjälp!AC$2)+1,FALSE),"")</f>
        <v/>
      </c>
      <c r="F1036" s="352" t="str">
        <f t="shared" si="33"/>
        <v/>
      </c>
      <c r="G1036" s="2" t="str">
        <f>IF(D1036&lt;&gt;"",IF(VLOOKUP(VLOOKUP(E1036,Beräkningshjälp!O$2:U$60,7,FALSE),Artuppgifter!$I$11:$P$22,8,FALSE)=TRUE,"Medelvikter!!","ALLA"),"")</f>
        <v/>
      </c>
      <c r="H1036" s="2" t="str">
        <f>IF(D1036&lt;&gt;"",VLOOKUP(ROW(H1035),Beräkningshjälp!AC$2:AH$1082,COLUMN(Beräkningshjälp!AH$2)-COLUMN(Beräkningshjälp!AC$2)+1,FALSE),"")</f>
        <v/>
      </c>
      <c r="I1036" s="116" t="str">
        <f>IF(D1036&lt;&gt;"",VLOOKUP(ROW(E1035),Beräkningshjälp!AC$2:AI$1082,COLUMN(Beräkningshjälp!AI$2)-COLUMN(Beräkningshjälp!AC$2)+1,FALSE),"")</f>
        <v/>
      </c>
    </row>
    <row r="1037" spans="1:9" x14ac:dyDescent="0.25">
      <c r="A1037" s="2" t="str">
        <f t="shared" si="32"/>
        <v/>
      </c>
      <c r="B1037" s="136" t="str">
        <f>IF(D1037&lt;&gt;"",'DATA TILL SLU'!$J$3,"")</f>
        <v/>
      </c>
      <c r="C1037" s="146" t="str">
        <f>IF(D1037&lt;&gt;"",'DATA TILL SLU'!$K$3,"")</f>
        <v/>
      </c>
      <c r="D1037" s="2" t="str">
        <f>IF('DATA TILL SLU'!$D$7*1&lt;&gt;"",IF(COUNT(Beräkningshjälp!$AC$3:$AC$1082)&gt;=ROW(D1036),'DATA TILL SLU'!$D$7*1,""),"")</f>
        <v/>
      </c>
      <c r="E1037" s="136" t="str">
        <f>IF(D1037&lt;&gt;"",VLOOKUP(ROW(E1036),Beräkningshjälp!AC$2:AH$1082,COLUMN(Beräkningshjälp!AF$2)-COLUMN(Beräkningshjälp!AC$2)+1,FALSE),"")</f>
        <v/>
      </c>
      <c r="F1037" s="352" t="str">
        <f t="shared" si="33"/>
        <v/>
      </c>
      <c r="G1037" s="2" t="str">
        <f>IF(D1037&lt;&gt;"",IF(VLOOKUP(VLOOKUP(E1037,Beräkningshjälp!O$2:U$60,7,FALSE),Artuppgifter!$I$11:$P$22,8,FALSE)=TRUE,"Medelvikter!!","ALLA"),"")</f>
        <v/>
      </c>
      <c r="H1037" s="2" t="str">
        <f>IF(D1037&lt;&gt;"",VLOOKUP(ROW(H1036),Beräkningshjälp!AC$2:AH$1082,COLUMN(Beräkningshjälp!AH$2)-COLUMN(Beräkningshjälp!AC$2)+1,FALSE),"")</f>
        <v/>
      </c>
      <c r="I1037" s="116" t="str">
        <f>IF(D1037&lt;&gt;"",VLOOKUP(ROW(E1036),Beräkningshjälp!AC$2:AI$1082,COLUMN(Beräkningshjälp!AI$2)-COLUMN(Beräkningshjälp!AC$2)+1,FALSE),"")</f>
        <v/>
      </c>
    </row>
    <row r="1038" spans="1:9" x14ac:dyDescent="0.25">
      <c r="A1038" s="2" t="str">
        <f t="shared" si="32"/>
        <v/>
      </c>
      <c r="B1038" s="136" t="str">
        <f>IF(D1038&lt;&gt;"",'DATA TILL SLU'!$J$3,"")</f>
        <v/>
      </c>
      <c r="C1038" s="146" t="str">
        <f>IF(D1038&lt;&gt;"",'DATA TILL SLU'!$K$3,"")</f>
        <v/>
      </c>
      <c r="D1038" s="2" t="str">
        <f>IF('DATA TILL SLU'!$D$7*1&lt;&gt;"",IF(COUNT(Beräkningshjälp!$AC$3:$AC$1082)&gt;=ROW(D1037),'DATA TILL SLU'!$D$7*1,""),"")</f>
        <v/>
      </c>
      <c r="E1038" s="136" t="str">
        <f>IF(D1038&lt;&gt;"",VLOOKUP(ROW(E1037),Beräkningshjälp!AC$2:AH$1082,COLUMN(Beräkningshjälp!AF$2)-COLUMN(Beräkningshjälp!AC$2)+1,FALSE),"")</f>
        <v/>
      </c>
      <c r="F1038" s="352" t="str">
        <f t="shared" si="33"/>
        <v/>
      </c>
      <c r="G1038" s="2" t="str">
        <f>IF(D1038&lt;&gt;"",IF(VLOOKUP(VLOOKUP(E1038,Beräkningshjälp!O$2:U$60,7,FALSE),Artuppgifter!$I$11:$P$22,8,FALSE)=TRUE,"Medelvikter!!","ALLA"),"")</f>
        <v/>
      </c>
      <c r="H1038" s="2" t="str">
        <f>IF(D1038&lt;&gt;"",VLOOKUP(ROW(H1037),Beräkningshjälp!AC$2:AH$1082,COLUMN(Beräkningshjälp!AH$2)-COLUMN(Beräkningshjälp!AC$2)+1,FALSE),"")</f>
        <v/>
      </c>
      <c r="I1038" s="116" t="str">
        <f>IF(D1038&lt;&gt;"",VLOOKUP(ROW(E1037),Beräkningshjälp!AC$2:AI$1082,COLUMN(Beräkningshjälp!AI$2)-COLUMN(Beräkningshjälp!AC$2)+1,FALSE),"")</f>
        <v/>
      </c>
    </row>
    <row r="1039" spans="1:9" x14ac:dyDescent="0.25">
      <c r="A1039" s="2" t="str">
        <f t="shared" si="32"/>
        <v/>
      </c>
      <c r="B1039" s="136" t="str">
        <f>IF(D1039&lt;&gt;"",'DATA TILL SLU'!$J$3,"")</f>
        <v/>
      </c>
      <c r="C1039" s="146" t="str">
        <f>IF(D1039&lt;&gt;"",'DATA TILL SLU'!$K$3,"")</f>
        <v/>
      </c>
      <c r="D1039" s="2" t="str">
        <f>IF('DATA TILL SLU'!$D$7*1&lt;&gt;"",IF(COUNT(Beräkningshjälp!$AC$3:$AC$1082)&gt;=ROW(D1038),'DATA TILL SLU'!$D$7*1,""),"")</f>
        <v/>
      </c>
      <c r="E1039" s="136" t="str">
        <f>IF(D1039&lt;&gt;"",VLOOKUP(ROW(E1038),Beräkningshjälp!AC$2:AH$1082,COLUMN(Beräkningshjälp!AF$2)-COLUMN(Beräkningshjälp!AC$2)+1,FALSE),"")</f>
        <v/>
      </c>
      <c r="F1039" s="352" t="str">
        <f t="shared" si="33"/>
        <v/>
      </c>
      <c r="G1039" s="2" t="str">
        <f>IF(D1039&lt;&gt;"",IF(VLOOKUP(VLOOKUP(E1039,Beräkningshjälp!O$2:U$60,7,FALSE),Artuppgifter!$I$11:$P$22,8,FALSE)=TRUE,"Medelvikter!!","ALLA"),"")</f>
        <v/>
      </c>
      <c r="H1039" s="2" t="str">
        <f>IF(D1039&lt;&gt;"",VLOOKUP(ROW(H1038),Beräkningshjälp!AC$2:AH$1082,COLUMN(Beräkningshjälp!AH$2)-COLUMN(Beräkningshjälp!AC$2)+1,FALSE),"")</f>
        <v/>
      </c>
      <c r="I1039" s="116" t="str">
        <f>IF(D1039&lt;&gt;"",VLOOKUP(ROW(E1038),Beräkningshjälp!AC$2:AI$1082,COLUMN(Beräkningshjälp!AI$2)-COLUMN(Beräkningshjälp!AC$2)+1,FALSE),"")</f>
        <v/>
      </c>
    </row>
    <row r="1040" spans="1:9" x14ac:dyDescent="0.25">
      <c r="A1040" s="2" t="str">
        <f t="shared" si="32"/>
        <v/>
      </c>
      <c r="B1040" s="136" t="str">
        <f>IF(D1040&lt;&gt;"",'DATA TILL SLU'!$J$3,"")</f>
        <v/>
      </c>
      <c r="C1040" s="146" t="str">
        <f>IF(D1040&lt;&gt;"",'DATA TILL SLU'!$K$3,"")</f>
        <v/>
      </c>
      <c r="D1040" s="2" t="str">
        <f>IF('DATA TILL SLU'!$D$7*1&lt;&gt;"",IF(COUNT(Beräkningshjälp!$AC$3:$AC$1082)&gt;=ROW(D1039),'DATA TILL SLU'!$D$7*1,""),"")</f>
        <v/>
      </c>
      <c r="E1040" s="136" t="str">
        <f>IF(D1040&lt;&gt;"",VLOOKUP(ROW(E1039),Beräkningshjälp!AC$2:AH$1082,COLUMN(Beräkningshjälp!AF$2)-COLUMN(Beräkningshjälp!AC$2)+1,FALSE),"")</f>
        <v/>
      </c>
      <c r="F1040" s="352" t="str">
        <f t="shared" si="33"/>
        <v/>
      </c>
      <c r="G1040" s="2" t="str">
        <f>IF(D1040&lt;&gt;"",IF(VLOOKUP(VLOOKUP(E1040,Beräkningshjälp!O$2:U$60,7,FALSE),Artuppgifter!$I$11:$P$22,8,FALSE)=TRUE,"Medelvikter!!","ALLA"),"")</f>
        <v/>
      </c>
      <c r="H1040" s="2" t="str">
        <f>IF(D1040&lt;&gt;"",VLOOKUP(ROW(H1039),Beräkningshjälp!AC$2:AH$1082,COLUMN(Beräkningshjälp!AH$2)-COLUMN(Beräkningshjälp!AC$2)+1,FALSE),"")</f>
        <v/>
      </c>
      <c r="I1040" s="116" t="str">
        <f>IF(D1040&lt;&gt;"",VLOOKUP(ROW(E1039),Beräkningshjälp!AC$2:AI$1082,COLUMN(Beräkningshjälp!AI$2)-COLUMN(Beräkningshjälp!AC$2)+1,FALSE),"")</f>
        <v/>
      </c>
    </row>
    <row r="1041" spans="1:9" x14ac:dyDescent="0.25">
      <c r="A1041" s="2" t="str">
        <f t="shared" si="32"/>
        <v/>
      </c>
      <c r="B1041" s="136" t="str">
        <f>IF(D1041&lt;&gt;"",'DATA TILL SLU'!$J$3,"")</f>
        <v/>
      </c>
      <c r="C1041" s="146" t="str">
        <f>IF(D1041&lt;&gt;"",'DATA TILL SLU'!$K$3,"")</f>
        <v/>
      </c>
      <c r="D1041" s="2" t="str">
        <f>IF('DATA TILL SLU'!$D$7*1&lt;&gt;"",IF(COUNT(Beräkningshjälp!$AC$3:$AC$1082)&gt;=ROW(D1040),'DATA TILL SLU'!$D$7*1,""),"")</f>
        <v/>
      </c>
      <c r="E1041" s="136" t="str">
        <f>IF(D1041&lt;&gt;"",VLOOKUP(ROW(E1040),Beräkningshjälp!AC$2:AH$1082,COLUMN(Beräkningshjälp!AF$2)-COLUMN(Beräkningshjälp!AC$2)+1,FALSE),"")</f>
        <v/>
      </c>
      <c r="F1041" s="352" t="str">
        <f t="shared" si="33"/>
        <v/>
      </c>
      <c r="G1041" s="2" t="str">
        <f>IF(D1041&lt;&gt;"",IF(VLOOKUP(VLOOKUP(E1041,Beräkningshjälp!O$2:U$60,7,FALSE),Artuppgifter!$I$11:$P$22,8,FALSE)=TRUE,"Medelvikter!!","ALLA"),"")</f>
        <v/>
      </c>
      <c r="H1041" s="2" t="str">
        <f>IF(D1041&lt;&gt;"",VLOOKUP(ROW(H1040),Beräkningshjälp!AC$2:AH$1082,COLUMN(Beräkningshjälp!AH$2)-COLUMN(Beräkningshjälp!AC$2)+1,FALSE),"")</f>
        <v/>
      </c>
      <c r="I1041" s="116" t="str">
        <f>IF(D1041&lt;&gt;"",VLOOKUP(ROW(E1040),Beräkningshjälp!AC$2:AI$1082,COLUMN(Beräkningshjälp!AI$2)-COLUMN(Beräkningshjälp!AC$2)+1,FALSE),"")</f>
        <v/>
      </c>
    </row>
    <row r="1042" spans="1:9" x14ac:dyDescent="0.25">
      <c r="A1042" s="2" t="str">
        <f t="shared" si="32"/>
        <v/>
      </c>
      <c r="B1042" s="136" t="str">
        <f>IF(D1042&lt;&gt;"",'DATA TILL SLU'!$J$3,"")</f>
        <v/>
      </c>
      <c r="C1042" s="146" t="str">
        <f>IF(D1042&lt;&gt;"",'DATA TILL SLU'!$K$3,"")</f>
        <v/>
      </c>
      <c r="D1042" s="2" t="str">
        <f>IF('DATA TILL SLU'!$D$7*1&lt;&gt;"",IF(COUNT(Beräkningshjälp!$AC$3:$AC$1082)&gt;=ROW(D1041),'DATA TILL SLU'!$D$7*1,""),"")</f>
        <v/>
      </c>
      <c r="E1042" s="136" t="str">
        <f>IF(D1042&lt;&gt;"",VLOOKUP(ROW(E1041),Beräkningshjälp!AC$2:AH$1082,COLUMN(Beräkningshjälp!AF$2)-COLUMN(Beräkningshjälp!AC$2)+1,FALSE),"")</f>
        <v/>
      </c>
      <c r="F1042" s="352" t="str">
        <f t="shared" si="33"/>
        <v/>
      </c>
      <c r="G1042" s="2" t="str">
        <f>IF(D1042&lt;&gt;"",IF(VLOOKUP(VLOOKUP(E1042,Beräkningshjälp!O$2:U$60,7,FALSE),Artuppgifter!$I$11:$P$22,8,FALSE)=TRUE,"Medelvikter!!","ALLA"),"")</f>
        <v/>
      </c>
      <c r="H1042" s="2" t="str">
        <f>IF(D1042&lt;&gt;"",VLOOKUP(ROW(H1041),Beräkningshjälp!AC$2:AH$1082,COLUMN(Beräkningshjälp!AH$2)-COLUMN(Beräkningshjälp!AC$2)+1,FALSE),"")</f>
        <v/>
      </c>
      <c r="I1042" s="116" t="str">
        <f>IF(D1042&lt;&gt;"",VLOOKUP(ROW(E1041),Beräkningshjälp!AC$2:AI$1082,COLUMN(Beräkningshjälp!AI$2)-COLUMN(Beräkningshjälp!AC$2)+1,FALSE),"")</f>
        <v/>
      </c>
    </row>
    <row r="1043" spans="1:9" x14ac:dyDescent="0.25">
      <c r="A1043" s="2" t="str">
        <f t="shared" si="32"/>
        <v/>
      </c>
      <c r="B1043" s="136" t="str">
        <f>IF(D1043&lt;&gt;"",'DATA TILL SLU'!$J$3,"")</f>
        <v/>
      </c>
      <c r="C1043" s="146" t="str">
        <f>IF(D1043&lt;&gt;"",'DATA TILL SLU'!$K$3,"")</f>
        <v/>
      </c>
      <c r="D1043" s="2" t="str">
        <f>IF('DATA TILL SLU'!$D$7*1&lt;&gt;"",IF(COUNT(Beräkningshjälp!$AC$3:$AC$1082)&gt;=ROW(D1042),'DATA TILL SLU'!$D$7*1,""),"")</f>
        <v/>
      </c>
      <c r="E1043" s="136" t="str">
        <f>IF(D1043&lt;&gt;"",VLOOKUP(ROW(E1042),Beräkningshjälp!AC$2:AH$1082,COLUMN(Beräkningshjälp!AF$2)-COLUMN(Beräkningshjälp!AC$2)+1,FALSE),"")</f>
        <v/>
      </c>
      <c r="F1043" s="352" t="str">
        <f t="shared" si="33"/>
        <v/>
      </c>
      <c r="G1043" s="2" t="str">
        <f>IF(D1043&lt;&gt;"",IF(VLOOKUP(VLOOKUP(E1043,Beräkningshjälp!O$2:U$60,7,FALSE),Artuppgifter!$I$11:$P$22,8,FALSE)=TRUE,"Medelvikter!!","ALLA"),"")</f>
        <v/>
      </c>
      <c r="H1043" s="2" t="str">
        <f>IF(D1043&lt;&gt;"",VLOOKUP(ROW(H1042),Beräkningshjälp!AC$2:AH$1082,COLUMN(Beräkningshjälp!AH$2)-COLUMN(Beräkningshjälp!AC$2)+1,FALSE),"")</f>
        <v/>
      </c>
      <c r="I1043" s="116" t="str">
        <f>IF(D1043&lt;&gt;"",VLOOKUP(ROW(E1042),Beräkningshjälp!AC$2:AI$1082,COLUMN(Beräkningshjälp!AI$2)-COLUMN(Beräkningshjälp!AC$2)+1,FALSE),"")</f>
        <v/>
      </c>
    </row>
    <row r="1044" spans="1:9" x14ac:dyDescent="0.25">
      <c r="A1044" s="2" t="str">
        <f t="shared" si="32"/>
        <v/>
      </c>
      <c r="B1044" s="136" t="str">
        <f>IF(D1044&lt;&gt;"",'DATA TILL SLU'!$J$3,"")</f>
        <v/>
      </c>
      <c r="C1044" s="146" t="str">
        <f>IF(D1044&lt;&gt;"",'DATA TILL SLU'!$K$3,"")</f>
        <v/>
      </c>
      <c r="D1044" s="2" t="str">
        <f>IF('DATA TILL SLU'!$D$7*1&lt;&gt;"",IF(COUNT(Beräkningshjälp!$AC$3:$AC$1082)&gt;=ROW(D1043),'DATA TILL SLU'!$D$7*1,""),"")</f>
        <v/>
      </c>
      <c r="E1044" s="136" t="str">
        <f>IF(D1044&lt;&gt;"",VLOOKUP(ROW(E1043),Beräkningshjälp!AC$2:AH$1082,COLUMN(Beräkningshjälp!AF$2)-COLUMN(Beräkningshjälp!AC$2)+1,FALSE),"")</f>
        <v/>
      </c>
      <c r="F1044" s="352" t="str">
        <f t="shared" si="33"/>
        <v/>
      </c>
      <c r="G1044" s="2" t="str">
        <f>IF(D1044&lt;&gt;"",IF(VLOOKUP(VLOOKUP(E1044,Beräkningshjälp!O$2:U$60,7,FALSE),Artuppgifter!$I$11:$P$22,8,FALSE)=TRUE,"Medelvikter!!","ALLA"),"")</f>
        <v/>
      </c>
      <c r="H1044" s="2" t="str">
        <f>IF(D1044&lt;&gt;"",VLOOKUP(ROW(H1043),Beräkningshjälp!AC$2:AH$1082,COLUMN(Beräkningshjälp!AH$2)-COLUMN(Beräkningshjälp!AC$2)+1,FALSE),"")</f>
        <v/>
      </c>
      <c r="I1044" s="116" t="str">
        <f>IF(D1044&lt;&gt;"",VLOOKUP(ROW(E1043),Beräkningshjälp!AC$2:AI$1082,COLUMN(Beräkningshjälp!AI$2)-COLUMN(Beräkningshjälp!AC$2)+1,FALSE),"")</f>
        <v/>
      </c>
    </row>
    <row r="1045" spans="1:9" x14ac:dyDescent="0.25">
      <c r="A1045" s="2" t="str">
        <f t="shared" si="32"/>
        <v/>
      </c>
      <c r="B1045" s="136" t="str">
        <f>IF(D1045&lt;&gt;"",'DATA TILL SLU'!$J$3,"")</f>
        <v/>
      </c>
      <c r="C1045" s="146" t="str">
        <f>IF(D1045&lt;&gt;"",'DATA TILL SLU'!$K$3,"")</f>
        <v/>
      </c>
      <c r="D1045" s="2" t="str">
        <f>IF('DATA TILL SLU'!$D$7*1&lt;&gt;"",IF(COUNT(Beräkningshjälp!$AC$3:$AC$1082)&gt;=ROW(D1044),'DATA TILL SLU'!$D$7*1,""),"")</f>
        <v/>
      </c>
      <c r="E1045" s="136" t="str">
        <f>IF(D1045&lt;&gt;"",VLOOKUP(ROW(E1044),Beräkningshjälp!AC$2:AH$1082,COLUMN(Beräkningshjälp!AF$2)-COLUMN(Beräkningshjälp!AC$2)+1,FALSE),"")</f>
        <v/>
      </c>
      <c r="F1045" s="352" t="str">
        <f t="shared" si="33"/>
        <v/>
      </c>
      <c r="G1045" s="2" t="str">
        <f>IF(D1045&lt;&gt;"",IF(VLOOKUP(VLOOKUP(E1045,Beräkningshjälp!O$2:U$60,7,FALSE),Artuppgifter!$I$11:$P$22,8,FALSE)=TRUE,"Medelvikter!!","ALLA"),"")</f>
        <v/>
      </c>
      <c r="H1045" s="2" t="str">
        <f>IF(D1045&lt;&gt;"",VLOOKUP(ROW(H1044),Beräkningshjälp!AC$2:AH$1082,COLUMN(Beräkningshjälp!AH$2)-COLUMN(Beräkningshjälp!AC$2)+1,FALSE),"")</f>
        <v/>
      </c>
      <c r="I1045" s="116" t="str">
        <f>IF(D1045&lt;&gt;"",VLOOKUP(ROW(E1044),Beräkningshjälp!AC$2:AI$1082,COLUMN(Beräkningshjälp!AI$2)-COLUMN(Beräkningshjälp!AC$2)+1,FALSE),"")</f>
        <v/>
      </c>
    </row>
    <row r="1046" spans="1:9" x14ac:dyDescent="0.25">
      <c r="A1046" s="2" t="str">
        <f t="shared" si="32"/>
        <v/>
      </c>
      <c r="B1046" s="136" t="str">
        <f>IF(D1046&lt;&gt;"",'DATA TILL SLU'!$J$3,"")</f>
        <v/>
      </c>
      <c r="C1046" s="146" t="str">
        <f>IF(D1046&lt;&gt;"",'DATA TILL SLU'!$K$3,"")</f>
        <v/>
      </c>
      <c r="D1046" s="2" t="str">
        <f>IF('DATA TILL SLU'!$D$7*1&lt;&gt;"",IF(COUNT(Beräkningshjälp!$AC$3:$AC$1082)&gt;=ROW(D1045),'DATA TILL SLU'!$D$7*1,""),"")</f>
        <v/>
      </c>
      <c r="E1046" s="136" t="str">
        <f>IF(D1046&lt;&gt;"",VLOOKUP(ROW(E1045),Beräkningshjälp!AC$2:AH$1082,COLUMN(Beräkningshjälp!AF$2)-COLUMN(Beräkningshjälp!AC$2)+1,FALSE),"")</f>
        <v/>
      </c>
      <c r="F1046" s="352" t="str">
        <f t="shared" si="33"/>
        <v/>
      </c>
      <c r="G1046" s="2" t="str">
        <f>IF(D1046&lt;&gt;"",IF(VLOOKUP(VLOOKUP(E1046,Beräkningshjälp!O$2:U$60,7,FALSE),Artuppgifter!$I$11:$P$22,8,FALSE)=TRUE,"Medelvikter!!","ALLA"),"")</f>
        <v/>
      </c>
      <c r="H1046" s="2" t="str">
        <f>IF(D1046&lt;&gt;"",VLOOKUP(ROW(H1045),Beräkningshjälp!AC$2:AH$1082,COLUMN(Beräkningshjälp!AH$2)-COLUMN(Beräkningshjälp!AC$2)+1,FALSE),"")</f>
        <v/>
      </c>
      <c r="I1046" s="116" t="str">
        <f>IF(D1046&lt;&gt;"",VLOOKUP(ROW(E1045),Beräkningshjälp!AC$2:AI$1082,COLUMN(Beräkningshjälp!AI$2)-COLUMN(Beräkningshjälp!AC$2)+1,FALSE),"")</f>
        <v/>
      </c>
    </row>
    <row r="1047" spans="1:9" x14ac:dyDescent="0.25">
      <c r="A1047" s="2" t="str">
        <f t="shared" si="32"/>
        <v/>
      </c>
      <c r="B1047" s="136" t="str">
        <f>IF(D1047&lt;&gt;"",'DATA TILL SLU'!$J$3,"")</f>
        <v/>
      </c>
      <c r="C1047" s="146" t="str">
        <f>IF(D1047&lt;&gt;"",'DATA TILL SLU'!$K$3,"")</f>
        <v/>
      </c>
      <c r="D1047" s="2" t="str">
        <f>IF('DATA TILL SLU'!$D$7*1&lt;&gt;"",IF(COUNT(Beräkningshjälp!$AC$3:$AC$1082)&gt;=ROW(D1046),'DATA TILL SLU'!$D$7*1,""),"")</f>
        <v/>
      </c>
      <c r="E1047" s="136" t="str">
        <f>IF(D1047&lt;&gt;"",VLOOKUP(ROW(E1046),Beräkningshjälp!AC$2:AH$1082,COLUMN(Beräkningshjälp!AF$2)-COLUMN(Beräkningshjälp!AC$2)+1,FALSE),"")</f>
        <v/>
      </c>
      <c r="F1047" s="352" t="str">
        <f t="shared" si="33"/>
        <v/>
      </c>
      <c r="G1047" s="2" t="str">
        <f>IF(D1047&lt;&gt;"",IF(VLOOKUP(VLOOKUP(E1047,Beräkningshjälp!O$2:U$60,7,FALSE),Artuppgifter!$I$11:$P$22,8,FALSE)=TRUE,"Medelvikter!!","ALLA"),"")</f>
        <v/>
      </c>
      <c r="H1047" s="2" t="str">
        <f>IF(D1047&lt;&gt;"",VLOOKUP(ROW(H1046),Beräkningshjälp!AC$2:AH$1082,COLUMN(Beräkningshjälp!AH$2)-COLUMN(Beräkningshjälp!AC$2)+1,FALSE),"")</f>
        <v/>
      </c>
      <c r="I1047" s="116" t="str">
        <f>IF(D1047&lt;&gt;"",VLOOKUP(ROW(E1046),Beräkningshjälp!AC$2:AI$1082,COLUMN(Beräkningshjälp!AI$2)-COLUMN(Beräkningshjälp!AC$2)+1,FALSE),"")</f>
        <v/>
      </c>
    </row>
    <row r="1048" spans="1:9" x14ac:dyDescent="0.25">
      <c r="A1048" s="2" t="str">
        <f t="shared" si="32"/>
        <v/>
      </c>
      <c r="B1048" s="136" t="str">
        <f>IF(D1048&lt;&gt;"",'DATA TILL SLU'!$J$3,"")</f>
        <v/>
      </c>
      <c r="C1048" s="146" t="str">
        <f>IF(D1048&lt;&gt;"",'DATA TILL SLU'!$K$3,"")</f>
        <v/>
      </c>
      <c r="D1048" s="2" t="str">
        <f>IF('DATA TILL SLU'!$D$7*1&lt;&gt;"",IF(COUNT(Beräkningshjälp!$AC$3:$AC$1082)&gt;=ROW(D1047),'DATA TILL SLU'!$D$7*1,""),"")</f>
        <v/>
      </c>
      <c r="E1048" s="136" t="str">
        <f>IF(D1048&lt;&gt;"",VLOOKUP(ROW(E1047),Beräkningshjälp!AC$2:AH$1082,COLUMN(Beräkningshjälp!AF$2)-COLUMN(Beräkningshjälp!AC$2)+1,FALSE),"")</f>
        <v/>
      </c>
      <c r="F1048" s="352" t="str">
        <f t="shared" si="33"/>
        <v/>
      </c>
      <c r="G1048" s="2" t="str">
        <f>IF(D1048&lt;&gt;"",IF(VLOOKUP(VLOOKUP(E1048,Beräkningshjälp!O$2:U$60,7,FALSE),Artuppgifter!$I$11:$P$22,8,FALSE)=TRUE,"Medelvikter!!","ALLA"),"")</f>
        <v/>
      </c>
      <c r="H1048" s="2" t="str">
        <f>IF(D1048&lt;&gt;"",VLOOKUP(ROW(H1047),Beräkningshjälp!AC$2:AH$1082,COLUMN(Beräkningshjälp!AH$2)-COLUMN(Beräkningshjälp!AC$2)+1,FALSE),"")</f>
        <v/>
      </c>
      <c r="I1048" s="116" t="str">
        <f>IF(D1048&lt;&gt;"",VLOOKUP(ROW(E1047),Beräkningshjälp!AC$2:AI$1082,COLUMN(Beräkningshjälp!AI$2)-COLUMN(Beräkningshjälp!AC$2)+1,FALSE),"")</f>
        <v/>
      </c>
    </row>
    <row r="1049" spans="1:9" x14ac:dyDescent="0.25">
      <c r="A1049" s="2" t="str">
        <f t="shared" si="32"/>
        <v/>
      </c>
      <c r="B1049" s="136" t="str">
        <f>IF(D1049&lt;&gt;"",'DATA TILL SLU'!$J$3,"")</f>
        <v/>
      </c>
      <c r="C1049" s="146" t="str">
        <f>IF(D1049&lt;&gt;"",'DATA TILL SLU'!$K$3,"")</f>
        <v/>
      </c>
      <c r="D1049" s="2" t="str">
        <f>IF('DATA TILL SLU'!$D$7*1&lt;&gt;"",IF(COUNT(Beräkningshjälp!$AC$3:$AC$1082)&gt;=ROW(D1048),'DATA TILL SLU'!$D$7*1,""),"")</f>
        <v/>
      </c>
      <c r="E1049" s="136" t="str">
        <f>IF(D1049&lt;&gt;"",VLOOKUP(ROW(E1048),Beräkningshjälp!AC$2:AH$1082,COLUMN(Beräkningshjälp!AF$2)-COLUMN(Beräkningshjälp!AC$2)+1,FALSE),"")</f>
        <v/>
      </c>
      <c r="F1049" s="352" t="str">
        <f t="shared" si="33"/>
        <v/>
      </c>
      <c r="G1049" s="2" t="str">
        <f>IF(D1049&lt;&gt;"",IF(VLOOKUP(VLOOKUP(E1049,Beräkningshjälp!O$2:U$60,7,FALSE),Artuppgifter!$I$11:$P$22,8,FALSE)=TRUE,"Medelvikter!!","ALLA"),"")</f>
        <v/>
      </c>
      <c r="H1049" s="2" t="str">
        <f>IF(D1049&lt;&gt;"",VLOOKUP(ROW(H1048),Beräkningshjälp!AC$2:AH$1082,COLUMN(Beräkningshjälp!AH$2)-COLUMN(Beräkningshjälp!AC$2)+1,FALSE),"")</f>
        <v/>
      </c>
      <c r="I1049" s="116" t="str">
        <f>IF(D1049&lt;&gt;"",VLOOKUP(ROW(E1048),Beräkningshjälp!AC$2:AI$1082,COLUMN(Beräkningshjälp!AI$2)-COLUMN(Beräkningshjälp!AC$2)+1,FALSE),"")</f>
        <v/>
      </c>
    </row>
    <row r="1050" spans="1:9" x14ac:dyDescent="0.25">
      <c r="A1050" s="2" t="str">
        <f t="shared" si="32"/>
        <v/>
      </c>
      <c r="B1050" s="136" t="str">
        <f>IF(D1050&lt;&gt;"",'DATA TILL SLU'!$J$3,"")</f>
        <v/>
      </c>
      <c r="C1050" s="146" t="str">
        <f>IF(D1050&lt;&gt;"",'DATA TILL SLU'!$K$3,"")</f>
        <v/>
      </c>
      <c r="D1050" s="2" t="str">
        <f>IF('DATA TILL SLU'!$D$7*1&lt;&gt;"",IF(COUNT(Beräkningshjälp!$AC$3:$AC$1082)&gt;=ROW(D1049),'DATA TILL SLU'!$D$7*1,""),"")</f>
        <v/>
      </c>
      <c r="E1050" s="136" t="str">
        <f>IF(D1050&lt;&gt;"",VLOOKUP(ROW(E1049),Beräkningshjälp!AC$2:AH$1082,COLUMN(Beräkningshjälp!AF$2)-COLUMN(Beräkningshjälp!AC$2)+1,FALSE),"")</f>
        <v/>
      </c>
      <c r="F1050" s="352" t="str">
        <f t="shared" si="33"/>
        <v/>
      </c>
      <c r="G1050" s="2" t="str">
        <f>IF(D1050&lt;&gt;"",IF(VLOOKUP(VLOOKUP(E1050,Beräkningshjälp!O$2:U$60,7,FALSE),Artuppgifter!$I$11:$P$22,8,FALSE)=TRUE,"Medelvikter!!","ALLA"),"")</f>
        <v/>
      </c>
      <c r="H1050" s="2" t="str">
        <f>IF(D1050&lt;&gt;"",VLOOKUP(ROW(H1049),Beräkningshjälp!AC$2:AH$1082,COLUMN(Beräkningshjälp!AH$2)-COLUMN(Beräkningshjälp!AC$2)+1,FALSE),"")</f>
        <v/>
      </c>
      <c r="I1050" s="116" t="str">
        <f>IF(D1050&lt;&gt;"",VLOOKUP(ROW(E1049),Beräkningshjälp!AC$2:AI$1082,COLUMN(Beräkningshjälp!AI$2)-COLUMN(Beräkningshjälp!AC$2)+1,FALSE),"")</f>
        <v/>
      </c>
    </row>
    <row r="1051" spans="1:9" x14ac:dyDescent="0.25">
      <c r="A1051" s="2" t="str">
        <f t="shared" si="32"/>
        <v/>
      </c>
      <c r="B1051" s="136" t="str">
        <f>IF(D1051&lt;&gt;"",'DATA TILL SLU'!$J$3,"")</f>
        <v/>
      </c>
      <c r="C1051" s="146" t="str">
        <f>IF(D1051&lt;&gt;"",'DATA TILL SLU'!$K$3,"")</f>
        <v/>
      </c>
      <c r="D1051" s="2" t="str">
        <f>IF('DATA TILL SLU'!$D$7*1&lt;&gt;"",IF(COUNT(Beräkningshjälp!$AC$3:$AC$1082)&gt;=ROW(D1050),'DATA TILL SLU'!$D$7*1,""),"")</f>
        <v/>
      </c>
      <c r="E1051" s="136" t="str">
        <f>IF(D1051&lt;&gt;"",VLOOKUP(ROW(E1050),Beräkningshjälp!AC$2:AH$1082,COLUMN(Beräkningshjälp!AF$2)-COLUMN(Beräkningshjälp!AC$2)+1,FALSE),"")</f>
        <v/>
      </c>
      <c r="F1051" s="352" t="str">
        <f t="shared" si="33"/>
        <v/>
      </c>
      <c r="G1051" s="2" t="str">
        <f>IF(D1051&lt;&gt;"",IF(VLOOKUP(VLOOKUP(E1051,Beräkningshjälp!O$2:U$60,7,FALSE),Artuppgifter!$I$11:$P$22,8,FALSE)=TRUE,"Medelvikter!!","ALLA"),"")</f>
        <v/>
      </c>
      <c r="H1051" s="2" t="str">
        <f>IF(D1051&lt;&gt;"",VLOOKUP(ROW(H1050),Beräkningshjälp!AC$2:AH$1082,COLUMN(Beräkningshjälp!AH$2)-COLUMN(Beräkningshjälp!AC$2)+1,FALSE),"")</f>
        <v/>
      </c>
      <c r="I1051" s="116" t="str">
        <f>IF(D1051&lt;&gt;"",VLOOKUP(ROW(E1050),Beräkningshjälp!AC$2:AI$1082,COLUMN(Beräkningshjälp!AI$2)-COLUMN(Beräkningshjälp!AC$2)+1,FALSE),"")</f>
        <v/>
      </c>
    </row>
    <row r="1052" spans="1:9" x14ac:dyDescent="0.25">
      <c r="A1052" s="2" t="str">
        <f t="shared" si="32"/>
        <v/>
      </c>
      <c r="B1052" s="136" t="str">
        <f>IF(D1052&lt;&gt;"",'DATA TILL SLU'!$J$3,"")</f>
        <v/>
      </c>
      <c r="C1052" s="146" t="str">
        <f>IF(D1052&lt;&gt;"",'DATA TILL SLU'!$K$3,"")</f>
        <v/>
      </c>
      <c r="D1052" s="2" t="str">
        <f>IF('DATA TILL SLU'!$D$7*1&lt;&gt;"",IF(COUNT(Beräkningshjälp!$AC$3:$AC$1082)&gt;=ROW(D1051),'DATA TILL SLU'!$D$7*1,""),"")</f>
        <v/>
      </c>
      <c r="E1052" s="136" t="str">
        <f>IF(D1052&lt;&gt;"",VLOOKUP(ROW(E1051),Beräkningshjälp!AC$2:AH$1082,COLUMN(Beräkningshjälp!AF$2)-COLUMN(Beräkningshjälp!AC$2)+1,FALSE),"")</f>
        <v/>
      </c>
      <c r="F1052" s="352" t="str">
        <f t="shared" si="33"/>
        <v/>
      </c>
      <c r="G1052" s="2" t="str">
        <f>IF(D1052&lt;&gt;"",IF(VLOOKUP(VLOOKUP(E1052,Beräkningshjälp!O$2:U$60,7,FALSE),Artuppgifter!$I$11:$P$22,8,FALSE)=TRUE,"Medelvikter!!","ALLA"),"")</f>
        <v/>
      </c>
      <c r="H1052" s="2" t="str">
        <f>IF(D1052&lt;&gt;"",VLOOKUP(ROW(H1051),Beräkningshjälp!AC$2:AH$1082,COLUMN(Beräkningshjälp!AH$2)-COLUMN(Beräkningshjälp!AC$2)+1,FALSE),"")</f>
        <v/>
      </c>
      <c r="I1052" s="116" t="str">
        <f>IF(D1052&lt;&gt;"",VLOOKUP(ROW(E1051),Beräkningshjälp!AC$2:AI$1082,COLUMN(Beräkningshjälp!AI$2)-COLUMN(Beräkningshjälp!AC$2)+1,FALSE),"")</f>
        <v/>
      </c>
    </row>
    <row r="1053" spans="1:9" x14ac:dyDescent="0.25">
      <c r="A1053" s="2" t="str">
        <f t="shared" si="32"/>
        <v/>
      </c>
      <c r="B1053" s="136" t="str">
        <f>IF(D1053&lt;&gt;"",'DATA TILL SLU'!$J$3,"")</f>
        <v/>
      </c>
      <c r="C1053" s="146" t="str">
        <f>IF(D1053&lt;&gt;"",'DATA TILL SLU'!$K$3,"")</f>
        <v/>
      </c>
      <c r="D1053" s="2" t="str">
        <f>IF('DATA TILL SLU'!$D$7*1&lt;&gt;"",IF(COUNT(Beräkningshjälp!$AC$3:$AC$1082)&gt;=ROW(D1052),'DATA TILL SLU'!$D$7*1,""),"")</f>
        <v/>
      </c>
      <c r="E1053" s="136" t="str">
        <f>IF(D1053&lt;&gt;"",VLOOKUP(ROW(E1052),Beräkningshjälp!AC$2:AH$1082,COLUMN(Beräkningshjälp!AF$2)-COLUMN(Beräkningshjälp!AC$2)+1,FALSE),"")</f>
        <v/>
      </c>
      <c r="F1053" s="352" t="str">
        <f t="shared" si="33"/>
        <v/>
      </c>
      <c r="G1053" s="2" t="str">
        <f>IF(D1053&lt;&gt;"",IF(VLOOKUP(VLOOKUP(E1053,Beräkningshjälp!O$2:U$60,7,FALSE),Artuppgifter!$I$11:$P$22,8,FALSE)=TRUE,"Medelvikter!!","ALLA"),"")</f>
        <v/>
      </c>
      <c r="H1053" s="2" t="str">
        <f>IF(D1053&lt;&gt;"",VLOOKUP(ROW(H1052),Beräkningshjälp!AC$2:AH$1082,COLUMN(Beräkningshjälp!AH$2)-COLUMN(Beräkningshjälp!AC$2)+1,FALSE),"")</f>
        <v/>
      </c>
      <c r="I1053" s="116" t="str">
        <f>IF(D1053&lt;&gt;"",VLOOKUP(ROW(E1052),Beräkningshjälp!AC$2:AI$1082,COLUMN(Beräkningshjälp!AI$2)-COLUMN(Beräkningshjälp!AC$2)+1,FALSE),"")</f>
        <v/>
      </c>
    </row>
    <row r="1054" spans="1:9" x14ac:dyDescent="0.25">
      <c r="A1054" s="2" t="str">
        <f t="shared" si="32"/>
        <v/>
      </c>
      <c r="B1054" s="136" t="str">
        <f>IF(D1054&lt;&gt;"",'DATA TILL SLU'!$J$3,"")</f>
        <v/>
      </c>
      <c r="C1054" s="146" t="str">
        <f>IF(D1054&lt;&gt;"",'DATA TILL SLU'!$K$3,"")</f>
        <v/>
      </c>
      <c r="D1054" s="2" t="str">
        <f>IF('DATA TILL SLU'!$D$7*1&lt;&gt;"",IF(COUNT(Beräkningshjälp!$AC$3:$AC$1082)&gt;=ROW(D1053),'DATA TILL SLU'!$D$7*1,""),"")</f>
        <v/>
      </c>
      <c r="E1054" s="136" t="str">
        <f>IF(D1054&lt;&gt;"",VLOOKUP(ROW(E1053),Beräkningshjälp!AC$2:AH$1082,COLUMN(Beräkningshjälp!AF$2)-COLUMN(Beräkningshjälp!AC$2)+1,FALSE),"")</f>
        <v/>
      </c>
      <c r="F1054" s="352" t="str">
        <f t="shared" si="33"/>
        <v/>
      </c>
      <c r="G1054" s="2" t="str">
        <f>IF(D1054&lt;&gt;"",IF(VLOOKUP(VLOOKUP(E1054,Beräkningshjälp!O$2:U$60,7,FALSE),Artuppgifter!$I$11:$P$22,8,FALSE)=TRUE,"Medelvikter!!","ALLA"),"")</f>
        <v/>
      </c>
      <c r="H1054" s="2" t="str">
        <f>IF(D1054&lt;&gt;"",VLOOKUP(ROW(H1053),Beräkningshjälp!AC$2:AH$1082,COLUMN(Beräkningshjälp!AH$2)-COLUMN(Beräkningshjälp!AC$2)+1,FALSE),"")</f>
        <v/>
      </c>
      <c r="I1054" s="116" t="str">
        <f>IF(D1054&lt;&gt;"",VLOOKUP(ROW(E1053),Beräkningshjälp!AC$2:AI$1082,COLUMN(Beräkningshjälp!AI$2)-COLUMN(Beräkningshjälp!AC$2)+1,FALSE),"")</f>
        <v/>
      </c>
    </row>
    <row r="1055" spans="1:9" x14ac:dyDescent="0.25">
      <c r="A1055" s="2" t="str">
        <f t="shared" si="32"/>
        <v/>
      </c>
      <c r="B1055" s="136" t="str">
        <f>IF(D1055&lt;&gt;"",'DATA TILL SLU'!$J$3,"")</f>
        <v/>
      </c>
      <c r="C1055" s="146" t="str">
        <f>IF(D1055&lt;&gt;"",'DATA TILL SLU'!$K$3,"")</f>
        <v/>
      </c>
      <c r="D1055" s="2" t="str">
        <f>IF('DATA TILL SLU'!$D$7*1&lt;&gt;"",IF(COUNT(Beräkningshjälp!$AC$3:$AC$1082)&gt;=ROW(D1054),'DATA TILL SLU'!$D$7*1,""),"")</f>
        <v/>
      </c>
      <c r="E1055" s="136" t="str">
        <f>IF(D1055&lt;&gt;"",VLOOKUP(ROW(E1054),Beräkningshjälp!AC$2:AH$1082,COLUMN(Beräkningshjälp!AF$2)-COLUMN(Beräkningshjälp!AC$2)+1,FALSE),"")</f>
        <v/>
      </c>
      <c r="F1055" s="352" t="str">
        <f t="shared" si="33"/>
        <v/>
      </c>
      <c r="G1055" s="2" t="str">
        <f>IF(D1055&lt;&gt;"",IF(VLOOKUP(VLOOKUP(E1055,Beräkningshjälp!O$2:U$60,7,FALSE),Artuppgifter!$I$11:$P$22,8,FALSE)=TRUE,"Medelvikter!!","ALLA"),"")</f>
        <v/>
      </c>
      <c r="H1055" s="2" t="str">
        <f>IF(D1055&lt;&gt;"",VLOOKUP(ROW(H1054),Beräkningshjälp!AC$2:AH$1082,COLUMN(Beräkningshjälp!AH$2)-COLUMN(Beräkningshjälp!AC$2)+1,FALSE),"")</f>
        <v/>
      </c>
      <c r="I1055" s="116" t="str">
        <f>IF(D1055&lt;&gt;"",VLOOKUP(ROW(E1054),Beräkningshjälp!AC$2:AI$1082,COLUMN(Beräkningshjälp!AI$2)-COLUMN(Beräkningshjälp!AC$2)+1,FALSE),"")</f>
        <v/>
      </c>
    </row>
    <row r="1056" spans="1:9" x14ac:dyDescent="0.25">
      <c r="A1056" s="2" t="str">
        <f t="shared" si="32"/>
        <v/>
      </c>
      <c r="B1056" s="136" t="str">
        <f>IF(D1056&lt;&gt;"",'DATA TILL SLU'!$J$3,"")</f>
        <v/>
      </c>
      <c r="C1056" s="146" t="str">
        <f>IF(D1056&lt;&gt;"",'DATA TILL SLU'!$K$3,"")</f>
        <v/>
      </c>
      <c r="D1056" s="2" t="str">
        <f>IF('DATA TILL SLU'!$D$7*1&lt;&gt;"",IF(COUNT(Beräkningshjälp!$AC$3:$AC$1082)&gt;=ROW(D1055),'DATA TILL SLU'!$D$7*1,""),"")</f>
        <v/>
      </c>
      <c r="E1056" s="136" t="str">
        <f>IF(D1056&lt;&gt;"",VLOOKUP(ROW(E1055),Beräkningshjälp!AC$2:AH$1082,COLUMN(Beräkningshjälp!AF$2)-COLUMN(Beräkningshjälp!AC$2)+1,FALSE),"")</f>
        <v/>
      </c>
      <c r="F1056" s="352" t="str">
        <f t="shared" si="33"/>
        <v/>
      </c>
      <c r="G1056" s="2" t="str">
        <f>IF(D1056&lt;&gt;"",IF(VLOOKUP(VLOOKUP(E1056,Beräkningshjälp!O$2:U$60,7,FALSE),Artuppgifter!$I$11:$P$22,8,FALSE)=TRUE,"Medelvikter!!","ALLA"),"")</f>
        <v/>
      </c>
      <c r="H1056" s="2" t="str">
        <f>IF(D1056&lt;&gt;"",VLOOKUP(ROW(H1055),Beräkningshjälp!AC$2:AH$1082,COLUMN(Beräkningshjälp!AH$2)-COLUMN(Beräkningshjälp!AC$2)+1,FALSE),"")</f>
        <v/>
      </c>
      <c r="I1056" s="116" t="str">
        <f>IF(D1056&lt;&gt;"",VLOOKUP(ROW(E1055),Beräkningshjälp!AC$2:AI$1082,COLUMN(Beräkningshjälp!AI$2)-COLUMN(Beräkningshjälp!AC$2)+1,FALSE),"")</f>
        <v/>
      </c>
    </row>
    <row r="1057" spans="1:9" x14ac:dyDescent="0.25">
      <c r="A1057" s="2" t="str">
        <f t="shared" si="32"/>
        <v/>
      </c>
      <c r="B1057" s="136" t="str">
        <f>IF(D1057&lt;&gt;"",'DATA TILL SLU'!$J$3,"")</f>
        <v/>
      </c>
      <c r="C1057" s="146" t="str">
        <f>IF(D1057&lt;&gt;"",'DATA TILL SLU'!$K$3,"")</f>
        <v/>
      </c>
      <c r="D1057" s="2" t="str">
        <f>IF('DATA TILL SLU'!$D$7*1&lt;&gt;"",IF(COUNT(Beräkningshjälp!$AC$3:$AC$1082)&gt;=ROW(D1056),'DATA TILL SLU'!$D$7*1,""),"")</f>
        <v/>
      </c>
      <c r="E1057" s="136" t="str">
        <f>IF(D1057&lt;&gt;"",VLOOKUP(ROW(E1056),Beräkningshjälp!AC$2:AH$1082,COLUMN(Beräkningshjälp!AF$2)-COLUMN(Beräkningshjälp!AC$2)+1,FALSE),"")</f>
        <v/>
      </c>
      <c r="F1057" s="352" t="str">
        <f t="shared" si="33"/>
        <v/>
      </c>
      <c r="G1057" s="2" t="str">
        <f>IF(D1057&lt;&gt;"",IF(VLOOKUP(VLOOKUP(E1057,Beräkningshjälp!O$2:U$60,7,FALSE),Artuppgifter!$I$11:$P$22,8,FALSE)=TRUE,"Medelvikter!!","ALLA"),"")</f>
        <v/>
      </c>
      <c r="H1057" s="2" t="str">
        <f>IF(D1057&lt;&gt;"",VLOOKUP(ROW(H1056),Beräkningshjälp!AC$2:AH$1082,COLUMN(Beräkningshjälp!AH$2)-COLUMN(Beräkningshjälp!AC$2)+1,FALSE),"")</f>
        <v/>
      </c>
      <c r="I1057" s="116" t="str">
        <f>IF(D1057&lt;&gt;"",VLOOKUP(ROW(E1056),Beräkningshjälp!AC$2:AI$1082,COLUMN(Beräkningshjälp!AI$2)-COLUMN(Beräkningshjälp!AC$2)+1,FALSE),"")</f>
        <v/>
      </c>
    </row>
    <row r="1058" spans="1:9" x14ac:dyDescent="0.25">
      <c r="A1058" s="2" t="str">
        <f t="shared" si="32"/>
        <v/>
      </c>
      <c r="B1058" s="136" t="str">
        <f>IF(D1058&lt;&gt;"",'DATA TILL SLU'!$J$3,"")</f>
        <v/>
      </c>
      <c r="C1058" s="146" t="str">
        <f>IF(D1058&lt;&gt;"",'DATA TILL SLU'!$K$3,"")</f>
        <v/>
      </c>
      <c r="D1058" s="2" t="str">
        <f>IF('DATA TILL SLU'!$D$7*1&lt;&gt;"",IF(COUNT(Beräkningshjälp!$AC$3:$AC$1082)&gt;=ROW(D1057),'DATA TILL SLU'!$D$7*1,""),"")</f>
        <v/>
      </c>
      <c r="E1058" s="136" t="str">
        <f>IF(D1058&lt;&gt;"",VLOOKUP(ROW(E1057),Beräkningshjälp!AC$2:AH$1082,COLUMN(Beräkningshjälp!AF$2)-COLUMN(Beräkningshjälp!AC$2)+1,FALSE),"")</f>
        <v/>
      </c>
      <c r="F1058" s="352" t="str">
        <f t="shared" si="33"/>
        <v/>
      </c>
      <c r="G1058" s="2" t="str">
        <f>IF(D1058&lt;&gt;"",IF(VLOOKUP(VLOOKUP(E1058,Beräkningshjälp!O$2:U$60,7,FALSE),Artuppgifter!$I$11:$P$22,8,FALSE)=TRUE,"Medelvikter!!","ALLA"),"")</f>
        <v/>
      </c>
      <c r="H1058" s="2" t="str">
        <f>IF(D1058&lt;&gt;"",VLOOKUP(ROW(H1057),Beräkningshjälp!AC$2:AH$1082,COLUMN(Beräkningshjälp!AH$2)-COLUMN(Beräkningshjälp!AC$2)+1,FALSE),"")</f>
        <v/>
      </c>
      <c r="I1058" s="116" t="str">
        <f>IF(D1058&lt;&gt;"",VLOOKUP(ROW(E1057),Beräkningshjälp!AC$2:AI$1082,COLUMN(Beräkningshjälp!AI$2)-COLUMN(Beräkningshjälp!AC$2)+1,FALSE),"")</f>
        <v/>
      </c>
    </row>
    <row r="1059" spans="1:9" x14ac:dyDescent="0.25">
      <c r="A1059" s="2" t="str">
        <f t="shared" si="32"/>
        <v/>
      </c>
      <c r="B1059" s="136" t="str">
        <f>IF(D1059&lt;&gt;"",'DATA TILL SLU'!$J$3,"")</f>
        <v/>
      </c>
      <c r="C1059" s="146" t="str">
        <f>IF(D1059&lt;&gt;"",'DATA TILL SLU'!$K$3,"")</f>
        <v/>
      </c>
      <c r="D1059" s="2" t="str">
        <f>IF('DATA TILL SLU'!$D$7*1&lt;&gt;"",IF(COUNT(Beräkningshjälp!$AC$3:$AC$1082)&gt;=ROW(D1058),'DATA TILL SLU'!$D$7*1,""),"")</f>
        <v/>
      </c>
      <c r="E1059" s="136" t="str">
        <f>IF(D1059&lt;&gt;"",VLOOKUP(ROW(E1058),Beräkningshjälp!AC$2:AH$1082,COLUMN(Beräkningshjälp!AF$2)-COLUMN(Beräkningshjälp!AC$2)+1,FALSE),"")</f>
        <v/>
      </c>
      <c r="F1059" s="352" t="str">
        <f t="shared" si="33"/>
        <v/>
      </c>
      <c r="G1059" s="2" t="str">
        <f>IF(D1059&lt;&gt;"",IF(VLOOKUP(VLOOKUP(E1059,Beräkningshjälp!O$2:U$60,7,FALSE),Artuppgifter!$I$11:$P$22,8,FALSE)=TRUE,"Medelvikter!!","ALLA"),"")</f>
        <v/>
      </c>
      <c r="H1059" s="2" t="str">
        <f>IF(D1059&lt;&gt;"",VLOOKUP(ROW(H1058),Beräkningshjälp!AC$2:AH$1082,COLUMN(Beräkningshjälp!AH$2)-COLUMN(Beräkningshjälp!AC$2)+1,FALSE),"")</f>
        <v/>
      </c>
      <c r="I1059" s="116" t="str">
        <f>IF(D1059&lt;&gt;"",VLOOKUP(ROW(E1058),Beräkningshjälp!AC$2:AI$1082,COLUMN(Beräkningshjälp!AI$2)-COLUMN(Beräkningshjälp!AC$2)+1,FALSE),"")</f>
        <v/>
      </c>
    </row>
    <row r="1060" spans="1:9" x14ac:dyDescent="0.25">
      <c r="A1060" s="2" t="str">
        <f t="shared" si="32"/>
        <v/>
      </c>
      <c r="B1060" s="136" t="str">
        <f>IF(D1060&lt;&gt;"",'DATA TILL SLU'!$J$3,"")</f>
        <v/>
      </c>
      <c r="C1060" s="146" t="str">
        <f>IF(D1060&lt;&gt;"",'DATA TILL SLU'!$K$3,"")</f>
        <v/>
      </c>
      <c r="D1060" s="2" t="str">
        <f>IF('DATA TILL SLU'!$D$7*1&lt;&gt;"",IF(COUNT(Beräkningshjälp!$AC$3:$AC$1082)&gt;=ROW(D1059),'DATA TILL SLU'!$D$7*1,""),"")</f>
        <v/>
      </c>
      <c r="E1060" s="136" t="str">
        <f>IF(D1060&lt;&gt;"",VLOOKUP(ROW(E1059),Beräkningshjälp!AC$2:AH$1082,COLUMN(Beräkningshjälp!AF$2)-COLUMN(Beräkningshjälp!AC$2)+1,FALSE),"")</f>
        <v/>
      </c>
      <c r="F1060" s="352" t="str">
        <f t="shared" si="33"/>
        <v/>
      </c>
      <c r="G1060" s="2" t="str">
        <f>IF(D1060&lt;&gt;"",IF(VLOOKUP(VLOOKUP(E1060,Beräkningshjälp!O$2:U$60,7,FALSE),Artuppgifter!$I$11:$P$22,8,FALSE)=TRUE,"Medelvikter!!","ALLA"),"")</f>
        <v/>
      </c>
      <c r="H1060" s="2" t="str">
        <f>IF(D1060&lt;&gt;"",VLOOKUP(ROW(H1059),Beräkningshjälp!AC$2:AH$1082,COLUMN(Beräkningshjälp!AH$2)-COLUMN(Beräkningshjälp!AC$2)+1,FALSE),"")</f>
        <v/>
      </c>
      <c r="I1060" s="116" t="str">
        <f>IF(D1060&lt;&gt;"",VLOOKUP(ROW(E1059),Beräkningshjälp!AC$2:AI$1082,COLUMN(Beräkningshjälp!AI$2)-COLUMN(Beräkningshjälp!AC$2)+1,FALSE),"")</f>
        <v/>
      </c>
    </row>
    <row r="1061" spans="1:9" x14ac:dyDescent="0.25">
      <c r="A1061" s="2" t="str">
        <f t="shared" si="32"/>
        <v/>
      </c>
      <c r="B1061" s="136" t="str">
        <f>IF(D1061&lt;&gt;"",'DATA TILL SLU'!$J$3,"")</f>
        <v/>
      </c>
      <c r="C1061" s="146" t="str">
        <f>IF(D1061&lt;&gt;"",'DATA TILL SLU'!$K$3,"")</f>
        <v/>
      </c>
      <c r="D1061" s="2" t="str">
        <f>IF('DATA TILL SLU'!$D$7*1&lt;&gt;"",IF(COUNT(Beräkningshjälp!$AC$3:$AC$1082)&gt;=ROW(D1060),'DATA TILL SLU'!$D$7*1,""),"")</f>
        <v/>
      </c>
      <c r="E1061" s="136" t="str">
        <f>IF(D1061&lt;&gt;"",VLOOKUP(ROW(E1060),Beräkningshjälp!AC$2:AH$1082,COLUMN(Beräkningshjälp!AF$2)-COLUMN(Beräkningshjälp!AC$2)+1,FALSE),"")</f>
        <v/>
      </c>
      <c r="F1061" s="352" t="str">
        <f t="shared" si="33"/>
        <v/>
      </c>
      <c r="G1061" s="2" t="str">
        <f>IF(D1061&lt;&gt;"",IF(VLOOKUP(VLOOKUP(E1061,Beräkningshjälp!O$2:U$60,7,FALSE),Artuppgifter!$I$11:$P$22,8,FALSE)=TRUE,"Medelvikter!!","ALLA"),"")</f>
        <v/>
      </c>
      <c r="H1061" s="2" t="str">
        <f>IF(D1061&lt;&gt;"",VLOOKUP(ROW(H1060),Beräkningshjälp!AC$2:AH$1082,COLUMN(Beräkningshjälp!AH$2)-COLUMN(Beräkningshjälp!AC$2)+1,FALSE),"")</f>
        <v/>
      </c>
      <c r="I1061" s="116" t="str">
        <f>IF(D1061&lt;&gt;"",VLOOKUP(ROW(E1060),Beräkningshjälp!AC$2:AI$1082,COLUMN(Beräkningshjälp!AI$2)-COLUMN(Beräkningshjälp!AC$2)+1,FALSE),"")</f>
        <v/>
      </c>
    </row>
    <row r="1062" spans="1:9" x14ac:dyDescent="0.25">
      <c r="A1062" s="2" t="str">
        <f t="shared" si="32"/>
        <v/>
      </c>
      <c r="B1062" s="136" t="str">
        <f>IF(D1062&lt;&gt;"",'DATA TILL SLU'!$J$3,"")</f>
        <v/>
      </c>
      <c r="C1062" s="146" t="str">
        <f>IF(D1062&lt;&gt;"",'DATA TILL SLU'!$K$3,"")</f>
        <v/>
      </c>
      <c r="D1062" s="2" t="str">
        <f>IF('DATA TILL SLU'!$D$7*1&lt;&gt;"",IF(COUNT(Beräkningshjälp!$AC$3:$AC$1082)&gt;=ROW(D1061),'DATA TILL SLU'!$D$7*1,""),"")</f>
        <v/>
      </c>
      <c r="E1062" s="136" t="str">
        <f>IF(D1062&lt;&gt;"",VLOOKUP(ROW(E1061),Beräkningshjälp!AC$2:AH$1082,COLUMN(Beräkningshjälp!AF$2)-COLUMN(Beräkningshjälp!AC$2)+1,FALSE),"")</f>
        <v/>
      </c>
      <c r="F1062" s="352" t="str">
        <f t="shared" si="33"/>
        <v/>
      </c>
      <c r="G1062" s="2" t="str">
        <f>IF(D1062&lt;&gt;"",IF(VLOOKUP(VLOOKUP(E1062,Beräkningshjälp!O$2:U$60,7,FALSE),Artuppgifter!$I$11:$P$22,8,FALSE)=TRUE,"Medelvikter!!","ALLA"),"")</f>
        <v/>
      </c>
      <c r="H1062" s="2" t="str">
        <f>IF(D1062&lt;&gt;"",VLOOKUP(ROW(H1061),Beräkningshjälp!AC$2:AH$1082,COLUMN(Beräkningshjälp!AH$2)-COLUMN(Beräkningshjälp!AC$2)+1,FALSE),"")</f>
        <v/>
      </c>
      <c r="I1062" s="116" t="str">
        <f>IF(D1062&lt;&gt;"",VLOOKUP(ROW(E1061),Beräkningshjälp!AC$2:AI$1082,COLUMN(Beräkningshjälp!AI$2)-COLUMN(Beräkningshjälp!AC$2)+1,FALSE),"")</f>
        <v/>
      </c>
    </row>
    <row r="1063" spans="1:9" x14ac:dyDescent="0.25">
      <c r="A1063" s="2" t="str">
        <f t="shared" si="32"/>
        <v/>
      </c>
      <c r="B1063" s="136" t="str">
        <f>IF(D1063&lt;&gt;"",'DATA TILL SLU'!$J$3,"")</f>
        <v/>
      </c>
      <c r="C1063" s="146" t="str">
        <f>IF(D1063&lt;&gt;"",'DATA TILL SLU'!$K$3,"")</f>
        <v/>
      </c>
      <c r="D1063" s="2" t="str">
        <f>IF('DATA TILL SLU'!$D$7*1&lt;&gt;"",IF(COUNT(Beräkningshjälp!$AC$3:$AC$1082)&gt;=ROW(D1062),'DATA TILL SLU'!$D$7*1,""),"")</f>
        <v/>
      </c>
      <c r="E1063" s="136" t="str">
        <f>IF(D1063&lt;&gt;"",VLOOKUP(ROW(E1062),Beräkningshjälp!AC$2:AH$1082,COLUMN(Beräkningshjälp!AF$2)-COLUMN(Beräkningshjälp!AC$2)+1,FALSE),"")</f>
        <v/>
      </c>
      <c r="F1063" s="352" t="str">
        <f t="shared" si="33"/>
        <v/>
      </c>
      <c r="G1063" s="2" t="str">
        <f>IF(D1063&lt;&gt;"",IF(VLOOKUP(VLOOKUP(E1063,Beräkningshjälp!O$2:U$60,7,FALSE),Artuppgifter!$I$11:$P$22,8,FALSE)=TRUE,"Medelvikter!!","ALLA"),"")</f>
        <v/>
      </c>
      <c r="H1063" s="2" t="str">
        <f>IF(D1063&lt;&gt;"",VLOOKUP(ROW(H1062),Beräkningshjälp!AC$2:AH$1082,COLUMN(Beräkningshjälp!AH$2)-COLUMN(Beräkningshjälp!AC$2)+1,FALSE),"")</f>
        <v/>
      </c>
      <c r="I1063" s="116" t="str">
        <f>IF(D1063&lt;&gt;"",VLOOKUP(ROW(E1062),Beräkningshjälp!AC$2:AI$1082,COLUMN(Beräkningshjälp!AI$2)-COLUMN(Beräkningshjälp!AC$2)+1,FALSE),"")</f>
        <v/>
      </c>
    </row>
    <row r="1064" spans="1:9" x14ac:dyDescent="0.25">
      <c r="A1064" s="2" t="str">
        <f t="shared" si="32"/>
        <v/>
      </c>
      <c r="B1064" s="136" t="str">
        <f>IF(D1064&lt;&gt;"",'DATA TILL SLU'!$J$3,"")</f>
        <v/>
      </c>
      <c r="C1064" s="146" t="str">
        <f>IF(D1064&lt;&gt;"",'DATA TILL SLU'!$K$3,"")</f>
        <v/>
      </c>
      <c r="D1064" s="2" t="str">
        <f>IF('DATA TILL SLU'!$D$7*1&lt;&gt;"",IF(COUNT(Beräkningshjälp!$AC$3:$AC$1082)&gt;=ROW(D1063),'DATA TILL SLU'!$D$7*1,""),"")</f>
        <v/>
      </c>
      <c r="E1064" s="136" t="str">
        <f>IF(D1064&lt;&gt;"",VLOOKUP(ROW(E1063),Beräkningshjälp!AC$2:AH$1082,COLUMN(Beräkningshjälp!AF$2)-COLUMN(Beräkningshjälp!AC$2)+1,FALSE),"")</f>
        <v/>
      </c>
      <c r="F1064" s="352" t="str">
        <f t="shared" si="33"/>
        <v/>
      </c>
      <c r="G1064" s="2" t="str">
        <f>IF(D1064&lt;&gt;"",IF(VLOOKUP(VLOOKUP(E1064,Beräkningshjälp!O$2:U$60,7,FALSE),Artuppgifter!$I$11:$P$22,8,FALSE)=TRUE,"Medelvikter!!","ALLA"),"")</f>
        <v/>
      </c>
      <c r="H1064" s="2" t="str">
        <f>IF(D1064&lt;&gt;"",VLOOKUP(ROW(H1063),Beräkningshjälp!AC$2:AH$1082,COLUMN(Beräkningshjälp!AH$2)-COLUMN(Beräkningshjälp!AC$2)+1,FALSE),"")</f>
        <v/>
      </c>
      <c r="I1064" s="116" t="str">
        <f>IF(D1064&lt;&gt;"",VLOOKUP(ROW(E1063),Beräkningshjälp!AC$2:AI$1082,COLUMN(Beräkningshjälp!AI$2)-COLUMN(Beräkningshjälp!AC$2)+1,FALSE),"")</f>
        <v/>
      </c>
    </row>
    <row r="1065" spans="1:9" x14ac:dyDescent="0.25">
      <c r="A1065" s="2" t="str">
        <f t="shared" si="32"/>
        <v/>
      </c>
      <c r="B1065" s="136" t="str">
        <f>IF(D1065&lt;&gt;"",'DATA TILL SLU'!$J$3,"")</f>
        <v/>
      </c>
      <c r="C1065" s="146" t="str">
        <f>IF(D1065&lt;&gt;"",'DATA TILL SLU'!$K$3,"")</f>
        <v/>
      </c>
      <c r="D1065" s="2" t="str">
        <f>IF('DATA TILL SLU'!$D$7*1&lt;&gt;"",IF(COUNT(Beräkningshjälp!$AC$3:$AC$1082)&gt;=ROW(D1064),'DATA TILL SLU'!$D$7*1,""),"")</f>
        <v/>
      </c>
      <c r="E1065" s="136" t="str">
        <f>IF(D1065&lt;&gt;"",VLOOKUP(ROW(E1064),Beräkningshjälp!AC$2:AH$1082,COLUMN(Beräkningshjälp!AF$2)-COLUMN(Beräkningshjälp!AC$2)+1,FALSE),"")</f>
        <v/>
      </c>
      <c r="F1065" s="352" t="str">
        <f t="shared" si="33"/>
        <v/>
      </c>
      <c r="G1065" s="2" t="str">
        <f>IF(D1065&lt;&gt;"",IF(VLOOKUP(VLOOKUP(E1065,Beräkningshjälp!O$2:U$60,7,FALSE),Artuppgifter!$I$11:$P$22,8,FALSE)=TRUE,"Medelvikter!!","ALLA"),"")</f>
        <v/>
      </c>
      <c r="H1065" s="2" t="str">
        <f>IF(D1065&lt;&gt;"",VLOOKUP(ROW(H1064),Beräkningshjälp!AC$2:AH$1082,COLUMN(Beräkningshjälp!AH$2)-COLUMN(Beräkningshjälp!AC$2)+1,FALSE),"")</f>
        <v/>
      </c>
      <c r="I1065" s="116" t="str">
        <f>IF(D1065&lt;&gt;"",VLOOKUP(ROW(E1064),Beräkningshjälp!AC$2:AI$1082,COLUMN(Beräkningshjälp!AI$2)-COLUMN(Beräkningshjälp!AC$2)+1,FALSE),"")</f>
        <v/>
      </c>
    </row>
    <row r="1066" spans="1:9" x14ac:dyDescent="0.25">
      <c r="A1066" s="2" t="str">
        <f t="shared" si="32"/>
        <v/>
      </c>
      <c r="B1066" s="136" t="str">
        <f>IF(D1066&lt;&gt;"",'DATA TILL SLU'!$J$3,"")</f>
        <v/>
      </c>
      <c r="C1066" s="146" t="str">
        <f>IF(D1066&lt;&gt;"",'DATA TILL SLU'!$K$3,"")</f>
        <v/>
      </c>
      <c r="D1066" s="2" t="str">
        <f>IF('DATA TILL SLU'!$D$7*1&lt;&gt;"",IF(COUNT(Beräkningshjälp!$AC$3:$AC$1082)&gt;=ROW(D1065),'DATA TILL SLU'!$D$7*1,""),"")</f>
        <v/>
      </c>
      <c r="E1066" s="136" t="str">
        <f>IF(D1066&lt;&gt;"",VLOOKUP(ROW(E1065),Beräkningshjälp!AC$2:AH$1082,COLUMN(Beräkningshjälp!AF$2)-COLUMN(Beräkningshjälp!AC$2)+1,FALSE),"")</f>
        <v/>
      </c>
      <c r="F1066" s="352" t="str">
        <f t="shared" si="33"/>
        <v/>
      </c>
      <c r="G1066" s="2" t="str">
        <f>IF(D1066&lt;&gt;"",IF(VLOOKUP(VLOOKUP(E1066,Beräkningshjälp!O$2:U$60,7,FALSE),Artuppgifter!$I$11:$P$22,8,FALSE)=TRUE,"Medelvikter!!","ALLA"),"")</f>
        <v/>
      </c>
      <c r="H1066" s="2" t="str">
        <f>IF(D1066&lt;&gt;"",VLOOKUP(ROW(H1065),Beräkningshjälp!AC$2:AH$1082,COLUMN(Beräkningshjälp!AH$2)-COLUMN(Beräkningshjälp!AC$2)+1,FALSE),"")</f>
        <v/>
      </c>
      <c r="I1066" s="116" t="str">
        <f>IF(D1066&lt;&gt;"",VLOOKUP(ROW(E1065),Beräkningshjälp!AC$2:AI$1082,COLUMN(Beräkningshjälp!AI$2)-COLUMN(Beräkningshjälp!AC$2)+1,FALSE),"")</f>
        <v/>
      </c>
    </row>
    <row r="1067" spans="1:9" x14ac:dyDescent="0.25">
      <c r="A1067" s="2" t="str">
        <f t="shared" si="32"/>
        <v/>
      </c>
      <c r="B1067" s="136" t="str">
        <f>IF(D1067&lt;&gt;"",'DATA TILL SLU'!$J$3,"")</f>
        <v/>
      </c>
      <c r="C1067" s="146" t="str">
        <f>IF(D1067&lt;&gt;"",'DATA TILL SLU'!$K$3,"")</f>
        <v/>
      </c>
      <c r="D1067" s="2" t="str">
        <f>IF('DATA TILL SLU'!$D$7*1&lt;&gt;"",IF(COUNT(Beräkningshjälp!$AC$3:$AC$1082)&gt;=ROW(D1066),'DATA TILL SLU'!$D$7*1,""),"")</f>
        <v/>
      </c>
      <c r="E1067" s="136" t="str">
        <f>IF(D1067&lt;&gt;"",VLOOKUP(ROW(E1066),Beräkningshjälp!AC$2:AH$1082,COLUMN(Beräkningshjälp!AF$2)-COLUMN(Beräkningshjälp!AC$2)+1,FALSE),"")</f>
        <v/>
      </c>
      <c r="F1067" s="352" t="str">
        <f t="shared" si="33"/>
        <v/>
      </c>
      <c r="G1067" s="2" t="str">
        <f>IF(D1067&lt;&gt;"",IF(VLOOKUP(VLOOKUP(E1067,Beräkningshjälp!O$2:U$60,7,FALSE),Artuppgifter!$I$11:$P$22,8,FALSE)=TRUE,"Medelvikter!!","ALLA"),"")</f>
        <v/>
      </c>
      <c r="H1067" s="2" t="str">
        <f>IF(D1067&lt;&gt;"",VLOOKUP(ROW(H1066),Beräkningshjälp!AC$2:AH$1082,COLUMN(Beräkningshjälp!AH$2)-COLUMN(Beräkningshjälp!AC$2)+1,FALSE),"")</f>
        <v/>
      </c>
      <c r="I1067" s="116" t="str">
        <f>IF(D1067&lt;&gt;"",VLOOKUP(ROW(E1066),Beräkningshjälp!AC$2:AI$1082,COLUMN(Beräkningshjälp!AI$2)-COLUMN(Beräkningshjälp!AC$2)+1,FALSE),"")</f>
        <v/>
      </c>
    </row>
    <row r="1068" spans="1:9" x14ac:dyDescent="0.25">
      <c r="A1068" s="2" t="str">
        <f t="shared" si="32"/>
        <v/>
      </c>
      <c r="B1068" s="136" t="str">
        <f>IF(D1068&lt;&gt;"",'DATA TILL SLU'!$J$3,"")</f>
        <v/>
      </c>
      <c r="C1068" s="146" t="str">
        <f>IF(D1068&lt;&gt;"",'DATA TILL SLU'!$K$3,"")</f>
        <v/>
      </c>
      <c r="D1068" s="2" t="str">
        <f>IF('DATA TILL SLU'!$D$7*1&lt;&gt;"",IF(COUNT(Beräkningshjälp!$AC$3:$AC$1082)&gt;=ROW(D1067),'DATA TILL SLU'!$D$7*1,""),"")</f>
        <v/>
      </c>
      <c r="E1068" s="136" t="str">
        <f>IF(D1068&lt;&gt;"",VLOOKUP(ROW(E1067),Beräkningshjälp!AC$2:AH$1082,COLUMN(Beräkningshjälp!AF$2)-COLUMN(Beräkningshjälp!AC$2)+1,FALSE),"")</f>
        <v/>
      </c>
      <c r="F1068" s="352" t="str">
        <f t="shared" si="33"/>
        <v/>
      </c>
      <c r="G1068" s="2" t="str">
        <f>IF(D1068&lt;&gt;"",IF(VLOOKUP(VLOOKUP(E1068,Beräkningshjälp!O$2:U$60,7,FALSE),Artuppgifter!$I$11:$P$22,8,FALSE)=TRUE,"Medelvikter!!","ALLA"),"")</f>
        <v/>
      </c>
      <c r="H1068" s="2" t="str">
        <f>IF(D1068&lt;&gt;"",VLOOKUP(ROW(H1067),Beräkningshjälp!AC$2:AH$1082,COLUMN(Beräkningshjälp!AH$2)-COLUMN(Beräkningshjälp!AC$2)+1,FALSE),"")</f>
        <v/>
      </c>
      <c r="I1068" s="116" t="str">
        <f>IF(D1068&lt;&gt;"",VLOOKUP(ROW(E1067),Beräkningshjälp!AC$2:AI$1082,COLUMN(Beräkningshjälp!AI$2)-COLUMN(Beräkningshjälp!AC$2)+1,FALSE),"")</f>
        <v/>
      </c>
    </row>
    <row r="1069" spans="1:9" x14ac:dyDescent="0.25">
      <c r="A1069" s="2" t="str">
        <f t="shared" si="32"/>
        <v/>
      </c>
      <c r="B1069" s="136" t="str">
        <f>IF(D1069&lt;&gt;"",'DATA TILL SLU'!$J$3,"")</f>
        <v/>
      </c>
      <c r="C1069" s="146" t="str">
        <f>IF(D1069&lt;&gt;"",'DATA TILL SLU'!$K$3,"")</f>
        <v/>
      </c>
      <c r="D1069" s="2" t="str">
        <f>IF('DATA TILL SLU'!$D$7*1&lt;&gt;"",IF(COUNT(Beräkningshjälp!$AC$3:$AC$1082)&gt;=ROW(D1068),'DATA TILL SLU'!$D$7*1,""),"")</f>
        <v/>
      </c>
      <c r="E1069" s="136" t="str">
        <f>IF(D1069&lt;&gt;"",VLOOKUP(ROW(E1068),Beräkningshjälp!AC$2:AH$1082,COLUMN(Beräkningshjälp!AF$2)-COLUMN(Beräkningshjälp!AC$2)+1,FALSE),"")</f>
        <v/>
      </c>
      <c r="F1069" s="352" t="str">
        <f t="shared" si="33"/>
        <v/>
      </c>
      <c r="G1069" s="2" t="str">
        <f>IF(D1069&lt;&gt;"",IF(VLOOKUP(VLOOKUP(E1069,Beräkningshjälp!O$2:U$60,7,FALSE),Artuppgifter!$I$11:$P$22,8,FALSE)=TRUE,"Medelvikter!!","ALLA"),"")</f>
        <v/>
      </c>
      <c r="H1069" s="2" t="str">
        <f>IF(D1069&lt;&gt;"",VLOOKUP(ROW(H1068),Beräkningshjälp!AC$2:AH$1082,COLUMN(Beräkningshjälp!AH$2)-COLUMN(Beräkningshjälp!AC$2)+1,FALSE),"")</f>
        <v/>
      </c>
      <c r="I1069" s="116" t="str">
        <f>IF(D1069&lt;&gt;"",VLOOKUP(ROW(E1068),Beräkningshjälp!AC$2:AI$1082,COLUMN(Beräkningshjälp!AI$2)-COLUMN(Beräkningshjälp!AC$2)+1,FALSE),"")</f>
        <v/>
      </c>
    </row>
    <row r="1070" spans="1:9" x14ac:dyDescent="0.25">
      <c r="A1070" s="2" t="str">
        <f t="shared" si="32"/>
        <v/>
      </c>
      <c r="B1070" s="136" t="str">
        <f>IF(D1070&lt;&gt;"",'DATA TILL SLU'!$J$3,"")</f>
        <v/>
      </c>
      <c r="C1070" s="146" t="str">
        <f>IF(D1070&lt;&gt;"",'DATA TILL SLU'!$K$3,"")</f>
        <v/>
      </c>
      <c r="D1070" s="2" t="str">
        <f>IF('DATA TILL SLU'!$D$7*1&lt;&gt;"",IF(COUNT(Beräkningshjälp!$AC$3:$AC$1082)&gt;=ROW(D1069),'DATA TILL SLU'!$D$7*1,""),"")</f>
        <v/>
      </c>
      <c r="E1070" s="136" t="str">
        <f>IF(D1070&lt;&gt;"",VLOOKUP(ROW(E1069),Beräkningshjälp!AC$2:AH$1082,COLUMN(Beräkningshjälp!AF$2)-COLUMN(Beräkningshjälp!AC$2)+1,FALSE),"")</f>
        <v/>
      </c>
      <c r="F1070" s="352" t="str">
        <f t="shared" si="33"/>
        <v/>
      </c>
      <c r="G1070" s="2" t="str">
        <f>IF(D1070&lt;&gt;"",IF(VLOOKUP(VLOOKUP(E1070,Beräkningshjälp!O$2:U$60,7,FALSE),Artuppgifter!$I$11:$P$22,8,FALSE)=TRUE,"Medelvikter!!","ALLA"),"")</f>
        <v/>
      </c>
      <c r="H1070" s="2" t="str">
        <f>IF(D1070&lt;&gt;"",VLOOKUP(ROW(H1069),Beräkningshjälp!AC$2:AH$1082,COLUMN(Beräkningshjälp!AH$2)-COLUMN(Beräkningshjälp!AC$2)+1,FALSE),"")</f>
        <v/>
      </c>
      <c r="I1070" s="116" t="str">
        <f>IF(D1070&lt;&gt;"",VLOOKUP(ROW(E1069),Beräkningshjälp!AC$2:AI$1082,COLUMN(Beräkningshjälp!AI$2)-COLUMN(Beräkningshjälp!AC$2)+1,FALSE),"")</f>
        <v/>
      </c>
    </row>
    <row r="1071" spans="1:9" x14ac:dyDescent="0.25">
      <c r="A1071" s="2" t="str">
        <f t="shared" si="32"/>
        <v/>
      </c>
      <c r="B1071" s="136" t="str">
        <f>IF(D1071&lt;&gt;"",'DATA TILL SLU'!$J$3,"")</f>
        <v/>
      </c>
      <c r="C1071" s="146" t="str">
        <f>IF(D1071&lt;&gt;"",'DATA TILL SLU'!$K$3,"")</f>
        <v/>
      </c>
      <c r="D1071" s="2" t="str">
        <f>IF('DATA TILL SLU'!$D$7*1&lt;&gt;"",IF(COUNT(Beräkningshjälp!$AC$3:$AC$1082)&gt;=ROW(D1070),'DATA TILL SLU'!$D$7*1,""),"")</f>
        <v/>
      </c>
      <c r="E1071" s="136" t="str">
        <f>IF(D1071&lt;&gt;"",VLOOKUP(ROW(E1070),Beräkningshjälp!AC$2:AH$1082,COLUMN(Beräkningshjälp!AF$2)-COLUMN(Beräkningshjälp!AC$2)+1,FALSE),"")</f>
        <v/>
      </c>
      <c r="F1071" s="352" t="str">
        <f t="shared" si="33"/>
        <v/>
      </c>
      <c r="G1071" s="2" t="str">
        <f>IF(D1071&lt;&gt;"",IF(VLOOKUP(VLOOKUP(E1071,Beräkningshjälp!O$2:U$60,7,FALSE),Artuppgifter!$I$11:$P$22,8,FALSE)=TRUE,"Medelvikter!!","ALLA"),"")</f>
        <v/>
      </c>
      <c r="H1071" s="2" t="str">
        <f>IF(D1071&lt;&gt;"",VLOOKUP(ROW(H1070),Beräkningshjälp!AC$2:AH$1082,COLUMN(Beräkningshjälp!AH$2)-COLUMN(Beräkningshjälp!AC$2)+1,FALSE),"")</f>
        <v/>
      </c>
      <c r="I1071" s="116" t="str">
        <f>IF(D1071&lt;&gt;"",VLOOKUP(ROW(E1070),Beräkningshjälp!AC$2:AI$1082,COLUMN(Beräkningshjälp!AI$2)-COLUMN(Beräkningshjälp!AC$2)+1,FALSE),"")</f>
        <v/>
      </c>
    </row>
    <row r="1072" spans="1:9" x14ac:dyDescent="0.25">
      <c r="A1072" s="2" t="str">
        <f t="shared" si="32"/>
        <v/>
      </c>
      <c r="B1072" s="136" t="str">
        <f>IF(D1072&lt;&gt;"",'DATA TILL SLU'!$J$3,"")</f>
        <v/>
      </c>
      <c r="C1072" s="146" t="str">
        <f>IF(D1072&lt;&gt;"",'DATA TILL SLU'!$K$3,"")</f>
        <v/>
      </c>
      <c r="D1072" s="2" t="str">
        <f>IF('DATA TILL SLU'!$D$7*1&lt;&gt;"",IF(COUNT(Beräkningshjälp!$AC$3:$AC$1082)&gt;=ROW(D1071),'DATA TILL SLU'!$D$7*1,""),"")</f>
        <v/>
      </c>
      <c r="E1072" s="136" t="str">
        <f>IF(D1072&lt;&gt;"",VLOOKUP(ROW(E1071),Beräkningshjälp!AC$2:AH$1082,COLUMN(Beräkningshjälp!AF$2)-COLUMN(Beräkningshjälp!AC$2)+1,FALSE),"")</f>
        <v/>
      </c>
      <c r="F1072" s="352" t="str">
        <f t="shared" si="33"/>
        <v/>
      </c>
      <c r="G1072" s="2" t="str">
        <f>IF(D1072&lt;&gt;"",IF(VLOOKUP(VLOOKUP(E1072,Beräkningshjälp!O$2:U$60,7,FALSE),Artuppgifter!$I$11:$P$22,8,FALSE)=TRUE,"Medelvikter!!","ALLA"),"")</f>
        <v/>
      </c>
      <c r="H1072" s="2" t="str">
        <f>IF(D1072&lt;&gt;"",VLOOKUP(ROW(H1071),Beräkningshjälp!AC$2:AH$1082,COLUMN(Beräkningshjälp!AH$2)-COLUMN(Beräkningshjälp!AC$2)+1,FALSE),"")</f>
        <v/>
      </c>
      <c r="I1072" s="116" t="str">
        <f>IF(D1072&lt;&gt;"",VLOOKUP(ROW(E1071),Beräkningshjälp!AC$2:AI$1082,COLUMN(Beräkningshjälp!AI$2)-COLUMN(Beräkningshjälp!AC$2)+1,FALSE),"")</f>
        <v/>
      </c>
    </row>
    <row r="1073" spans="1:9" x14ac:dyDescent="0.25">
      <c r="A1073" s="2" t="str">
        <f t="shared" si="32"/>
        <v/>
      </c>
      <c r="B1073" s="136" t="str">
        <f>IF(D1073&lt;&gt;"",'DATA TILL SLU'!$J$3,"")</f>
        <v/>
      </c>
      <c r="C1073" s="146" t="str">
        <f>IF(D1073&lt;&gt;"",'DATA TILL SLU'!$K$3,"")</f>
        <v/>
      </c>
      <c r="D1073" s="2" t="str">
        <f>IF('DATA TILL SLU'!$D$7*1&lt;&gt;"",IF(COUNT(Beräkningshjälp!$AC$3:$AC$1082)&gt;=ROW(D1072),'DATA TILL SLU'!$D$7*1,""),"")</f>
        <v/>
      </c>
      <c r="E1073" s="136" t="str">
        <f>IF(D1073&lt;&gt;"",VLOOKUP(ROW(E1072),Beräkningshjälp!AC$2:AH$1082,COLUMN(Beräkningshjälp!AF$2)-COLUMN(Beräkningshjälp!AC$2)+1,FALSE),"")</f>
        <v/>
      </c>
      <c r="F1073" s="352" t="str">
        <f t="shared" si="33"/>
        <v/>
      </c>
      <c r="G1073" s="2" t="str">
        <f>IF(D1073&lt;&gt;"",IF(VLOOKUP(VLOOKUP(E1073,Beräkningshjälp!O$2:U$60,7,FALSE),Artuppgifter!$I$11:$P$22,8,FALSE)=TRUE,"Medelvikter!!","ALLA"),"")</f>
        <v/>
      </c>
      <c r="H1073" s="2" t="str">
        <f>IF(D1073&lt;&gt;"",VLOOKUP(ROW(H1072),Beräkningshjälp!AC$2:AH$1082,COLUMN(Beräkningshjälp!AH$2)-COLUMN(Beräkningshjälp!AC$2)+1,FALSE),"")</f>
        <v/>
      </c>
      <c r="I1073" s="116" t="str">
        <f>IF(D1073&lt;&gt;"",VLOOKUP(ROW(E1072),Beräkningshjälp!AC$2:AI$1082,COLUMN(Beräkningshjälp!AI$2)-COLUMN(Beräkningshjälp!AC$2)+1,FALSE),"")</f>
        <v/>
      </c>
    </row>
    <row r="1074" spans="1:9" x14ac:dyDescent="0.25">
      <c r="A1074" s="2" t="str">
        <f t="shared" si="32"/>
        <v/>
      </c>
      <c r="B1074" s="136" t="str">
        <f>IF(D1074&lt;&gt;"",'DATA TILL SLU'!$J$3,"")</f>
        <v/>
      </c>
      <c r="C1074" s="146" t="str">
        <f>IF(D1074&lt;&gt;"",'DATA TILL SLU'!$K$3,"")</f>
        <v/>
      </c>
      <c r="D1074" s="2" t="str">
        <f>IF('DATA TILL SLU'!$D$7*1&lt;&gt;"",IF(COUNT(Beräkningshjälp!$AC$3:$AC$1082)&gt;=ROW(D1073),'DATA TILL SLU'!$D$7*1,""),"")</f>
        <v/>
      </c>
      <c r="E1074" s="136" t="str">
        <f>IF(D1074&lt;&gt;"",VLOOKUP(ROW(E1073),Beräkningshjälp!AC$2:AH$1082,COLUMN(Beräkningshjälp!AF$2)-COLUMN(Beräkningshjälp!AC$2)+1,FALSE),"")</f>
        <v/>
      </c>
      <c r="F1074" s="352" t="str">
        <f t="shared" si="33"/>
        <v/>
      </c>
      <c r="G1074" s="2" t="str">
        <f>IF(D1074&lt;&gt;"",IF(VLOOKUP(VLOOKUP(E1074,Beräkningshjälp!O$2:U$60,7,FALSE),Artuppgifter!$I$11:$P$22,8,FALSE)=TRUE,"Medelvikter!!","ALLA"),"")</f>
        <v/>
      </c>
      <c r="H1074" s="2" t="str">
        <f>IF(D1074&lt;&gt;"",VLOOKUP(ROW(H1073),Beräkningshjälp!AC$2:AH$1082,COLUMN(Beräkningshjälp!AH$2)-COLUMN(Beräkningshjälp!AC$2)+1,FALSE),"")</f>
        <v/>
      </c>
      <c r="I1074" s="116" t="str">
        <f>IF(D1074&lt;&gt;"",VLOOKUP(ROW(E1073),Beräkningshjälp!AC$2:AI$1082,COLUMN(Beräkningshjälp!AI$2)-COLUMN(Beräkningshjälp!AC$2)+1,FALSE),"")</f>
        <v/>
      </c>
    </row>
    <row r="1075" spans="1:9" x14ac:dyDescent="0.25">
      <c r="A1075" s="2" t="str">
        <f t="shared" si="32"/>
        <v/>
      </c>
      <c r="B1075" s="136" t="str">
        <f>IF(D1075&lt;&gt;"",'DATA TILL SLU'!$J$3,"")</f>
        <v/>
      </c>
      <c r="C1075" s="146" t="str">
        <f>IF(D1075&lt;&gt;"",'DATA TILL SLU'!$K$3,"")</f>
        <v/>
      </c>
      <c r="D1075" s="2" t="str">
        <f>IF('DATA TILL SLU'!$D$7*1&lt;&gt;"",IF(COUNT(Beräkningshjälp!$AC$3:$AC$1082)&gt;=ROW(D1074),'DATA TILL SLU'!$D$7*1,""),"")</f>
        <v/>
      </c>
      <c r="E1075" s="136" t="str">
        <f>IF(D1075&lt;&gt;"",VLOOKUP(ROW(E1074),Beräkningshjälp!AC$2:AH$1082,COLUMN(Beräkningshjälp!AF$2)-COLUMN(Beräkningshjälp!AC$2)+1,FALSE),"")</f>
        <v/>
      </c>
      <c r="F1075" s="352" t="str">
        <f t="shared" si="33"/>
        <v/>
      </c>
      <c r="G1075" s="2" t="str">
        <f>IF(D1075&lt;&gt;"",IF(VLOOKUP(VLOOKUP(E1075,Beräkningshjälp!O$2:U$60,7,FALSE),Artuppgifter!$I$11:$P$22,8,FALSE)=TRUE,"Medelvikter!!","ALLA"),"")</f>
        <v/>
      </c>
      <c r="H1075" s="2" t="str">
        <f>IF(D1075&lt;&gt;"",VLOOKUP(ROW(H1074),Beräkningshjälp!AC$2:AH$1082,COLUMN(Beräkningshjälp!AH$2)-COLUMN(Beräkningshjälp!AC$2)+1,FALSE),"")</f>
        <v/>
      </c>
      <c r="I1075" s="116" t="str">
        <f>IF(D1075&lt;&gt;"",VLOOKUP(ROW(E1074),Beräkningshjälp!AC$2:AI$1082,COLUMN(Beräkningshjälp!AI$2)-COLUMN(Beräkningshjälp!AC$2)+1,FALSE),"")</f>
        <v/>
      </c>
    </row>
    <row r="1076" spans="1:9" x14ac:dyDescent="0.25">
      <c r="A1076" s="2" t="str">
        <f t="shared" si="32"/>
        <v/>
      </c>
      <c r="B1076" s="136" t="str">
        <f>IF(D1076&lt;&gt;"",'DATA TILL SLU'!$J$3,"")</f>
        <v/>
      </c>
      <c r="C1076" s="146" t="str">
        <f>IF(D1076&lt;&gt;"",'DATA TILL SLU'!$K$3,"")</f>
        <v/>
      </c>
      <c r="D1076" s="2" t="str">
        <f>IF('DATA TILL SLU'!$D$7*1&lt;&gt;"",IF(COUNT(Beräkningshjälp!$AC$3:$AC$1082)&gt;=ROW(D1075),'DATA TILL SLU'!$D$7*1,""),"")</f>
        <v/>
      </c>
      <c r="E1076" s="136" t="str">
        <f>IF(D1076&lt;&gt;"",VLOOKUP(ROW(E1075),Beräkningshjälp!AC$2:AH$1082,COLUMN(Beräkningshjälp!AF$2)-COLUMN(Beräkningshjälp!AC$2)+1,FALSE),"")</f>
        <v/>
      </c>
      <c r="F1076" s="352" t="str">
        <f t="shared" si="33"/>
        <v/>
      </c>
      <c r="G1076" s="2" t="str">
        <f>IF(D1076&lt;&gt;"",IF(VLOOKUP(VLOOKUP(E1076,Beräkningshjälp!O$2:U$60,7,FALSE),Artuppgifter!$I$11:$P$22,8,FALSE)=TRUE,"Medelvikter!!","ALLA"),"")</f>
        <v/>
      </c>
      <c r="H1076" s="2" t="str">
        <f>IF(D1076&lt;&gt;"",VLOOKUP(ROW(H1075),Beräkningshjälp!AC$2:AH$1082,COLUMN(Beräkningshjälp!AH$2)-COLUMN(Beräkningshjälp!AC$2)+1,FALSE),"")</f>
        <v/>
      </c>
      <c r="I1076" s="116" t="str">
        <f>IF(D1076&lt;&gt;"",VLOOKUP(ROW(E1075),Beräkningshjälp!AC$2:AI$1082,COLUMN(Beräkningshjälp!AI$2)-COLUMN(Beräkningshjälp!AC$2)+1,FALSE),"")</f>
        <v/>
      </c>
    </row>
    <row r="1077" spans="1:9" x14ac:dyDescent="0.25">
      <c r="A1077" s="2" t="str">
        <f t="shared" si="32"/>
        <v/>
      </c>
      <c r="B1077" s="136" t="str">
        <f>IF(D1077&lt;&gt;"",'DATA TILL SLU'!$J$3,"")</f>
        <v/>
      </c>
      <c r="C1077" s="146" t="str">
        <f>IF(D1077&lt;&gt;"",'DATA TILL SLU'!$K$3,"")</f>
        <v/>
      </c>
      <c r="D1077" s="2" t="str">
        <f>IF('DATA TILL SLU'!$D$7*1&lt;&gt;"",IF(COUNT(Beräkningshjälp!$AC$3:$AC$1082)&gt;=ROW(D1076),'DATA TILL SLU'!$D$7*1,""),"")</f>
        <v/>
      </c>
      <c r="E1077" s="136" t="str">
        <f>IF(D1077&lt;&gt;"",VLOOKUP(ROW(E1076),Beräkningshjälp!AC$2:AH$1082,COLUMN(Beräkningshjälp!AF$2)-COLUMN(Beräkningshjälp!AC$2)+1,FALSE),"")</f>
        <v/>
      </c>
      <c r="F1077" s="352" t="str">
        <f t="shared" si="33"/>
        <v/>
      </c>
      <c r="G1077" s="2" t="str">
        <f>IF(D1077&lt;&gt;"",IF(VLOOKUP(VLOOKUP(E1077,Beräkningshjälp!O$2:U$60,7,FALSE),Artuppgifter!$I$11:$P$22,8,FALSE)=TRUE,"Medelvikter!!","ALLA"),"")</f>
        <v/>
      </c>
      <c r="H1077" s="2" t="str">
        <f>IF(D1077&lt;&gt;"",VLOOKUP(ROW(H1076),Beräkningshjälp!AC$2:AH$1082,COLUMN(Beräkningshjälp!AH$2)-COLUMN(Beräkningshjälp!AC$2)+1,FALSE),"")</f>
        <v/>
      </c>
      <c r="I1077" s="116" t="str">
        <f>IF(D1077&lt;&gt;"",VLOOKUP(ROW(E1076),Beräkningshjälp!AC$2:AI$1082,COLUMN(Beräkningshjälp!AI$2)-COLUMN(Beräkningshjälp!AC$2)+1,FALSE),"")</f>
        <v/>
      </c>
    </row>
    <row r="1078" spans="1:9" x14ac:dyDescent="0.25">
      <c r="A1078" s="2" t="str">
        <f t="shared" si="32"/>
        <v/>
      </c>
      <c r="B1078" s="136" t="str">
        <f>IF(D1078&lt;&gt;"",'DATA TILL SLU'!$J$3,"")</f>
        <v/>
      </c>
      <c r="C1078" s="146" t="str">
        <f>IF(D1078&lt;&gt;"",'DATA TILL SLU'!$K$3,"")</f>
        <v/>
      </c>
      <c r="D1078" s="2" t="str">
        <f>IF('DATA TILL SLU'!$D$7*1&lt;&gt;"",IF(COUNT(Beräkningshjälp!$AC$3:$AC$1082)&gt;=ROW(D1077),'DATA TILL SLU'!$D$7*1,""),"")</f>
        <v/>
      </c>
      <c r="E1078" s="136" t="str">
        <f>IF(D1078&lt;&gt;"",VLOOKUP(ROW(E1077),Beräkningshjälp!AC$2:AH$1082,COLUMN(Beräkningshjälp!AF$2)-COLUMN(Beräkningshjälp!AC$2)+1,FALSE),"")</f>
        <v/>
      </c>
      <c r="F1078" s="352" t="str">
        <f t="shared" si="33"/>
        <v/>
      </c>
      <c r="G1078" s="2" t="str">
        <f>IF(D1078&lt;&gt;"",IF(VLOOKUP(VLOOKUP(E1078,Beräkningshjälp!O$2:U$60,7,FALSE),Artuppgifter!$I$11:$P$22,8,FALSE)=TRUE,"Medelvikter!!","ALLA"),"")</f>
        <v/>
      </c>
      <c r="H1078" s="2" t="str">
        <f>IF(D1078&lt;&gt;"",VLOOKUP(ROW(H1077),Beräkningshjälp!AC$2:AH$1082,COLUMN(Beräkningshjälp!AH$2)-COLUMN(Beräkningshjälp!AC$2)+1,FALSE),"")</f>
        <v/>
      </c>
      <c r="I1078" s="116" t="str">
        <f>IF(D1078&lt;&gt;"",VLOOKUP(ROW(E1077),Beräkningshjälp!AC$2:AI$1082,COLUMN(Beräkningshjälp!AI$2)-COLUMN(Beräkningshjälp!AC$2)+1,FALSE),"")</f>
        <v/>
      </c>
    </row>
    <row r="1079" spans="1:9" x14ac:dyDescent="0.25">
      <c r="A1079" s="2" t="str">
        <f t="shared" si="32"/>
        <v/>
      </c>
      <c r="B1079" s="136" t="str">
        <f>IF(D1079&lt;&gt;"",'DATA TILL SLU'!$J$3,"")</f>
        <v/>
      </c>
      <c r="C1079" s="146" t="str">
        <f>IF(D1079&lt;&gt;"",'DATA TILL SLU'!$K$3,"")</f>
        <v/>
      </c>
      <c r="D1079" s="2" t="str">
        <f>IF('DATA TILL SLU'!$D$7*1&lt;&gt;"",IF(COUNT(Beräkningshjälp!$AC$3:$AC$1082)&gt;=ROW(D1078),'DATA TILL SLU'!$D$7*1,""),"")</f>
        <v/>
      </c>
      <c r="E1079" s="136" t="str">
        <f>IF(D1079&lt;&gt;"",VLOOKUP(ROW(E1078),Beräkningshjälp!AC$2:AH$1082,COLUMN(Beräkningshjälp!AF$2)-COLUMN(Beräkningshjälp!AC$2)+1,FALSE),"")</f>
        <v/>
      </c>
      <c r="F1079" s="352" t="str">
        <f t="shared" si="33"/>
        <v/>
      </c>
      <c r="G1079" s="2" t="str">
        <f>IF(D1079&lt;&gt;"",IF(VLOOKUP(VLOOKUP(E1079,Beräkningshjälp!O$2:U$60,7,FALSE),Artuppgifter!$I$11:$P$22,8,FALSE)=TRUE,"Medelvikter!!","ALLA"),"")</f>
        <v/>
      </c>
      <c r="H1079" s="2" t="str">
        <f>IF(D1079&lt;&gt;"",VLOOKUP(ROW(H1078),Beräkningshjälp!AC$2:AH$1082,COLUMN(Beräkningshjälp!AH$2)-COLUMN(Beräkningshjälp!AC$2)+1,FALSE),"")</f>
        <v/>
      </c>
      <c r="I1079" s="116" t="str">
        <f>IF(D1079&lt;&gt;"",VLOOKUP(ROW(E1078),Beräkningshjälp!AC$2:AI$1082,COLUMN(Beräkningshjälp!AI$2)-COLUMN(Beräkningshjälp!AC$2)+1,FALSE),"")</f>
        <v/>
      </c>
    </row>
    <row r="1080" spans="1:9" x14ac:dyDescent="0.25">
      <c r="A1080" s="2" t="str">
        <f t="shared" si="32"/>
        <v/>
      </c>
      <c r="B1080" s="136" t="str">
        <f>IF(D1080&lt;&gt;"",'DATA TILL SLU'!$J$3,"")</f>
        <v/>
      </c>
      <c r="C1080" s="146" t="str">
        <f>IF(D1080&lt;&gt;"",'DATA TILL SLU'!$K$3,"")</f>
        <v/>
      </c>
      <c r="D1080" s="2" t="str">
        <f>IF('DATA TILL SLU'!$D$7*1&lt;&gt;"",IF(COUNT(Beräkningshjälp!$AC$3:$AC$1082)&gt;=ROW(D1079),'DATA TILL SLU'!$D$7*1,""),"")</f>
        <v/>
      </c>
      <c r="E1080" s="136" t="str">
        <f>IF(D1080&lt;&gt;"",VLOOKUP(ROW(E1079),Beräkningshjälp!AC$2:AH$1082,COLUMN(Beräkningshjälp!AF$2)-COLUMN(Beräkningshjälp!AC$2)+1,FALSE),"")</f>
        <v/>
      </c>
      <c r="F1080" s="352" t="str">
        <f t="shared" si="33"/>
        <v/>
      </c>
      <c r="G1080" s="2" t="str">
        <f>IF(D1080&lt;&gt;"",IF(VLOOKUP(VLOOKUP(E1080,Beräkningshjälp!O$2:U$60,7,FALSE),Artuppgifter!$I$11:$P$22,8,FALSE)=TRUE,"Medelvikter!!","ALLA"),"")</f>
        <v/>
      </c>
      <c r="H1080" s="2" t="str">
        <f>IF(D1080&lt;&gt;"",VLOOKUP(ROW(H1079),Beräkningshjälp!AC$2:AH$1082,COLUMN(Beräkningshjälp!AH$2)-COLUMN(Beräkningshjälp!AC$2)+1,FALSE),"")</f>
        <v/>
      </c>
      <c r="I1080" s="116" t="str">
        <f>IF(D1080&lt;&gt;"",VLOOKUP(ROW(E1079),Beräkningshjälp!AC$2:AI$1082,COLUMN(Beräkningshjälp!AI$2)-COLUMN(Beräkningshjälp!AC$2)+1,FALSE),"")</f>
        <v/>
      </c>
    </row>
    <row r="1081" spans="1:9" x14ac:dyDescent="0.25">
      <c r="A1081" s="2" t="str">
        <f t="shared" si="32"/>
        <v/>
      </c>
      <c r="B1081" s="136" t="str">
        <f>IF(D1081&lt;&gt;"",'DATA TILL SLU'!$J$3,"")</f>
        <v/>
      </c>
      <c r="C1081" s="146" t="str">
        <f>IF(D1081&lt;&gt;"",'DATA TILL SLU'!$K$3,"")</f>
        <v/>
      </c>
      <c r="D1081" s="2" t="str">
        <f>IF('DATA TILL SLU'!$D$7*1&lt;&gt;"",IF(COUNT(Beräkningshjälp!$AC$3:$AC$1082)&gt;=ROW(D1080),'DATA TILL SLU'!$D$7*1,""),"")</f>
        <v/>
      </c>
      <c r="E1081" s="136" t="str">
        <f>IF(D1081&lt;&gt;"",VLOOKUP(ROW(E1080),Beräkningshjälp!AC$2:AH$1082,COLUMN(Beräkningshjälp!AF$2)-COLUMN(Beräkningshjälp!AC$2)+1,FALSE),"")</f>
        <v/>
      </c>
      <c r="F1081" s="352" t="str">
        <f t="shared" si="33"/>
        <v/>
      </c>
      <c r="G1081" s="2" t="str">
        <f>IF(D1081&lt;&gt;"",IF(VLOOKUP(VLOOKUP(E1081,Beräkningshjälp!O$2:U$60,7,FALSE),Artuppgifter!$I$11:$P$22,8,FALSE)=TRUE,"Medelvikter!!","ALLA"),"")</f>
        <v/>
      </c>
      <c r="H1081" s="2" t="str">
        <f>IF(D1081&lt;&gt;"",VLOOKUP(ROW(H1080),Beräkningshjälp!AC$2:AH$1082,COLUMN(Beräkningshjälp!AH$2)-COLUMN(Beräkningshjälp!AC$2)+1,FALSE),"")</f>
        <v/>
      </c>
      <c r="I1081" s="116" t="str">
        <f>IF(D1081&lt;&gt;"",VLOOKUP(ROW(E1080),Beräkningshjälp!AC$2:AI$1082,COLUMN(Beräkningshjälp!AI$2)-COLUMN(Beräkningshjälp!AC$2)+1,FALSE),"")</f>
        <v/>
      </c>
    </row>
    <row r="1082" spans="1:9" x14ac:dyDescent="0.25">
      <c r="A1082" s="2" t="str">
        <f t="shared" si="32"/>
        <v/>
      </c>
      <c r="B1082" s="136" t="str">
        <f>IF(D1082&lt;&gt;"",'DATA TILL SLU'!$J$3,"")</f>
        <v/>
      </c>
      <c r="C1082" s="146" t="str">
        <f>IF(D1082&lt;&gt;"",'DATA TILL SLU'!$K$3,"")</f>
        <v/>
      </c>
      <c r="D1082" s="2" t="str">
        <f>IF('DATA TILL SLU'!$D$7*1&lt;&gt;"",IF(COUNT(Beräkningshjälp!$AC$3:$AC$1082)&gt;=ROW(D1081),'DATA TILL SLU'!$D$7*1,""),"")</f>
        <v/>
      </c>
      <c r="E1082" s="136" t="str">
        <f>IF(D1082&lt;&gt;"",VLOOKUP(ROW(E1081),Beräkningshjälp!AC$2:AH$1082,COLUMN(Beräkningshjälp!AF$2)-COLUMN(Beräkningshjälp!AC$2)+1,FALSE),"")</f>
        <v/>
      </c>
      <c r="F1082" s="352" t="str">
        <f t="shared" si="33"/>
        <v/>
      </c>
      <c r="G1082" s="2" t="str">
        <f>IF(D1082&lt;&gt;"",IF(VLOOKUP(VLOOKUP(E1082,Beräkningshjälp!O$2:U$60,7,FALSE),Artuppgifter!$I$11:$P$22,8,FALSE)=TRUE,"Medelvikter!!","ALLA"),"")</f>
        <v/>
      </c>
      <c r="H1082" s="2" t="str">
        <f>IF(D1082&lt;&gt;"",VLOOKUP(ROW(H1081),Beräkningshjälp!AC$2:AH$1082,COLUMN(Beräkningshjälp!AH$2)-COLUMN(Beräkningshjälp!AC$2)+1,FALSE),"")</f>
        <v/>
      </c>
      <c r="I1082" s="116" t="str">
        <f>IF(D1082&lt;&gt;"",VLOOKUP(ROW(E1081),Beräkningshjälp!AC$2:AI$1082,COLUMN(Beräkningshjälp!AI$2)-COLUMN(Beräkningshjälp!AC$2)+1,FALSE),"")</f>
        <v/>
      </c>
    </row>
    <row r="1083" spans="1:9" x14ac:dyDescent="0.25">
      <c r="A1083" s="2" t="str">
        <f t="shared" si="32"/>
        <v/>
      </c>
      <c r="B1083" s="136" t="str">
        <f>IF(D1083&lt;&gt;"",'DATA TILL SLU'!$J$3,"")</f>
        <v/>
      </c>
      <c r="C1083" s="146" t="str">
        <f>IF(D1083&lt;&gt;"",'DATA TILL SLU'!$K$3,"")</f>
        <v/>
      </c>
      <c r="D1083" s="2" t="str">
        <f>IF('DATA TILL SLU'!$D$7*1&lt;&gt;"",IF(COUNT(Beräkningshjälp!$AC$3:$AC$1082)&gt;=ROW(D1082),'DATA TILL SLU'!$D$7*1,""),"")</f>
        <v/>
      </c>
      <c r="E1083" s="136" t="str">
        <f>IF(D1083&lt;&gt;"",VLOOKUP(ROW(E1082),Beräkningshjälp!AC$2:AH$1082,COLUMN(Beräkningshjälp!AF$2)-COLUMN(Beräkningshjälp!AC$2)+1,FALSE),"")</f>
        <v/>
      </c>
      <c r="F1083" s="352" t="str">
        <f t="shared" si="33"/>
        <v/>
      </c>
      <c r="G1083" s="2" t="str">
        <f>IF(D1083&lt;&gt;"",IF(VLOOKUP(VLOOKUP(E1083,Beräkningshjälp!O$2:U$60,7,FALSE),Artuppgifter!$I$11:$P$22,8,FALSE)=TRUE,"Medelvikter!!","ALLA"),"")</f>
        <v/>
      </c>
      <c r="H1083" s="2" t="str">
        <f>IF(D1083&lt;&gt;"",VLOOKUP(ROW(H1082),Beräkningshjälp!AC$2:AH$1082,COLUMN(Beräkningshjälp!AH$2)-COLUMN(Beräkningshjälp!AC$2)+1,FALSE),"")</f>
        <v/>
      </c>
      <c r="I1083" s="116" t="str">
        <f>IF(D1083&lt;&gt;"",VLOOKUP(ROW(E1082),Beräkningshjälp!AC$2:AI$1082,COLUMN(Beräkningshjälp!AI$2)-COLUMN(Beräkningshjälp!AC$2)+1,FALSE),"")</f>
        <v/>
      </c>
    </row>
    <row r="1084" spans="1:9" x14ac:dyDescent="0.25">
      <c r="A1084" s="2" t="str">
        <f t="shared" si="32"/>
        <v/>
      </c>
      <c r="B1084" s="136" t="str">
        <f>IF(D1084&lt;&gt;"",'DATA TILL SLU'!$J$3,"")</f>
        <v/>
      </c>
      <c r="C1084" s="146" t="str">
        <f>IF(D1084&lt;&gt;"",'DATA TILL SLU'!$K$3,"")</f>
        <v/>
      </c>
      <c r="D1084" s="2" t="str">
        <f>IF('DATA TILL SLU'!$D$7*1&lt;&gt;"",IF(COUNT(Beräkningshjälp!$AC$3:$AC$1082)&gt;=ROW(D1083),'DATA TILL SLU'!$D$7*1,""),"")</f>
        <v/>
      </c>
      <c r="E1084" s="136" t="str">
        <f>IF(D1084&lt;&gt;"",VLOOKUP(ROW(E1083),Beräkningshjälp!AC$2:AH$1082,COLUMN(Beräkningshjälp!AF$2)-COLUMN(Beräkningshjälp!AC$2)+1,FALSE),"")</f>
        <v/>
      </c>
      <c r="F1084" s="352" t="str">
        <f t="shared" si="33"/>
        <v/>
      </c>
      <c r="G1084" s="2" t="str">
        <f>IF(D1084&lt;&gt;"",IF(VLOOKUP(VLOOKUP(E1084,Beräkningshjälp!O$2:U$60,7,FALSE),Artuppgifter!$I$11:$P$22,8,FALSE)=TRUE,"Medelvikter!!","ALLA"),"")</f>
        <v/>
      </c>
      <c r="H1084" s="2" t="str">
        <f>IF(D1084&lt;&gt;"",VLOOKUP(ROW(H1083),Beräkningshjälp!AC$2:AH$1082,COLUMN(Beräkningshjälp!AH$2)-COLUMN(Beräkningshjälp!AC$2)+1,FALSE),"")</f>
        <v/>
      </c>
      <c r="I1084" s="116" t="str">
        <f>IF(D1084&lt;&gt;"",VLOOKUP(ROW(E1083),Beräkningshjälp!AC$2:AI$1082,COLUMN(Beräkningshjälp!AI$2)-COLUMN(Beräkningshjälp!AC$2)+1,FALSE),"")</f>
        <v/>
      </c>
    </row>
    <row r="1085" spans="1:9" x14ac:dyDescent="0.25">
      <c r="A1085" s="2" t="str">
        <f t="shared" si="32"/>
        <v/>
      </c>
      <c r="B1085" s="136" t="str">
        <f>IF(D1085&lt;&gt;"",'DATA TILL SLU'!$J$3,"")</f>
        <v/>
      </c>
      <c r="C1085" s="146" t="str">
        <f>IF(D1085&lt;&gt;"",'DATA TILL SLU'!$K$3,"")</f>
        <v/>
      </c>
      <c r="D1085" s="2" t="str">
        <f>IF('DATA TILL SLU'!$D$7*1&lt;&gt;"",IF(COUNT(Beräkningshjälp!$AC$3:$AC$1082)&gt;=ROW(D1084),'DATA TILL SLU'!$D$7*1,""),"")</f>
        <v/>
      </c>
      <c r="E1085" s="136" t="str">
        <f>IF(D1085&lt;&gt;"",VLOOKUP(ROW(E1084),Beräkningshjälp!AC$2:AH$1082,COLUMN(Beräkningshjälp!AF$2)-COLUMN(Beräkningshjälp!AC$2)+1,FALSE),"")</f>
        <v/>
      </c>
      <c r="F1085" s="352" t="str">
        <f t="shared" si="33"/>
        <v/>
      </c>
      <c r="G1085" s="2" t="str">
        <f>IF(D1085&lt;&gt;"",IF(VLOOKUP(VLOOKUP(E1085,Beräkningshjälp!O$2:U$60,7,FALSE),Artuppgifter!$I$11:$P$22,8,FALSE)=TRUE,"Medelvikter!!","ALLA"),"")</f>
        <v/>
      </c>
      <c r="H1085" s="2" t="str">
        <f>IF(D1085&lt;&gt;"",VLOOKUP(ROW(H1084),Beräkningshjälp!AC$2:AH$1082,COLUMN(Beräkningshjälp!AH$2)-COLUMN(Beräkningshjälp!AC$2)+1,FALSE),"")</f>
        <v/>
      </c>
      <c r="I1085" s="116" t="str">
        <f>IF(D1085&lt;&gt;"",VLOOKUP(ROW(E1084),Beräkningshjälp!AC$2:AI$1082,COLUMN(Beräkningshjälp!AI$2)-COLUMN(Beräkningshjälp!AC$2)+1,FALSE),"")</f>
        <v/>
      </c>
    </row>
    <row r="1086" spans="1:9" x14ac:dyDescent="0.25">
      <c r="A1086" s="2" t="str">
        <f t="shared" si="32"/>
        <v/>
      </c>
      <c r="B1086" s="136" t="str">
        <f>IF(D1086&lt;&gt;"",'DATA TILL SLU'!$J$3,"")</f>
        <v/>
      </c>
      <c r="C1086" s="146" t="str">
        <f>IF(D1086&lt;&gt;"",'DATA TILL SLU'!$K$3,"")</f>
        <v/>
      </c>
      <c r="D1086" s="2" t="str">
        <f>IF('DATA TILL SLU'!$D$7*1&lt;&gt;"",IF(COUNT(Beräkningshjälp!$AC$3:$AC$1082)&gt;=ROW(D1085),'DATA TILL SLU'!$D$7*1,""),"")</f>
        <v/>
      </c>
      <c r="E1086" s="136" t="str">
        <f>IF(D1086&lt;&gt;"",VLOOKUP(ROW(E1085),Beräkningshjälp!AC$2:AH$1082,COLUMN(Beräkningshjälp!AF$2)-COLUMN(Beräkningshjälp!AC$2)+1,FALSE),"")</f>
        <v/>
      </c>
      <c r="F1086" s="352" t="str">
        <f t="shared" si="33"/>
        <v/>
      </c>
      <c r="G1086" s="2" t="str">
        <f>IF(D1086&lt;&gt;"",IF(VLOOKUP(VLOOKUP(E1086,Beräkningshjälp!O$2:U$60,7,FALSE),Artuppgifter!$I$11:$P$22,8,FALSE)=TRUE,"Medelvikter!!","ALLA"),"")</f>
        <v/>
      </c>
      <c r="H1086" s="2" t="str">
        <f>IF(D1086&lt;&gt;"",VLOOKUP(ROW(H1085),Beräkningshjälp!AC$2:AH$1082,COLUMN(Beräkningshjälp!AH$2)-COLUMN(Beräkningshjälp!AC$2)+1,FALSE),"")</f>
        <v/>
      </c>
      <c r="I1086" s="116" t="str">
        <f>IF(D1086&lt;&gt;"",VLOOKUP(ROW(E1085),Beräkningshjälp!AC$2:AI$1082,COLUMN(Beräkningshjälp!AI$2)-COLUMN(Beräkningshjälp!AC$2)+1,FALSE),"")</f>
        <v/>
      </c>
    </row>
    <row r="1087" spans="1:9" x14ac:dyDescent="0.25">
      <c r="A1087" s="2" t="str">
        <f t="shared" si="32"/>
        <v/>
      </c>
      <c r="B1087" s="136" t="str">
        <f>IF(D1087&lt;&gt;"",'DATA TILL SLU'!$J$3,"")</f>
        <v/>
      </c>
      <c r="C1087" s="146" t="str">
        <f>IF(D1087&lt;&gt;"",'DATA TILL SLU'!$K$3,"")</f>
        <v/>
      </c>
      <c r="D1087" s="2" t="str">
        <f>IF('DATA TILL SLU'!$D$7*1&lt;&gt;"",IF(COUNT(Beräkningshjälp!$AC$3:$AC$1082)&gt;=ROW(D1086),'DATA TILL SLU'!$D$7*1,""),"")</f>
        <v/>
      </c>
      <c r="E1087" s="136" t="str">
        <f>IF(D1087&lt;&gt;"",VLOOKUP(ROW(E1086),Beräkningshjälp!AC$2:AH$1082,COLUMN(Beräkningshjälp!AF$2)-COLUMN(Beräkningshjälp!AC$2)+1,FALSE),"")</f>
        <v/>
      </c>
      <c r="F1087" s="352" t="str">
        <f t="shared" si="33"/>
        <v/>
      </c>
      <c r="G1087" s="2" t="str">
        <f>IF(D1087&lt;&gt;"",IF(VLOOKUP(VLOOKUP(E1087,Beräkningshjälp!O$2:U$60,7,FALSE),Artuppgifter!$I$11:$P$22,8,FALSE)=TRUE,"Medelvikter!!","ALLA"),"")</f>
        <v/>
      </c>
      <c r="H1087" s="2" t="str">
        <f>IF(D1087&lt;&gt;"",VLOOKUP(ROW(H1086),Beräkningshjälp!AC$2:AH$1082,COLUMN(Beräkningshjälp!AH$2)-COLUMN(Beräkningshjälp!AC$2)+1,FALSE),"")</f>
        <v/>
      </c>
      <c r="I1087" s="116" t="str">
        <f>IF(D1087&lt;&gt;"",VLOOKUP(ROW(E1086),Beräkningshjälp!AC$2:AI$1082,COLUMN(Beräkningshjälp!AI$2)-COLUMN(Beräkningshjälp!AC$2)+1,FALSE),"")</f>
        <v/>
      </c>
    </row>
    <row r="1088" spans="1:9" x14ac:dyDescent="0.25">
      <c r="A1088" s="2" t="str">
        <f t="shared" si="32"/>
        <v/>
      </c>
      <c r="B1088" s="136" t="str">
        <f>IF(D1088&lt;&gt;"",'DATA TILL SLU'!$J$3,"")</f>
        <v/>
      </c>
      <c r="C1088" s="146" t="str">
        <f>IF(D1088&lt;&gt;"",'DATA TILL SLU'!$K$3,"")</f>
        <v/>
      </c>
      <c r="D1088" s="2" t="str">
        <f>IF('DATA TILL SLU'!$D$7*1&lt;&gt;"",IF(COUNT(Beräkningshjälp!$AC$3:$AC$1082)&gt;=ROW(D1087),'DATA TILL SLU'!$D$7*1,""),"")</f>
        <v/>
      </c>
      <c r="E1088" s="136" t="str">
        <f>IF(D1088&lt;&gt;"",VLOOKUP(ROW(E1087),Beräkningshjälp!AC$2:AH$1082,COLUMN(Beräkningshjälp!AF$2)-COLUMN(Beräkningshjälp!AC$2)+1,FALSE),"")</f>
        <v/>
      </c>
      <c r="F1088" s="352" t="str">
        <f t="shared" si="33"/>
        <v/>
      </c>
      <c r="G1088" s="2" t="str">
        <f>IF(D1088&lt;&gt;"",IF(VLOOKUP(VLOOKUP(E1088,Beräkningshjälp!O$2:U$60,7,FALSE),Artuppgifter!$I$11:$P$22,8,FALSE)=TRUE,"Medelvikter!!","ALLA"),"")</f>
        <v/>
      </c>
      <c r="H1088" s="2" t="str">
        <f>IF(D1088&lt;&gt;"",VLOOKUP(ROW(H1087),Beräkningshjälp!AC$2:AH$1082,COLUMN(Beräkningshjälp!AH$2)-COLUMN(Beräkningshjälp!AC$2)+1,FALSE),"")</f>
        <v/>
      </c>
      <c r="I1088" s="116" t="str">
        <f>IF(D1088&lt;&gt;"",VLOOKUP(ROW(E1087),Beräkningshjälp!AC$2:AI$1082,COLUMN(Beräkningshjälp!AI$2)-COLUMN(Beräkningshjälp!AC$2)+1,FALSE),"")</f>
        <v/>
      </c>
    </row>
    <row r="1089" spans="1:9" x14ac:dyDescent="0.25">
      <c r="A1089" s="2" t="str">
        <f t="shared" si="32"/>
        <v/>
      </c>
      <c r="B1089" s="136" t="str">
        <f>IF(D1089&lt;&gt;"",'DATA TILL SLU'!$J$3,"")</f>
        <v/>
      </c>
      <c r="C1089" s="146" t="str">
        <f>IF(D1089&lt;&gt;"",'DATA TILL SLU'!$K$3,"")</f>
        <v/>
      </c>
      <c r="D1089" s="2" t="str">
        <f>IF('DATA TILL SLU'!$D$7*1&lt;&gt;"",IF(COUNT(Beräkningshjälp!$AC$3:$AC$1082)&gt;=ROW(D1088),'DATA TILL SLU'!$D$7*1,""),"")</f>
        <v/>
      </c>
      <c r="E1089" s="136" t="str">
        <f>IF(D1089&lt;&gt;"",VLOOKUP(ROW(E1088),Beräkningshjälp!AC$2:AH$1082,COLUMN(Beräkningshjälp!AF$2)-COLUMN(Beräkningshjälp!AC$2)+1,FALSE),"")</f>
        <v/>
      </c>
      <c r="F1089" s="352" t="str">
        <f t="shared" si="33"/>
        <v/>
      </c>
      <c r="G1089" s="2" t="str">
        <f>IF(D1089&lt;&gt;"",IF(VLOOKUP(VLOOKUP(E1089,Beräkningshjälp!O$2:U$60,7,FALSE),Artuppgifter!$I$11:$P$22,8,FALSE)=TRUE,"Medelvikter!!","ALLA"),"")</f>
        <v/>
      </c>
      <c r="H1089" s="2" t="str">
        <f>IF(D1089&lt;&gt;"",VLOOKUP(ROW(H1088),Beräkningshjälp!AC$2:AH$1082,COLUMN(Beräkningshjälp!AH$2)-COLUMN(Beräkningshjälp!AC$2)+1,FALSE),"")</f>
        <v/>
      </c>
      <c r="I1089" s="116" t="str">
        <f>IF(D1089&lt;&gt;"",VLOOKUP(ROW(E1088),Beräkningshjälp!AC$2:AI$1082,COLUMN(Beräkningshjälp!AI$2)-COLUMN(Beräkningshjälp!AC$2)+1,FALSE),"")</f>
        <v/>
      </c>
    </row>
    <row r="1090" spans="1:9" x14ac:dyDescent="0.25">
      <c r="A1090" s="2" t="str">
        <f t="shared" si="32"/>
        <v/>
      </c>
      <c r="B1090" s="136" t="str">
        <f>IF(D1090&lt;&gt;"",'DATA TILL SLU'!$J$3,"")</f>
        <v/>
      </c>
      <c r="C1090" s="146" t="str">
        <f>IF(D1090&lt;&gt;"",'DATA TILL SLU'!$K$3,"")</f>
        <v/>
      </c>
      <c r="D1090" s="2" t="str">
        <f>IF('DATA TILL SLU'!$D$7*1&lt;&gt;"",IF(COUNT(Beräkningshjälp!$AC$3:$AC$1082)&gt;=ROW(D1089),'DATA TILL SLU'!$D$7*1,""),"")</f>
        <v/>
      </c>
      <c r="E1090" s="136" t="str">
        <f>IF(D1090&lt;&gt;"",VLOOKUP(ROW(E1089),Beräkningshjälp!AC$2:AH$1082,COLUMN(Beräkningshjälp!AF$2)-COLUMN(Beräkningshjälp!AC$2)+1,FALSE),"")</f>
        <v/>
      </c>
      <c r="F1090" s="352" t="str">
        <f t="shared" si="33"/>
        <v/>
      </c>
      <c r="G1090" s="2" t="str">
        <f>IF(D1090&lt;&gt;"",IF(VLOOKUP(VLOOKUP(E1090,Beräkningshjälp!O$2:U$60,7,FALSE),Artuppgifter!$I$11:$P$22,8,FALSE)=TRUE,"Medelvikter!!","ALLA"),"")</f>
        <v/>
      </c>
      <c r="H1090" s="2" t="str">
        <f>IF(D1090&lt;&gt;"",VLOOKUP(ROW(H1089),Beräkningshjälp!AC$2:AH$1082,COLUMN(Beräkningshjälp!AH$2)-COLUMN(Beräkningshjälp!AC$2)+1,FALSE),"")</f>
        <v/>
      </c>
      <c r="I1090" s="116" t="str">
        <f>IF(D1090&lt;&gt;"",VLOOKUP(ROW(E1089),Beräkningshjälp!AC$2:AI$1082,COLUMN(Beräkningshjälp!AI$2)-COLUMN(Beräkningshjälp!AC$2)+1,FALSE),"")</f>
        <v/>
      </c>
    </row>
    <row r="1091" spans="1:9" x14ac:dyDescent="0.25">
      <c r="A1091" s="2" t="str">
        <f>IF(D1091&lt;&gt;"","LANGDVIKTER","")</f>
        <v/>
      </c>
      <c r="B1091" s="136" t="str">
        <f>IF(D1091&lt;&gt;"",'DATA TILL SLU'!$J$3,"")</f>
        <v/>
      </c>
      <c r="C1091" s="146" t="str">
        <f>IF(D1091&lt;&gt;"",'DATA TILL SLU'!$K$3,"")</f>
        <v/>
      </c>
      <c r="D1091" s="2" t="str">
        <f>IF('DATA TILL SLU'!$D$7*1&lt;&gt;"",IF(COUNT(Beräkningshjälp!$AC$3:$AC$1082)&gt;=ROW(D1090),'DATA TILL SLU'!$D$7*1,""),"")</f>
        <v/>
      </c>
      <c r="E1091" s="136" t="str">
        <f>IF(D1091&lt;&gt;"",VLOOKUP(ROW(E1090),Beräkningshjälp!AC$2:AH$1082,COLUMN(Beräkningshjälp!AF$2)-COLUMN(Beräkningshjälp!AC$2)+1,FALSE),"")</f>
        <v/>
      </c>
      <c r="F1091" s="352" t="str">
        <f>IF(D1091&lt;&gt;"","IND","")</f>
        <v/>
      </c>
      <c r="G1091" s="2" t="str">
        <f>IF(D1091&lt;&gt;"",IF(VLOOKUP(VLOOKUP(E1091,Beräkningshjälp!O$2:U$60,7,FALSE),Artuppgifter!$I$11:$P$22,8,FALSE)=TRUE,"Medelvikter!!","ALLA"),"")</f>
        <v/>
      </c>
      <c r="H1091" s="2" t="str">
        <f>IF(D1091&lt;&gt;"",VLOOKUP(ROW(H1090),Beräkningshjälp!AC$2:AH$1082,COLUMN(Beräkningshjälp!AH$2)-COLUMN(Beräkningshjälp!AC$2)+1,FALSE),"")</f>
        <v/>
      </c>
      <c r="I1091" s="116" t="str">
        <f>IF(D1091&lt;&gt;"",VLOOKUP(ROW(E1090),Beräkningshjälp!AC$2:AI$1082,COLUMN(Beräkningshjälp!AI$2)-COLUMN(Beräkningshjälp!AC$2)+1,FALSE),"")</f>
        <v/>
      </c>
    </row>
    <row r="1092" spans="1:9" x14ac:dyDescent="0.25">
      <c r="A1092" s="2" t="str">
        <f>IF(D1092&lt;&gt;"","LANGDVIKTER","")</f>
        <v/>
      </c>
      <c r="B1092" s="136" t="str">
        <f>IF(D1092&lt;&gt;"",'DATA TILL SLU'!$J$3,"")</f>
        <v/>
      </c>
      <c r="C1092" s="146" t="str">
        <f>IF(D1092&lt;&gt;"",'DATA TILL SLU'!$K$3,"")</f>
        <v/>
      </c>
      <c r="D1092" s="2" t="str">
        <f>IF('DATA TILL SLU'!$D$7*1&lt;&gt;"",IF(COUNT(Beräkningshjälp!$AC$3:$AC$1082)&gt;=ROW(D1091),'DATA TILL SLU'!$D$7*1,""),"")</f>
        <v/>
      </c>
      <c r="E1092" s="136" t="str">
        <f>IF(D1092&lt;&gt;"",VLOOKUP(ROW(E1091),Beräkningshjälp!AC$2:AH$1082,COLUMN(Beräkningshjälp!AF$2)-COLUMN(Beräkningshjälp!AC$2)+1,FALSE),"")</f>
        <v/>
      </c>
      <c r="F1092" s="352" t="str">
        <f>IF(D1092&lt;&gt;"","IND","")</f>
        <v/>
      </c>
      <c r="G1092" s="2" t="str">
        <f>IF(D1092&lt;&gt;"",IF(VLOOKUP(VLOOKUP(E1092,Beräkningshjälp!O$2:U$60,7,FALSE),Artuppgifter!$I$11:$P$22,8,FALSE)=TRUE,"Medelvikter!!","ALLA"),"")</f>
        <v/>
      </c>
      <c r="H1092" s="2" t="str">
        <f>IF(D1092&lt;&gt;"",VLOOKUP(ROW(H1091),Beräkningshjälp!AC$2:AH$1082,COLUMN(Beräkningshjälp!AH$2)-COLUMN(Beräkningshjälp!AC$2)+1,FALSE),"")</f>
        <v/>
      </c>
      <c r="I1092" s="116" t="str">
        <f>IF(D1092&lt;&gt;"",VLOOKUP(ROW(E1091),Beräkningshjälp!AC$2:AI$1082,COLUMN(Beräkningshjälp!AI$2)-COLUMN(Beräkningshjälp!AC$2)+1,FALSE),"")</f>
        <v/>
      </c>
    </row>
  </sheetData>
  <sheetProtection sheet="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1082"/>
  <sheetViews>
    <sheetView zoomScaleNormal="100" workbookViewId="0">
      <selection activeCell="AK2" sqref="AK2"/>
    </sheetView>
  </sheetViews>
  <sheetFormatPr defaultRowHeight="13.2" x14ac:dyDescent="0.25"/>
  <cols>
    <col min="1" max="1" width="22.33203125" customWidth="1"/>
    <col min="5" max="5" width="20.6640625" customWidth="1"/>
    <col min="6" max="6" width="20.44140625" hidden="1" customWidth="1"/>
    <col min="7" max="7" width="58.88671875" hidden="1" customWidth="1"/>
    <col min="8" max="8" width="22.88671875" hidden="1" customWidth="1"/>
    <col min="9" max="9" width="18.6640625" hidden="1" customWidth="1"/>
    <col min="10" max="10" width="18.6640625" style="203" hidden="1" customWidth="1"/>
    <col min="11" max="11" width="21.6640625" style="213" hidden="1" customWidth="1"/>
    <col min="12" max="12" width="21.6640625" style="203" hidden="1" customWidth="1"/>
    <col min="13" max="13" width="10.88671875" style="203" hidden="1" customWidth="1"/>
    <col min="14" max="14" width="21.6640625" style="203" hidden="1" customWidth="1"/>
    <col min="15" max="15" width="16.33203125" hidden="1" customWidth="1"/>
    <col min="16" max="16" width="6.6640625" hidden="1" customWidth="1"/>
    <col min="17" max="17" width="19.5546875" hidden="1" customWidth="1"/>
    <col min="18" max="18" width="8.44140625" hidden="1" customWidth="1"/>
    <col min="19" max="19" width="6.88671875" hidden="1" customWidth="1"/>
    <col min="20" max="21" width="18.44140625" hidden="1" customWidth="1"/>
    <col min="22" max="22" width="14.44140625" hidden="1" customWidth="1"/>
    <col min="23" max="23" width="54.33203125" hidden="1" customWidth="1"/>
    <col min="24" max="24" width="10.109375" hidden="1" customWidth="1"/>
    <col min="25" max="26" width="44.33203125" hidden="1" customWidth="1"/>
    <col min="27" max="27" width="9.109375" hidden="1" customWidth="1"/>
    <col min="28" max="28" width="8" style="2" hidden="1" customWidth="1"/>
    <col min="29" max="29" width="9.33203125" hidden="1" customWidth="1"/>
    <col min="30" max="30" width="5.33203125" hidden="1" customWidth="1"/>
    <col min="31" max="31" width="9" hidden="1" customWidth="1"/>
    <col min="32" max="32" width="4.6640625" hidden="1" customWidth="1"/>
    <col min="33" max="33" width="7.33203125" hidden="1" customWidth="1"/>
    <col min="34" max="34" width="6.6640625" hidden="1" customWidth="1"/>
    <col min="35" max="35" width="4.44140625" hidden="1" customWidth="1"/>
    <col min="36" max="36" width="9.109375" customWidth="1"/>
  </cols>
  <sheetData>
    <row r="1" spans="1:35" x14ac:dyDescent="0.25">
      <c r="A1" s="6" t="s">
        <v>898</v>
      </c>
      <c r="L1" s="203" t="s">
        <v>582</v>
      </c>
      <c r="M1" s="206" t="s">
        <v>75</v>
      </c>
      <c r="N1" s="100" t="s">
        <v>471</v>
      </c>
      <c r="O1" s="104" t="s">
        <v>581</v>
      </c>
      <c r="P1" s="212" t="s">
        <v>457</v>
      </c>
      <c r="Q1" s="206" t="s">
        <v>1987</v>
      </c>
      <c r="R1" s="118" t="s">
        <v>2045</v>
      </c>
      <c r="S1" s="118" t="s">
        <v>74</v>
      </c>
      <c r="T1" s="118" t="s">
        <v>37</v>
      </c>
      <c r="U1" s="118" t="s">
        <v>75</v>
      </c>
      <c r="V1" s="118" t="s">
        <v>1490</v>
      </c>
      <c r="W1" s="118" t="s">
        <v>1491</v>
      </c>
      <c r="Y1" s="398" t="s">
        <v>1528</v>
      </c>
      <c r="Z1" s="399" t="s">
        <v>1529</v>
      </c>
      <c r="AD1" s="353"/>
      <c r="AH1" s="485" t="str">
        <f>IF(COUNTIF(AH3:AH1082,"&gt;0")=0,"INGA",IF(COUNTIF(AH3:AH1082,"&gt;0")&lt;SUM(Artuppgifter!G27:G50)/2,"VISSA","ALLA"))</f>
        <v>INGA</v>
      </c>
    </row>
    <row r="2" spans="1:35" ht="16.2" thickBot="1" x14ac:dyDescent="0.3">
      <c r="A2" s="563" t="s">
        <v>73</v>
      </c>
      <c r="B2" s="564" t="s">
        <v>2106</v>
      </c>
      <c r="C2" s="564" t="s">
        <v>2107</v>
      </c>
      <c r="D2" s="564" t="s">
        <v>2108</v>
      </c>
      <c r="E2" s="565" t="s">
        <v>2063</v>
      </c>
      <c r="F2" s="131"/>
      <c r="K2" s="203" t="s">
        <v>582</v>
      </c>
      <c r="L2" s="493" t="str">
        <f>$N2</f>
        <v>ABBORRE</v>
      </c>
      <c r="M2" s="486" t="str">
        <f>IF(AND(COUNTIF('Antal &amp; Längder (vikter)'!$B$10:$T$141,N2)&gt;0,U2&lt;&gt;""),RANK(U2,U$2:U$60,1),IF(AND(Prot.Datum&lt;&gt;"",ProtokollLkoordX&lt;&gt;"",ProtokollLkoordY&lt;&gt;"",AND($N2="INGEN FÅNGST",SUM('Antal &amp; Längder (vikter)'!$R$11:$T$27)=0),SUM($AH$3:$AH$1082)=0),1,""))</f>
        <v/>
      </c>
      <c r="N2" s="1" t="s">
        <v>563</v>
      </c>
      <c r="O2" s="21" t="s">
        <v>609</v>
      </c>
      <c r="P2" s="528"/>
      <c r="Q2" s="529">
        <f>COUNTIF($AF$3:$AF$1082,O2)</f>
        <v>0</v>
      </c>
      <c r="R2" s="530">
        <f>IF(ROUND(ROW()/2,0)=INT(ROW()/2),DSUM('Antal &amp; Längder (vikter)'!$O$10:$T$27,'Antal &amp; Längder (vikter)'!$R$10,L1:L2)+DSUM('Antal &amp; Längder (vikter)'!$O$10:$T$27,'Antal &amp; Längder (vikter)'!$S$10,L1:L2)+DSUM('Antal &amp; Längder (vikter)'!$O$10:$T$27,'Antal &amp; Längder (vikter)'!$T$10,L1:L2),DSUM('Antal &amp; Längder (vikter)'!$O$10:$T$27,'Antal &amp; Längder (vikter)'!$R$10,K1:K2)+DSUM('Antal &amp; Längder (vikter)'!$O$10:$T$27,'Antal &amp; Längder (vikter)'!$S$10,K1:K2)+DSUM('Antal &amp; Längder (vikter)'!$O$10:$T$27,'Antal &amp; Längder (vikter)'!$T$10,K1:K2))</f>
        <v>0</v>
      </c>
      <c r="S2" s="531" t="str">
        <f>IF(AND(COUNTIF('Antal &amp; Längder (vikter)'!$B$10:$M$141,N2)+COUNTIF('Antal &amp; Längder (vikter)'!$P$11:$P$27,N2)&gt;0,SUM(Q2:R2)&gt;0),SUM(Q2:R2)+1000*IF(P2&lt;&gt;"",P2,0),"")</f>
        <v/>
      </c>
      <c r="T2" s="532" t="str">
        <f>IF(S2&lt;&gt;"",IF(AND(COUNTIF('Antal &amp; Längder (vikter)'!$B$10:$M$141,N2)+COUNTIF('Antal &amp; Längder (vikter)'!$P$11:$P$27,N2)&gt;0,COUNTIF(S$1:S1,S2)&gt;0),COUNTIF(S$1:S1,S2),0)+RANK(S2,S$2:S$60,0),"")</f>
        <v/>
      </c>
      <c r="U2" s="532" t="str">
        <f>IF(AND(COUNTIF('Antal &amp; Längder (vikter)'!$B$10:$M$141,N2)&gt;0,T2&lt;&gt;"",COUNTIF(T$2:T$60,T2)&gt;1),COUNTIF(T$1:T1,T2)+T2,IF(COUNTIF('Antal &amp; Längder (vikter)'!$B$10:$M$141,N2)+COUNTIF('Antal &amp; Längder (vikter)'!$P$11:$P$27,N2)&gt;0,T2,""))</f>
        <v/>
      </c>
      <c r="V2" s="101">
        <v>0.6</v>
      </c>
      <c r="W2" s="106">
        <v>1.6</v>
      </c>
      <c r="X2" s="119"/>
      <c r="Y2" s="400"/>
      <c r="Z2" s="401"/>
      <c r="AB2" s="12" t="s">
        <v>2027</v>
      </c>
      <c r="AC2" s="483" t="s">
        <v>2028</v>
      </c>
      <c r="AD2" s="427" t="s">
        <v>1983</v>
      </c>
      <c r="AE2" s="427" t="s">
        <v>471</v>
      </c>
      <c r="AF2" s="427" t="s">
        <v>1986</v>
      </c>
      <c r="AG2" s="118" t="s">
        <v>75</v>
      </c>
      <c r="AH2" s="427" t="s">
        <v>1984</v>
      </c>
      <c r="AI2" s="427" t="s">
        <v>1985</v>
      </c>
    </row>
    <row r="3" spans="1:35" x14ac:dyDescent="0.25">
      <c r="A3" s="566" t="s">
        <v>2064</v>
      </c>
      <c r="B3" s="567">
        <v>0.48</v>
      </c>
      <c r="C3" s="567">
        <v>0.73</v>
      </c>
      <c r="D3" s="567">
        <v>0.86</v>
      </c>
      <c r="E3" s="568"/>
      <c r="F3" s="1"/>
      <c r="I3" s="202" t="s">
        <v>93</v>
      </c>
      <c r="J3" s="332" t="s">
        <v>107</v>
      </c>
      <c r="K3" s="493" t="str">
        <f>$N3</f>
        <v>ASP</v>
      </c>
      <c r="L3" s="203" t="s">
        <v>582</v>
      </c>
      <c r="M3" s="486" t="str">
        <f>IF(AND(COUNTIF('Antal &amp; Längder (vikter)'!$B$10:$T$141,N3)&gt;0,U3&lt;&gt;""),RANK(U3,U$2:U$60,1),IF(AND(Prot.Datum&lt;&gt;"",ProtokollLkoordX&lt;&gt;"",ProtokollLkoordY&lt;&gt;"",AND($N3="INGEN FÅNGST",SUM('Antal &amp; Längder (vikter)'!$R$11:$T$27)=0),SUM($AH$3:$AH$1082)=0),1,""))</f>
        <v/>
      </c>
      <c r="N3" s="1" t="s">
        <v>70</v>
      </c>
      <c r="O3" s="21" t="s">
        <v>70</v>
      </c>
      <c r="P3" s="99"/>
      <c r="Q3" s="533">
        <f t="shared" ref="Q3:Q23" si="0">COUNTIF($AF$3:$AF$1082,O3)</f>
        <v>0</v>
      </c>
      <c r="R3" s="534">
        <f>IF(ROUND(ROW()/2,0)=INT(ROW()/2),DSUM('Antal &amp; Längder (vikter)'!$O$10:$T$27,'Antal &amp; Längder (vikter)'!$R$10,L2:L3)+DSUM('Antal &amp; Längder (vikter)'!$O$10:$T$27,'Antal &amp; Längder (vikter)'!$S$10,L2:L3)+DSUM('Antal &amp; Längder (vikter)'!$O$10:$T$27,'Antal &amp; Längder (vikter)'!$T$10,L2:L3),DSUM('Antal &amp; Längder (vikter)'!$O$10:$T$27,'Antal &amp; Längder (vikter)'!$R$10,K2:K3)+DSUM('Antal &amp; Längder (vikter)'!$O$10:$T$27,'Antal &amp; Längder (vikter)'!$S$10,K2:K3)+DSUM('Antal &amp; Längder (vikter)'!$O$10:$T$27,'Antal &amp; Längder (vikter)'!$T$10,K2:K3))</f>
        <v>0</v>
      </c>
      <c r="S3" s="535" t="str">
        <f>IF(AND(COUNTIF('Antal &amp; Längder (vikter)'!$B$10:$M$141,N3)+COUNTIF('Antal &amp; Längder (vikter)'!$P$11:$P$27,N3)&gt;0,SUM(Q3:R3)&gt;0),SUM(Q3:R3)+1000*IF(P3&lt;&gt;"",P3,0),"")</f>
        <v/>
      </c>
      <c r="T3" s="536" t="str">
        <f>IF(S3&lt;&gt;"",IF(AND(COUNTIF('Antal &amp; Längder (vikter)'!$B$10:$M$141,N3)+COUNTIF('Antal &amp; Längder (vikter)'!$P$11:$P$27,N3)&gt;0,COUNTIF(S$1:S2,S3)&gt;0),COUNTIF(S$1:S2,S3),0)+RANK(S3,S$2:S$60,0),"")</f>
        <v/>
      </c>
      <c r="U3" s="536" t="str">
        <f>IF(AND(COUNTIF('Antal &amp; Längder (vikter)'!$B$10:$M$141,N3)&gt;0,T3&lt;&gt;"",COUNTIF(T$2:T$60,T3)&gt;1),COUNTIF(T$1:T2,T3)+T3,IF(COUNTIF('Antal &amp; Längder (vikter)'!$B$10:$M$141,N3)+COUNTIF('Antal &amp; Längder (vikter)'!$P$11:$P$27,N3)&gt;0,T3,""))</f>
        <v/>
      </c>
      <c r="V3" s="1">
        <v>0.6</v>
      </c>
      <c r="W3" s="21">
        <v>1.4</v>
      </c>
      <c r="X3" s="119"/>
      <c r="Y3" s="574" t="s">
        <v>2109</v>
      </c>
      <c r="Z3" s="401" t="s">
        <v>2110</v>
      </c>
      <c r="AB3" s="473" t="str">
        <f>IF(AND(ISNUMBER(AH3),AH3&gt;0),COUNTIF(F$38:F$49,"&gt;0")*10+11,"")</f>
        <v/>
      </c>
      <c r="AC3" s="433" t="str">
        <f>IF(AND(AH3&lt;&gt;"",AG3&lt;&gt;"",AI3&gt;0,AH3&gt;0),MAX(AC$2:AC2)+1,"XX")</f>
        <v>XX</v>
      </c>
      <c r="AD3" s="428" t="str">
        <f>IF('Antal &amp; Längder (vikter)'!C8&lt;&gt;"",'Antal &amp; Längder (vikter)'!C8,"XX")</f>
        <v>XX</v>
      </c>
      <c r="AE3" s="436" t="str">
        <f>IF(AND('Antal &amp; Längder (vikter)'!B$10&lt;&gt;"",ISNUMBER($AH3)),'Antal &amp; Längder (vikter)'!B$10,"")</f>
        <v/>
      </c>
      <c r="AF3" s="425" t="str">
        <f t="shared" ref="AF3:AF66" si="1">IF(AND(ISNUMBER(AH3),AE3&lt;&gt;""),VLOOKUP(AE3,$N$2:$O$60,2,FALSE),"")</f>
        <v/>
      </c>
      <c r="AG3" s="426" t="str">
        <f t="shared" ref="AG3:AG66" si="2">IF(AF3&lt;&gt;"",VLOOKUP(AF3,O$2:U$60,7,FALSE),"")</f>
        <v/>
      </c>
      <c r="AH3" s="407" t="str">
        <f>IF('Antal &amp; Längder (vikter)'!B12&lt;&gt;"",'Antal &amp; Längder (vikter)'!B12,"XX")</f>
        <v>XX</v>
      </c>
      <c r="AI3" s="435">
        <f>IF('Antal &amp; Längder (vikter)'!C$11="Vikt (g)",'Antal &amp; Längder (vikter)'!C12,-9)</f>
        <v>-9</v>
      </c>
    </row>
    <row r="4" spans="1:35" x14ac:dyDescent="0.25">
      <c r="A4" s="569" t="s">
        <v>2065</v>
      </c>
      <c r="B4" s="570">
        <v>0.55000000000000004</v>
      </c>
      <c r="C4" s="570">
        <v>0.8</v>
      </c>
      <c r="D4" s="570">
        <v>0.91</v>
      </c>
      <c r="E4" s="571"/>
      <c r="F4" s="1"/>
      <c r="I4" s="646"/>
      <c r="J4" s="213" t="s">
        <v>103</v>
      </c>
      <c r="K4" s="203" t="s">
        <v>582</v>
      </c>
      <c r="L4" s="493" t="str">
        <f>$N4</f>
        <v>BENLÖJA</v>
      </c>
      <c r="M4" s="486" t="str">
        <f>IF(AND(COUNTIF('Antal &amp; Längder (vikter)'!$B$10:$T$141,N4)&gt;0,U4&lt;&gt;""),RANK(U4,U$2:U$60,1),IF(AND(Prot.Datum&lt;&gt;"",ProtokollLkoordX&lt;&gt;"",ProtokollLkoordY&lt;&gt;"",AND($N4="INGEN FÅNGST",SUM('Antal &amp; Längder (vikter)'!$R$11:$T$27)=0),SUM($AH$3:$AH$1082)=0),1,""))</f>
        <v/>
      </c>
      <c r="N4" s="1" t="s">
        <v>564</v>
      </c>
      <c r="O4" s="21" t="s">
        <v>610</v>
      </c>
      <c r="P4" s="99"/>
      <c r="Q4" s="533">
        <f t="shared" si="0"/>
        <v>0</v>
      </c>
      <c r="R4" s="534">
        <f>IF(ROUND(ROW()/2,0)=INT(ROW()/2),DSUM('Antal &amp; Längder (vikter)'!$O$10:$T$27,'Antal &amp; Längder (vikter)'!$R$10,L3:L4)+DSUM('Antal &amp; Längder (vikter)'!$O$10:$T$27,'Antal &amp; Längder (vikter)'!$S$10,L3:L4)+DSUM('Antal &amp; Längder (vikter)'!$O$10:$T$27,'Antal &amp; Längder (vikter)'!$T$10,L3:L4),DSUM('Antal &amp; Längder (vikter)'!$O$10:$T$27,'Antal &amp; Längder (vikter)'!$R$10,K3:K4)+DSUM('Antal &amp; Längder (vikter)'!$O$10:$T$27,'Antal &amp; Längder (vikter)'!$S$10,K3:K4)+DSUM('Antal &amp; Längder (vikter)'!$O$10:$T$27,'Antal &amp; Längder (vikter)'!$T$10,K3:K4))</f>
        <v>0</v>
      </c>
      <c r="S4" s="535" t="str">
        <f>IF(AND(COUNTIF('Antal &amp; Längder (vikter)'!$B$10:$M$141,N4)+COUNTIF('Antal &amp; Längder (vikter)'!$P$11:$P$27,N4)&gt;0,SUM(Q4:R4)&gt;0),SUM(Q4:R4)+1000*IF(P4&lt;&gt;"",P4,0),"")</f>
        <v/>
      </c>
      <c r="T4" s="536" t="str">
        <f>IF(S4&lt;&gt;"",IF(AND(COUNTIF('Antal &amp; Längder (vikter)'!$B$10:$M$141,N4)+COUNTIF('Antal &amp; Längder (vikter)'!$P$11:$P$27,N4)&gt;0,COUNTIF(S$1:S3,S4)&gt;0),COUNTIF(S$1:S3,S4),0)+RANK(S4,S$2:S$60,0),"")</f>
        <v/>
      </c>
      <c r="U4" s="536" t="str">
        <f>IF(AND(COUNTIF('Antal &amp; Längder (vikter)'!$B$10:$M$141,N4)&gt;0,T4&lt;&gt;"",COUNTIF(T$2:T$60,T4)&gt;1),COUNTIF(T$1:T3,T4)+T4,IF(COUNTIF('Antal &amp; Längder (vikter)'!$B$10:$M$141,N4)+COUNTIF('Antal &amp; Längder (vikter)'!$P$11:$P$27,N4)&gt;0,T4,""))</f>
        <v/>
      </c>
      <c r="V4" s="1">
        <v>0.4</v>
      </c>
      <c r="W4" s="21">
        <v>1.2</v>
      </c>
      <c r="X4" s="119"/>
      <c r="Y4" s="574" t="s">
        <v>1541</v>
      </c>
      <c r="Z4" s="401" t="s">
        <v>1542</v>
      </c>
      <c r="AB4" s="476" t="str">
        <f>IF(COUNT(AB3:AB3)&gt;0,MAX(AB3:AB3)+1,"")</f>
        <v/>
      </c>
      <c r="AC4" s="433" t="str">
        <f>IF(AND(AH4&lt;&gt;"",AG4&lt;&gt;"",AI4&gt;0,AH4&gt;0),MAX(AC$2:AC3)+1,"XX")</f>
        <v>XX</v>
      </c>
      <c r="AD4" s="428" t="str">
        <f>IF('Antal &amp; Längder (vikter)'!C8&lt;&gt;"",'Antal &amp; Längder (vikter)'!C8,"XX")</f>
        <v>XX</v>
      </c>
      <c r="AE4" s="405" t="str">
        <f>IF(AND('Antal &amp; Längder (vikter)'!B$10&lt;&gt;"",ISNUMBER($AH4)),'Antal &amp; Längder (vikter)'!B$10,"")</f>
        <v/>
      </c>
      <c r="AF4" s="425" t="str">
        <f t="shared" si="1"/>
        <v/>
      </c>
      <c r="AG4" s="426" t="str">
        <f t="shared" si="2"/>
        <v/>
      </c>
      <c r="AH4" s="407" t="str">
        <f>IF('Antal &amp; Längder (vikter)'!B13&lt;&gt;"",'Antal &amp; Längder (vikter)'!B13,"XX")</f>
        <v>XX</v>
      </c>
      <c r="AI4" s="436">
        <f>IF('Antal &amp; Längder (vikter)'!C$11="Vikt (g)",'Antal &amp; Längder (vikter)'!C13,-9)</f>
        <v>-9</v>
      </c>
    </row>
    <row r="5" spans="1:35" x14ac:dyDescent="0.25">
      <c r="A5" s="569" t="s">
        <v>2066</v>
      </c>
      <c r="B5" s="570">
        <v>0.45</v>
      </c>
      <c r="C5" s="570">
        <v>0.7</v>
      </c>
      <c r="D5" s="570">
        <v>0.83</v>
      </c>
      <c r="E5" s="571"/>
      <c r="F5" s="1"/>
      <c r="I5" s="646" t="s">
        <v>108</v>
      </c>
      <c r="J5" s="213" t="s">
        <v>365</v>
      </c>
      <c r="K5" s="493" t="str">
        <f>$N5</f>
        <v>BERGSIMPA</v>
      </c>
      <c r="L5" s="203" t="s">
        <v>582</v>
      </c>
      <c r="M5" s="486" t="str">
        <f>IF(AND(COUNTIF('Antal &amp; Längder (vikter)'!$B$10:$T$141,N5)&gt;0,U5&lt;&gt;""),RANK(U5,U$2:U$60,1),IF(AND(Prot.Datum&lt;&gt;"",ProtokollLkoordX&lt;&gt;"",ProtokollLkoordY&lt;&gt;"",AND($N5="INGEN FÅNGST",SUM('Antal &amp; Längder (vikter)'!$R$11:$T$27)=0),SUM($AH$3:$AH$1082)=0),1,""))</f>
        <v/>
      </c>
      <c r="N5" s="1" t="s">
        <v>565</v>
      </c>
      <c r="O5" s="21" t="s">
        <v>611</v>
      </c>
      <c r="P5" s="99"/>
      <c r="Q5" s="533">
        <f t="shared" si="0"/>
        <v>0</v>
      </c>
      <c r="R5" s="534">
        <f>IF(ROUND(ROW()/2,0)=INT(ROW()/2),DSUM('Antal &amp; Längder (vikter)'!$O$10:$T$27,'Antal &amp; Längder (vikter)'!$R$10,L4:L5)+DSUM('Antal &amp; Längder (vikter)'!$O$10:$T$27,'Antal &amp; Längder (vikter)'!$S$10,L4:L5)+DSUM('Antal &amp; Längder (vikter)'!$O$10:$T$27,'Antal &amp; Längder (vikter)'!$T$10,L4:L5),DSUM('Antal &amp; Längder (vikter)'!$O$10:$T$27,'Antal &amp; Längder (vikter)'!$R$10,K4:K5)+DSUM('Antal &amp; Längder (vikter)'!$O$10:$T$27,'Antal &amp; Längder (vikter)'!$S$10,K4:K5)+DSUM('Antal &amp; Längder (vikter)'!$O$10:$T$27,'Antal &amp; Längder (vikter)'!$T$10,K4:K5))</f>
        <v>0</v>
      </c>
      <c r="S5" s="535" t="str">
        <f>IF(AND(COUNTIF('Antal &amp; Längder (vikter)'!$B$10:$M$141,N5)+COUNTIF('Antal &amp; Längder (vikter)'!$P$11:$P$27,N5)&gt;0,SUM(Q5:R5)&gt;0),SUM(Q5:R5)+1000*IF(P5&lt;&gt;"",P5,0),"")</f>
        <v/>
      </c>
      <c r="T5" s="536" t="str">
        <f>IF(S5&lt;&gt;"",IF(AND(COUNTIF('Antal &amp; Längder (vikter)'!$B$10:$M$141,N5)+COUNTIF('Antal &amp; Längder (vikter)'!$P$11:$P$27,N5)&gt;0,COUNTIF(S$1:S4,S5)&gt;0),COUNTIF(S$1:S4,S5),0)+RANK(S5,S$2:S$60,0),"")</f>
        <v/>
      </c>
      <c r="U5" s="536" t="str">
        <f>IF(AND(COUNTIF('Antal &amp; Längder (vikter)'!$B$10:$M$141,N5)&gt;0,T5&lt;&gt;"",COUNTIF(T$2:T$60,T5)&gt;1),COUNTIF(T$1:T4,T5)+T5,IF(COUNTIF('Antal &amp; Längder (vikter)'!$B$10:$M$141,N5)+COUNTIF('Antal &amp; Längder (vikter)'!$P$11:$P$27,N5)&gt;0,T5,""))</f>
        <v/>
      </c>
      <c r="V5" s="1">
        <v>0.2</v>
      </c>
      <c r="W5" s="21">
        <v>2</v>
      </c>
      <c r="X5" s="119"/>
      <c r="Y5" s="574" t="s">
        <v>2356</v>
      </c>
      <c r="Z5" s="401" t="s">
        <v>2357</v>
      </c>
      <c r="AB5" s="477" t="str">
        <f>IF(COUNT(AB3:AB4)&gt;0,MAX(AB3:AB4)+1,"")</f>
        <v/>
      </c>
      <c r="AC5" s="433" t="str">
        <f>IF(AND(AH5&lt;&gt;"",AG5&lt;&gt;"",AI5&gt;0,AH5&gt;0),MAX(AC$2:AC4)+1,"XX")</f>
        <v>XX</v>
      </c>
      <c r="AD5" s="428" t="str">
        <f>IF('Antal &amp; Längder (vikter)'!C8&lt;&gt;"",'Antal &amp; Längder (vikter)'!C8,"XX")</f>
        <v>XX</v>
      </c>
      <c r="AE5" s="405" t="str">
        <f>IF(AND('Antal &amp; Längder (vikter)'!B$10&lt;&gt;"",ISNUMBER($AH5)),'Antal &amp; Längder (vikter)'!B$10,"")</f>
        <v/>
      </c>
      <c r="AF5" s="425" t="str">
        <f t="shared" si="1"/>
        <v/>
      </c>
      <c r="AG5" s="426" t="str">
        <f t="shared" si="2"/>
        <v/>
      </c>
      <c r="AH5" s="407" t="str">
        <f>IF('Antal &amp; Längder (vikter)'!B14&lt;&gt;"",'Antal &amp; Längder (vikter)'!B14,"XX")</f>
        <v>XX</v>
      </c>
      <c r="AI5" s="436">
        <f>IF('Antal &amp; Längder (vikter)'!C$11="Vikt (g)",'Antal &amp; Längder (vikter)'!C14,-9)</f>
        <v>-9</v>
      </c>
    </row>
    <row r="6" spans="1:35" x14ac:dyDescent="0.25">
      <c r="A6" s="569" t="s">
        <v>2067</v>
      </c>
      <c r="B6" s="570">
        <v>0.55000000000000004</v>
      </c>
      <c r="C6" s="570">
        <v>0.8</v>
      </c>
      <c r="D6" s="570">
        <v>0.91</v>
      </c>
      <c r="E6" s="571"/>
      <c r="F6" s="1"/>
      <c r="G6" s="279" t="s">
        <v>459</v>
      </c>
      <c r="H6" s="280" t="s">
        <v>78</v>
      </c>
      <c r="I6" s="357" t="s">
        <v>1506</v>
      </c>
      <c r="J6" s="213" t="s">
        <v>106</v>
      </c>
      <c r="K6" s="203" t="s">
        <v>582</v>
      </c>
      <c r="L6" s="493" t="str">
        <f>$N6</f>
        <v>BJÖRKNA</v>
      </c>
      <c r="M6" s="486" t="str">
        <f>IF(AND(COUNTIF('Antal &amp; Längder (vikter)'!$B$10:$T$141,N6)&gt;0,U6&lt;&gt;""),RANK(U6,U$2:U$60,1),IF(AND(Prot.Datum&lt;&gt;"",ProtokollLkoordX&lt;&gt;"",ProtokollLkoordY&lt;&gt;"",AND($N6="INGEN FÅNGST",SUM('Antal &amp; Längder (vikter)'!$R$11:$T$27)=0),SUM($AH$3:$AH$1082)=0),1,""))</f>
        <v/>
      </c>
      <c r="N6" s="1" t="s">
        <v>583</v>
      </c>
      <c r="O6" s="21" t="s">
        <v>595</v>
      </c>
      <c r="P6" s="99"/>
      <c r="Q6" s="533">
        <f t="shared" si="0"/>
        <v>0</v>
      </c>
      <c r="R6" s="534">
        <f>IF(ROUND(ROW()/2,0)=INT(ROW()/2),DSUM('Antal &amp; Längder (vikter)'!$O$10:$T$27,'Antal &amp; Längder (vikter)'!$R$10,L5:L6)+DSUM('Antal &amp; Längder (vikter)'!$O$10:$T$27,'Antal &amp; Längder (vikter)'!$S$10,L5:L6)+DSUM('Antal &amp; Längder (vikter)'!$O$10:$T$27,'Antal &amp; Längder (vikter)'!$T$10,L5:L6),DSUM('Antal &amp; Längder (vikter)'!$O$10:$T$27,'Antal &amp; Längder (vikter)'!$R$10,K5:K6)+DSUM('Antal &amp; Längder (vikter)'!$O$10:$T$27,'Antal &amp; Längder (vikter)'!$S$10,K5:K6)+DSUM('Antal &amp; Längder (vikter)'!$O$10:$T$27,'Antal &amp; Längder (vikter)'!$T$10,K5:K6))</f>
        <v>0</v>
      </c>
      <c r="S6" s="535" t="str">
        <f>IF(AND(COUNTIF('Antal &amp; Längder (vikter)'!$B$10:$M$141,N6)+COUNTIF('Antal &amp; Längder (vikter)'!$P$11:$P$27,N6)&gt;0,SUM(Q6:R6)&gt;0),SUM(Q6:R6)+1000*IF(P6&lt;&gt;"",P6,0),"")</f>
        <v/>
      </c>
      <c r="T6" s="536" t="str">
        <f>IF(S6&lt;&gt;"",IF(AND(COUNTIF('Antal &amp; Längder (vikter)'!$B$10:$M$141,N6)+COUNTIF('Antal &amp; Längder (vikter)'!$P$11:$P$27,N6)&gt;0,COUNTIF(S$1:S5,S6)&gt;0),COUNTIF(S$1:S5,S6),0)+RANK(S6,S$2:S$60,0),"")</f>
        <v/>
      </c>
      <c r="U6" s="536" t="str">
        <f>IF(AND(COUNTIF('Antal &amp; Längder (vikter)'!$B$10:$M$141,N6)&gt;0,T6&lt;&gt;"",COUNTIF(T$2:T$60,T6)&gt;1),COUNTIF(T$1:T5,T6)+T6,IF(COUNTIF('Antal &amp; Längder (vikter)'!$B$10:$M$141,N6)+COUNTIF('Antal &amp; Längder (vikter)'!$P$11:$P$27,N6)&gt;0,T6,""))</f>
        <v/>
      </c>
      <c r="V6" s="1">
        <v>0.6</v>
      </c>
      <c r="W6" s="21">
        <v>1.6</v>
      </c>
      <c r="X6" s="119"/>
      <c r="Y6" s="574" t="s">
        <v>1543</v>
      </c>
      <c r="Z6" s="401" t="s">
        <v>1544</v>
      </c>
      <c r="AB6" s="434" t="str">
        <f>IF(COUNT(AB3:AB5)&gt;0,MAX(AB3:AB5)+1,"")</f>
        <v/>
      </c>
      <c r="AC6" s="433" t="str">
        <f>IF(AND(AH6&lt;&gt;"",AG6&lt;&gt;"",AI6&gt;0,AH6&gt;0),MAX(AC$2:AC5)+1,"XX")</f>
        <v>XX</v>
      </c>
      <c r="AD6" s="428" t="str">
        <f>IF('Antal &amp; Längder (vikter)'!C8&lt;&gt;"",'Antal &amp; Längder (vikter)'!C8,"XX")</f>
        <v>XX</v>
      </c>
      <c r="AE6" s="405" t="str">
        <f>IF(AND('Antal &amp; Längder (vikter)'!B$10&lt;&gt;"",ISNUMBER($AH6)),'Antal &amp; Längder (vikter)'!B$10,"")</f>
        <v/>
      </c>
      <c r="AF6" s="425" t="str">
        <f t="shared" si="1"/>
        <v/>
      </c>
      <c r="AG6" s="426" t="str">
        <f t="shared" si="2"/>
        <v/>
      </c>
      <c r="AH6" s="407" t="str">
        <f>IF('Antal &amp; Längder (vikter)'!B15&lt;&gt;"",'Antal &amp; Längder (vikter)'!B15,"XX")</f>
        <v>XX</v>
      </c>
      <c r="AI6" s="436">
        <f>IF('Antal &amp; Längder (vikter)'!C$11="Vikt (g)",'Antal &amp; Längder (vikter)'!C15,-9)</f>
        <v>-9</v>
      </c>
    </row>
    <row r="7" spans="1:35" x14ac:dyDescent="0.25">
      <c r="A7" s="569" t="s">
        <v>2101</v>
      </c>
      <c r="B7" s="570">
        <v>0.47</v>
      </c>
      <c r="C7" s="570">
        <v>0.72</v>
      </c>
      <c r="D7" s="570">
        <v>0.85</v>
      </c>
      <c r="E7" s="571" t="s">
        <v>2100</v>
      </c>
      <c r="F7" s="1"/>
      <c r="G7" s="276" t="s">
        <v>460</v>
      </c>
      <c r="H7" s="200">
        <v>10</v>
      </c>
      <c r="I7" s="357" t="s">
        <v>799</v>
      </c>
      <c r="J7" s="213" t="s">
        <v>1510</v>
      </c>
      <c r="K7" s="493" t="str">
        <f>$N7</f>
        <v>BRAXEN</v>
      </c>
      <c r="L7" s="203" t="s">
        <v>582</v>
      </c>
      <c r="M7" s="486" t="str">
        <f>IF(AND(COUNTIF('Antal &amp; Längder (vikter)'!$B$10:$T$141,N7)&gt;0,U7&lt;&gt;""),RANK(U7,U$2:U$60,1),IF(AND(Prot.Datum&lt;&gt;"",ProtokollLkoordX&lt;&gt;"",ProtokollLkoordY&lt;&gt;"",AND($N7="INGEN FÅNGST",SUM('Antal &amp; Längder (vikter)'!$R$11:$T$27)=0),SUM($AH$3:$AH$1082)=0),1,""))</f>
        <v/>
      </c>
      <c r="N7" s="1" t="s">
        <v>613</v>
      </c>
      <c r="O7" s="21" t="s">
        <v>612</v>
      </c>
      <c r="P7" s="99"/>
      <c r="Q7" s="533">
        <f t="shared" si="0"/>
        <v>0</v>
      </c>
      <c r="R7" s="534">
        <f>IF(ROUND(ROW()/2,0)=INT(ROW()/2),DSUM('Antal &amp; Längder (vikter)'!$O$10:$T$27,'Antal &amp; Längder (vikter)'!$R$10,L6:L7)+DSUM('Antal &amp; Längder (vikter)'!$O$10:$T$27,'Antal &amp; Längder (vikter)'!$S$10,L6:L7)+DSUM('Antal &amp; Längder (vikter)'!$O$10:$T$27,'Antal &amp; Längder (vikter)'!$T$10,L6:L7),DSUM('Antal &amp; Längder (vikter)'!$O$10:$T$27,'Antal &amp; Längder (vikter)'!$R$10,K6:K7)+DSUM('Antal &amp; Längder (vikter)'!$O$10:$T$27,'Antal &amp; Längder (vikter)'!$S$10,K6:K7)+DSUM('Antal &amp; Längder (vikter)'!$O$10:$T$27,'Antal &amp; Längder (vikter)'!$T$10,K6:K7))</f>
        <v>0</v>
      </c>
      <c r="S7" s="535" t="str">
        <f>IF(AND(COUNTIF('Antal &amp; Längder (vikter)'!$B$10:$M$141,N7)+COUNTIF('Antal &amp; Längder (vikter)'!$P$11:$P$27,N7)&gt;0,SUM(Q7:R7)&gt;0),SUM(Q7:R7)+1000*IF(P7&lt;&gt;"",P7,0),"")</f>
        <v/>
      </c>
      <c r="T7" s="536" t="str">
        <f>IF(S7&lt;&gt;"",IF(AND(COUNTIF('Antal &amp; Längder (vikter)'!$B$10:$M$141,N7)+COUNTIF('Antal &amp; Längder (vikter)'!$P$11:$P$27,N7)&gt;0,COUNTIF(S$1:S6,S7)&gt;0),COUNTIF(S$1:S6,S7),0)+RANK(S7,S$2:S$60,0),"")</f>
        <v/>
      </c>
      <c r="U7" s="536" t="str">
        <f>IF(AND(COUNTIF('Antal &amp; Längder (vikter)'!$B$10:$M$141,N7)&gt;0,T7&lt;&gt;"",COUNTIF(T$2:T$60,T7)&gt;1),COUNTIF(T$1:T6,T7)+T7,IF(COUNTIF('Antal &amp; Längder (vikter)'!$B$10:$M$141,N7)+COUNTIF('Antal &amp; Längder (vikter)'!$P$11:$P$27,N7)&gt;0,T7,""))</f>
        <v/>
      </c>
      <c r="V7" s="1">
        <v>0.6</v>
      </c>
      <c r="W7" s="21">
        <v>1.6</v>
      </c>
      <c r="X7" s="119"/>
      <c r="Y7" s="574" t="s">
        <v>1962</v>
      </c>
      <c r="Z7" s="401" t="s">
        <v>1963</v>
      </c>
      <c r="AB7" s="475" t="str">
        <f>IF(COUNT(AB3:AB6)&gt;0,MAX(AB3:AB6)+1,"")</f>
        <v/>
      </c>
      <c r="AC7" s="433" t="str">
        <f>IF(AND(AH7&lt;&gt;"",AG7&lt;&gt;"",AI7&gt;0,AH7&gt;0),MAX(AC$2:AC6)+1,"XX")</f>
        <v>XX</v>
      </c>
      <c r="AD7" s="428" t="str">
        <f>IF('Antal &amp; Längder (vikter)'!C8&lt;&gt;"",'Antal &amp; Längder (vikter)'!C8,"XX")</f>
        <v>XX</v>
      </c>
      <c r="AE7" s="405" t="str">
        <f>IF(AND('Antal &amp; Längder (vikter)'!B$10&lt;&gt;"",ISNUMBER($AH7)),'Antal &amp; Längder (vikter)'!B$10,"")</f>
        <v/>
      </c>
      <c r="AF7" s="425" t="str">
        <f t="shared" si="1"/>
        <v/>
      </c>
      <c r="AG7" s="426" t="str">
        <f t="shared" si="2"/>
        <v/>
      </c>
      <c r="AH7" s="407" t="str">
        <f>IF('Antal &amp; Längder (vikter)'!B16&lt;&gt;"",'Antal &amp; Längder (vikter)'!B16,"XX")</f>
        <v>XX</v>
      </c>
      <c r="AI7" s="436">
        <f>IF('Antal &amp; Längder (vikter)'!C$11="Vikt (g)",'Antal &amp; Längder (vikter)'!C16,-9)</f>
        <v>-9</v>
      </c>
    </row>
    <row r="8" spans="1:35" x14ac:dyDescent="0.25">
      <c r="A8" s="569" t="s">
        <v>2102</v>
      </c>
      <c r="B8" s="570">
        <v>0.59</v>
      </c>
      <c r="C8" s="570">
        <v>0.83</v>
      </c>
      <c r="D8" s="570">
        <v>0.93</v>
      </c>
      <c r="E8" s="571" t="s">
        <v>2100</v>
      </c>
      <c r="F8" s="1"/>
      <c r="G8" s="277" t="s">
        <v>461</v>
      </c>
      <c r="H8" s="278">
        <v>999</v>
      </c>
      <c r="I8" s="357" t="s">
        <v>380</v>
      </c>
      <c r="J8" s="213" t="s">
        <v>96</v>
      </c>
      <c r="K8" s="203" t="s">
        <v>582</v>
      </c>
      <c r="L8" s="493" t="str">
        <f>$N8</f>
        <v>BÄCKNEJONÖGA</v>
      </c>
      <c r="M8" s="486" t="str">
        <f>IF(AND(COUNTIF('Antal &amp; Längder (vikter)'!$B$10:$T$141,N8)&gt;0,U8&lt;&gt;""),RANK(U8,U$2:U$60,1),IF(AND(Prot.Datum&lt;&gt;"",ProtokollLkoordX&lt;&gt;"",ProtokollLkoordY&lt;&gt;"",AND($N8="INGEN FÅNGST",SUM('Antal &amp; Längder (vikter)'!$R$11:$T$27)=0),SUM($AH$3:$AH$1082)=0),1,""))</f>
        <v/>
      </c>
      <c r="N8" s="1" t="s">
        <v>566</v>
      </c>
      <c r="O8" s="21" t="s">
        <v>63</v>
      </c>
      <c r="P8" s="99"/>
      <c r="Q8" s="533">
        <f t="shared" si="0"/>
        <v>0</v>
      </c>
      <c r="R8" s="534">
        <f>IF(ROUND(ROW()/2,0)=INT(ROW()/2),DSUM('Antal &amp; Längder (vikter)'!$O$10:$T$27,'Antal &amp; Längder (vikter)'!$R$10,L7:L8)+DSUM('Antal &amp; Längder (vikter)'!$O$10:$T$27,'Antal &amp; Längder (vikter)'!$S$10,L7:L8)+DSUM('Antal &amp; Längder (vikter)'!$O$10:$T$27,'Antal &amp; Längder (vikter)'!$T$10,L7:L8),DSUM('Antal &amp; Längder (vikter)'!$O$10:$T$27,'Antal &amp; Längder (vikter)'!$R$10,K7:K8)+DSUM('Antal &amp; Längder (vikter)'!$O$10:$T$27,'Antal &amp; Längder (vikter)'!$S$10,K7:K8)+DSUM('Antal &amp; Längder (vikter)'!$O$10:$T$27,'Antal &amp; Längder (vikter)'!$T$10,K7:K8))</f>
        <v>0</v>
      </c>
      <c r="S8" s="535" t="str">
        <f>IF(AND(COUNTIF('Antal &amp; Längder (vikter)'!$B$10:$M$141,N8)+COUNTIF('Antal &amp; Längder (vikter)'!$P$11:$P$27,N8)&gt;0,SUM(Q8:R8)&gt;0),SUM(Q8:R8)+1000*IF(P8&lt;&gt;"",P8,0),"")</f>
        <v/>
      </c>
      <c r="T8" s="536" t="str">
        <f>IF(S8&lt;&gt;"",IF(AND(COUNTIF('Antal &amp; Längder (vikter)'!$B$10:$M$141,N8)+COUNTIF('Antal &amp; Längder (vikter)'!$P$11:$P$27,N8)&gt;0,COUNTIF(S$1:S7,S8)&gt;0),COUNTIF(S$1:S7,S8),0)+RANK(S8,S$2:S$60,0),"")</f>
        <v/>
      </c>
      <c r="U8" s="536" t="str">
        <f>IF(AND(COUNTIF('Antal &amp; Längder (vikter)'!$B$10:$M$141,N8)&gt;0,T8&lt;&gt;"",COUNTIF(T$2:T$60,T8)&gt;1),COUNTIF(T$1:T7,T8)+T8,IF(COUNTIF('Antal &amp; Längder (vikter)'!$B$10:$M$141,N8)+COUNTIF('Antal &amp; Längder (vikter)'!$P$11:$P$27,N8)&gt;0,T8,""))</f>
        <v/>
      </c>
      <c r="V8" s="1">
        <v>0.05</v>
      </c>
      <c r="W8" s="21">
        <v>0.5</v>
      </c>
      <c r="X8" s="119"/>
      <c r="Y8" s="401" t="s">
        <v>1679</v>
      </c>
      <c r="Z8" s="401" t="s">
        <v>1680</v>
      </c>
      <c r="AB8" s="471" t="str">
        <f>IF(COUNT(AB3:AB7)&gt;0,MAX(AB3:AB7)+1,"")</f>
        <v/>
      </c>
      <c r="AC8" s="433" t="str">
        <f>IF(AND(AH8&lt;&gt;"",AG8&lt;&gt;"",AI8&gt;0,AH8&gt;0),MAX(AC$2:AC7)+1,"XX")</f>
        <v>XX</v>
      </c>
      <c r="AD8" s="428" t="str">
        <f>IF('Antal &amp; Längder (vikter)'!C8&lt;&gt;"",'Antal &amp; Längder (vikter)'!C8,"XX")</f>
        <v>XX</v>
      </c>
      <c r="AE8" s="405" t="str">
        <f>IF(AND('Antal &amp; Längder (vikter)'!B$10&lt;&gt;"",ISNUMBER($AH8)),'Antal &amp; Längder (vikter)'!B$10,"")</f>
        <v/>
      </c>
      <c r="AF8" s="425" t="str">
        <f t="shared" si="1"/>
        <v/>
      </c>
      <c r="AG8" s="426" t="str">
        <f t="shared" si="2"/>
        <v/>
      </c>
      <c r="AH8" s="407" t="str">
        <f>IF('Antal &amp; Längder (vikter)'!B17&lt;&gt;"",'Antal &amp; Längder (vikter)'!B17,"XX")</f>
        <v>XX</v>
      </c>
      <c r="AI8" s="436">
        <f>IF('Antal &amp; Längder (vikter)'!C$11="Vikt (g)",'Antal &amp; Längder (vikter)'!C17,-9)</f>
        <v>-9</v>
      </c>
    </row>
    <row r="9" spans="1:35" ht="13.2" customHeight="1" x14ac:dyDescent="0.25">
      <c r="A9" s="569" t="s">
        <v>2103</v>
      </c>
      <c r="B9" s="570">
        <v>0.46</v>
      </c>
      <c r="C9" s="570">
        <v>0.71</v>
      </c>
      <c r="D9" s="570">
        <v>0.84</v>
      </c>
      <c r="E9" s="571" t="s">
        <v>2105</v>
      </c>
      <c r="F9" s="1"/>
      <c r="G9" s="202"/>
      <c r="H9" s="201"/>
      <c r="I9" s="357" t="s">
        <v>381</v>
      </c>
      <c r="J9" s="213" t="s">
        <v>94</v>
      </c>
      <c r="K9" s="493" t="str">
        <f>$N9</f>
        <v>BÄCKRÖDING</v>
      </c>
      <c r="L9" s="203" t="s">
        <v>582</v>
      </c>
      <c r="M9" s="486" t="str">
        <f>IF(AND(COUNTIF('Antal &amp; Längder (vikter)'!$B$10:$T$141,N9)&gt;0,U9&lt;&gt;""),RANK(U9,U$2:U$60,1),IF(AND(Prot.Datum&lt;&gt;"",ProtokollLkoordX&lt;&gt;"",ProtokollLkoordY&lt;&gt;"",AND($N9="INGEN FÅNGST",SUM('Antal &amp; Längder (vikter)'!$R$11:$T$27)=0),SUM($AH$3:$AH$1082)=0),1,""))</f>
        <v/>
      </c>
      <c r="N9" s="1" t="s">
        <v>588</v>
      </c>
      <c r="O9" s="21" t="s">
        <v>593</v>
      </c>
      <c r="P9" s="537">
        <v>8</v>
      </c>
      <c r="Q9" s="533">
        <f t="shared" si="0"/>
        <v>0</v>
      </c>
      <c r="R9" s="534">
        <f>IF(ROUND(ROW()/2,0)=INT(ROW()/2),DSUM('Antal &amp; Längder (vikter)'!$O$10:$T$27,'Antal &amp; Längder (vikter)'!$R$10,L8:L9)+DSUM('Antal &amp; Längder (vikter)'!$O$10:$T$27,'Antal &amp; Längder (vikter)'!$S$10,L8:L9)+DSUM('Antal &amp; Längder (vikter)'!$O$10:$T$27,'Antal &amp; Längder (vikter)'!$T$10,L8:L9),DSUM('Antal &amp; Längder (vikter)'!$O$10:$T$27,'Antal &amp; Längder (vikter)'!$R$10,K8:K9)+DSUM('Antal &amp; Längder (vikter)'!$O$10:$T$27,'Antal &amp; Längder (vikter)'!$S$10,K8:K9)+DSUM('Antal &amp; Längder (vikter)'!$O$10:$T$27,'Antal &amp; Längder (vikter)'!$T$10,K8:K9))</f>
        <v>0</v>
      </c>
      <c r="S9" s="535" t="str">
        <f>IF(AND(COUNTIF('Antal &amp; Längder (vikter)'!$B$10:$M$141,N9)+COUNTIF('Antal &amp; Längder (vikter)'!$P$11:$P$27,N9)&gt;0,SUM(Q9:R9)&gt;0),SUM(Q9:R9)+1000*IF(P9&lt;&gt;"",P9,0),"")</f>
        <v/>
      </c>
      <c r="T9" s="536" t="str">
        <f>IF(S9&lt;&gt;"",IF(AND(COUNTIF('Antal &amp; Längder (vikter)'!$B$10:$M$141,N9)+COUNTIF('Antal &amp; Längder (vikter)'!$P$11:$P$27,N9)&gt;0,COUNTIF(S$1:S8,S9)&gt;0),COUNTIF(S$1:S8,S9),0)+RANK(S9,S$2:S$60,0),"")</f>
        <v/>
      </c>
      <c r="U9" s="536" t="str">
        <f>IF(AND(COUNTIF('Antal &amp; Längder (vikter)'!$B$10:$M$141,N9)&gt;0,T9&lt;&gt;"",COUNTIF(T$2:T$60,T9)&gt;1),COUNTIF(T$1:T8,T9)+T9,IF(COUNTIF('Antal &amp; Längder (vikter)'!$B$10:$M$141,N9)+COUNTIF('Antal &amp; Längder (vikter)'!$P$11:$P$27,N9)&gt;0,T9,""))</f>
        <v/>
      </c>
      <c r="V9" s="1">
        <v>0.6</v>
      </c>
      <c r="W9" s="21">
        <v>1.4</v>
      </c>
      <c r="X9" s="119"/>
      <c r="Y9" s="401" t="s">
        <v>1545</v>
      </c>
      <c r="Z9" s="401" t="s">
        <v>1546</v>
      </c>
      <c r="AB9" s="474" t="str">
        <f>IF(COUNT(AB3:AB8)&gt;0,MAX(AB3:AB8)+1,"")</f>
        <v/>
      </c>
      <c r="AC9" s="433" t="str">
        <f>IF(AND(AH9&lt;&gt;"",AG9&lt;&gt;"",AI9&gt;0,AH9&gt;0),MAX(AC$2:AC8)+1,"XX")</f>
        <v>XX</v>
      </c>
      <c r="AD9" s="428" t="str">
        <f>IF('Antal &amp; Längder (vikter)'!C8&lt;&gt;"",'Antal &amp; Längder (vikter)'!C8,"XX")</f>
        <v>XX</v>
      </c>
      <c r="AE9" s="405" t="str">
        <f>IF(AND('Antal &amp; Längder (vikter)'!B$10&lt;&gt;"",ISNUMBER($AH9)),'Antal &amp; Längder (vikter)'!B$10,"")</f>
        <v/>
      </c>
      <c r="AF9" s="425" t="str">
        <f t="shared" si="1"/>
        <v/>
      </c>
      <c r="AG9" s="426" t="str">
        <f t="shared" si="2"/>
        <v/>
      </c>
      <c r="AH9" s="407" t="str">
        <f>IF('Antal &amp; Längder (vikter)'!B18&lt;&gt;"",'Antal &amp; Längder (vikter)'!B18,"XX")</f>
        <v>XX</v>
      </c>
      <c r="AI9" s="436">
        <f>IF('Antal &amp; Längder (vikter)'!C$11="Vikt (g)",'Antal &amp; Längder (vikter)'!C18,-9)</f>
        <v>-9</v>
      </c>
    </row>
    <row r="10" spans="1:35" ht="13.2" customHeight="1" x14ac:dyDescent="0.25">
      <c r="A10" s="569" t="s">
        <v>2104</v>
      </c>
      <c r="B10" s="570">
        <v>0.48</v>
      </c>
      <c r="C10" s="570">
        <v>0.73</v>
      </c>
      <c r="D10" s="570">
        <v>0.86</v>
      </c>
      <c r="E10" s="571" t="s">
        <v>2105</v>
      </c>
      <c r="F10" s="1"/>
      <c r="G10" s="281" t="s">
        <v>465</v>
      </c>
      <c r="H10" s="20"/>
      <c r="I10" s="646" t="s">
        <v>2502</v>
      </c>
      <c r="J10" s="213" t="s">
        <v>99</v>
      </c>
      <c r="K10" s="203" t="s">
        <v>582</v>
      </c>
      <c r="L10" s="493" t="str">
        <f>$N10</f>
        <v>BÄCKRÖDING X ÖRING</v>
      </c>
      <c r="M10" s="486" t="str">
        <f>IF(AND(COUNTIF('Antal &amp; Längder (vikter)'!$B$10:$T$141,N10)&gt;0,U10&lt;&gt;""),RANK(U10,U$2:U$60,1),IF(AND(Prot.Datum&lt;&gt;"",ProtokollLkoordX&lt;&gt;"",ProtokollLkoordY&lt;&gt;"",AND($N10="INGEN FÅNGST",SUM('Antal &amp; Längder (vikter)'!$R$11:$T$27)=0),SUM($AH$3:$AH$1082)=0),1,""))</f>
        <v/>
      </c>
      <c r="N10" s="1" t="s">
        <v>895</v>
      </c>
      <c r="O10" s="21" t="s">
        <v>594</v>
      </c>
      <c r="P10" s="99">
        <v>5</v>
      </c>
      <c r="Q10" s="533">
        <f t="shared" si="0"/>
        <v>0</v>
      </c>
      <c r="R10" s="534">
        <f>IF(ROUND(ROW()/2,0)=INT(ROW()/2),DSUM('Antal &amp; Längder (vikter)'!$O$10:$T$27,'Antal &amp; Längder (vikter)'!$R$10,L9:L10)+DSUM('Antal &amp; Längder (vikter)'!$O$10:$T$27,'Antal &amp; Längder (vikter)'!$S$10,L9:L10)+DSUM('Antal &amp; Längder (vikter)'!$O$10:$T$27,'Antal &amp; Längder (vikter)'!$T$10,L9:L10),DSUM('Antal &amp; Längder (vikter)'!$O$10:$T$27,'Antal &amp; Längder (vikter)'!$R$10,K9:K10)+DSUM('Antal &amp; Längder (vikter)'!$O$10:$T$27,'Antal &amp; Längder (vikter)'!$S$10,K9:K10)+DSUM('Antal &amp; Längder (vikter)'!$O$10:$T$27,'Antal &amp; Längder (vikter)'!$T$10,K9:K10))</f>
        <v>0</v>
      </c>
      <c r="S10" s="535" t="str">
        <f>IF(AND(COUNTIF('Antal &amp; Längder (vikter)'!$B$10:$M$141,N10)+COUNTIF('Antal &amp; Längder (vikter)'!$P$11:$P$27,N10)&gt;0,SUM(Q10:R10)&gt;0),SUM(Q10:R10)+1000*IF(P10&lt;&gt;"",P10,0),"")</f>
        <v/>
      </c>
      <c r="T10" s="536" t="str">
        <f>IF(S10&lt;&gt;"",IF(AND(COUNTIF('Antal &amp; Längder (vikter)'!$B$10:$M$141,N10)+COUNTIF('Antal &amp; Längder (vikter)'!$P$11:$P$27,N10)&gt;0,COUNTIF(S$1:S9,S10)&gt;0),COUNTIF(S$1:S9,S10),0)+RANK(S10,S$2:S$60,0),"")</f>
        <v/>
      </c>
      <c r="U10" s="536" t="str">
        <f>IF(AND(COUNTIF('Antal &amp; Längder (vikter)'!$B$10:$M$141,N10)&gt;0,T10&lt;&gt;"",COUNTIF(T$2:T$60,T10)&gt;1),COUNTIF(T$1:T9,T10)+T10,IF(COUNTIF('Antal &amp; Längder (vikter)'!$B$10:$M$141,N10)+COUNTIF('Antal &amp; Längder (vikter)'!$P$11:$P$27,N10)&gt;0,T10,""))</f>
        <v/>
      </c>
      <c r="V10" s="1">
        <v>0.6</v>
      </c>
      <c r="W10" s="21">
        <v>1.6</v>
      </c>
      <c r="X10" s="119"/>
      <c r="Y10" s="401" t="s">
        <v>2111</v>
      </c>
      <c r="Z10" s="401" t="s">
        <v>2112</v>
      </c>
      <c r="AB10" s="478" t="str">
        <f>IF(COUNT(AB3:AB9)&gt;0,MAX(AB3:AB9)+1,"")</f>
        <v/>
      </c>
      <c r="AC10" s="433" t="str">
        <f>IF(AND(AH10&lt;&gt;"",AG10&lt;&gt;"",AI10&gt;0,AH10&gt;0),MAX(AC$2:AC9)+1,"XX")</f>
        <v>XX</v>
      </c>
      <c r="AD10" s="428" t="str">
        <f>IF('Antal &amp; Längder (vikter)'!C8&lt;&gt;"",'Antal &amp; Längder (vikter)'!C8,"XX")</f>
        <v>XX</v>
      </c>
      <c r="AE10" s="405" t="str">
        <f>IF(AND('Antal &amp; Längder (vikter)'!B$10&lt;&gt;"",ISNUMBER($AH10)),'Antal &amp; Längder (vikter)'!B$10,"")</f>
        <v/>
      </c>
      <c r="AF10" s="425" t="str">
        <f t="shared" si="1"/>
        <v/>
      </c>
      <c r="AG10" s="426" t="str">
        <f t="shared" si="2"/>
        <v/>
      </c>
      <c r="AH10" s="407" t="str">
        <f>IF('Antal &amp; Längder (vikter)'!B19&lt;&gt;"",'Antal &amp; Längder (vikter)'!B19,"XX")</f>
        <v>XX</v>
      </c>
      <c r="AI10" s="436">
        <f>IF('Antal &amp; Längder (vikter)'!C$11="Vikt (g)",'Antal &amp; Längder (vikter)'!C19,-9)</f>
        <v>-9</v>
      </c>
    </row>
    <row r="11" spans="1:35" x14ac:dyDescent="0.25">
      <c r="A11" s="569" t="s">
        <v>2068</v>
      </c>
      <c r="B11" s="570">
        <v>0.44</v>
      </c>
      <c r="C11" s="570">
        <v>0.69</v>
      </c>
      <c r="D11" s="570">
        <v>0.82</v>
      </c>
      <c r="E11" s="571"/>
      <c r="F11" s="1"/>
      <c r="G11" s="282" t="s">
        <v>462</v>
      </c>
      <c r="H11" s="20"/>
      <c r="I11" s="357" t="s">
        <v>2503</v>
      </c>
      <c r="J11" s="213" t="s">
        <v>366</v>
      </c>
      <c r="K11" s="493" t="str">
        <f>$N11</f>
        <v>ELRITSA</v>
      </c>
      <c r="L11" s="203" t="s">
        <v>582</v>
      </c>
      <c r="M11" s="486" t="str">
        <f>IF(AND(COUNTIF('Antal &amp; Längder (vikter)'!$B$10:$T$141,N11)&gt;0,U11&lt;&gt;""),RANK(U11,U$2:U$60,1),IF(AND(Prot.Datum&lt;&gt;"",ProtokollLkoordX&lt;&gt;"",ProtokollLkoordY&lt;&gt;"",AND($N11="INGEN FÅNGST",SUM('Antal &amp; Längder (vikter)'!$R$11:$T$27)=0),SUM($AH$3:$AH$1082)=0),1,""))</f>
        <v/>
      </c>
      <c r="N11" s="1" t="s">
        <v>567</v>
      </c>
      <c r="O11" s="21" t="s">
        <v>596</v>
      </c>
      <c r="P11" s="99"/>
      <c r="Q11" s="533">
        <f t="shared" si="0"/>
        <v>0</v>
      </c>
      <c r="R11" s="534">
        <f>IF(ROUND(ROW()/2,0)=INT(ROW()/2),DSUM('Antal &amp; Längder (vikter)'!$O$10:$T$27,'Antal &amp; Längder (vikter)'!$R$10,L10:L11)+DSUM('Antal &amp; Längder (vikter)'!$O$10:$T$27,'Antal &amp; Längder (vikter)'!$S$10,L10:L11)+DSUM('Antal &amp; Längder (vikter)'!$O$10:$T$27,'Antal &amp; Längder (vikter)'!$T$10,L10:L11),DSUM('Antal &amp; Längder (vikter)'!$O$10:$T$27,'Antal &amp; Längder (vikter)'!$R$10,K10:K11)+DSUM('Antal &amp; Längder (vikter)'!$O$10:$T$27,'Antal &amp; Längder (vikter)'!$S$10,K10:K11)+DSUM('Antal &amp; Längder (vikter)'!$O$10:$T$27,'Antal &amp; Längder (vikter)'!$T$10,K10:K11))</f>
        <v>0</v>
      </c>
      <c r="S11" s="535" t="str">
        <f>IF(AND(COUNTIF('Antal &amp; Längder (vikter)'!$B$10:$M$141,N11)+COUNTIF('Antal &amp; Längder (vikter)'!$P$11:$P$27,N11)&gt;0,SUM(Q11:R11)&gt;0),SUM(Q11:R11)+1000*IF(P11&lt;&gt;"",P11,0),"")</f>
        <v/>
      </c>
      <c r="T11" s="536" t="str">
        <f>IF(S11&lt;&gt;"",IF(AND(COUNTIF('Antal &amp; Längder (vikter)'!$B$10:$M$141,N11)+COUNTIF('Antal &amp; Längder (vikter)'!$P$11:$P$27,N11)&gt;0,COUNTIF(S$1:S10,S11)&gt;0),COUNTIF(S$1:S10,S11),0)+RANK(S11,S$2:S$60,0),"")</f>
        <v/>
      </c>
      <c r="U11" s="536" t="str">
        <f>IF(AND(COUNTIF('Antal &amp; Längder (vikter)'!$B$10:$M$141,N11)&gt;0,T11&lt;&gt;"",COUNTIF(T$2:T$60,T11)&gt;1),COUNTIF(T$1:T10,T11)+T11,IF(COUNTIF('Antal &amp; Längder (vikter)'!$B$10:$M$141,N11)+COUNTIF('Antal &amp; Längder (vikter)'!$P$11:$P$27,N11)&gt;0,T11,""))</f>
        <v/>
      </c>
      <c r="V11" s="1">
        <v>0.4</v>
      </c>
      <c r="W11" s="21">
        <v>1.2</v>
      </c>
      <c r="X11" s="119"/>
      <c r="Y11" s="401" t="s">
        <v>2113</v>
      </c>
      <c r="Z11" s="401" t="s">
        <v>2114</v>
      </c>
      <c r="AB11" s="472" t="str">
        <f>IF(COUNT(AB3:AB10)&gt;0,MAX(AB3:AB10)+1,"")</f>
        <v/>
      </c>
      <c r="AC11" s="433" t="str">
        <f>IF(AND(AH11&lt;&gt;"",AG11&lt;&gt;"",AI11&gt;0,AH11&gt;0),MAX(AC$2:AC10)+1,"XX")</f>
        <v>XX</v>
      </c>
      <c r="AD11" s="428" t="str">
        <f>IF('Antal &amp; Längder (vikter)'!C8&lt;&gt;"",'Antal &amp; Längder (vikter)'!C8,"XX")</f>
        <v>XX</v>
      </c>
      <c r="AE11" s="405" t="str">
        <f>IF(AND('Antal &amp; Längder (vikter)'!B$10&lt;&gt;"",ISNUMBER($AH11)),'Antal &amp; Längder (vikter)'!B$10,"")</f>
        <v/>
      </c>
      <c r="AF11" s="425" t="str">
        <f t="shared" si="1"/>
        <v/>
      </c>
      <c r="AG11" s="426" t="str">
        <f t="shared" si="2"/>
        <v/>
      </c>
      <c r="AH11" s="407" t="str">
        <f>IF('Antal &amp; Längder (vikter)'!B20&lt;&gt;"",'Antal &amp; Längder (vikter)'!B20,"XX")</f>
        <v>XX</v>
      </c>
      <c r="AI11" s="436">
        <f>IF('Antal &amp; Längder (vikter)'!C$11="Vikt (g)",'Antal &amp; Längder (vikter)'!C20,-9)</f>
        <v>-9</v>
      </c>
    </row>
    <row r="12" spans="1:35" x14ac:dyDescent="0.25">
      <c r="A12" s="569" t="s">
        <v>2069</v>
      </c>
      <c r="B12" s="570">
        <v>0.48</v>
      </c>
      <c r="C12" s="570">
        <v>0.73</v>
      </c>
      <c r="D12" s="570">
        <v>0.86</v>
      </c>
      <c r="E12" s="571"/>
      <c r="F12" s="1"/>
      <c r="G12" s="283" t="s">
        <v>463</v>
      </c>
      <c r="H12" s="20"/>
      <c r="I12" s="646" t="s">
        <v>87</v>
      </c>
      <c r="J12" s="213" t="s">
        <v>101</v>
      </c>
      <c r="K12" s="203" t="s">
        <v>582</v>
      </c>
      <c r="L12" s="493" t="str">
        <f>$N12</f>
        <v>FLODKRÄFTA</v>
      </c>
      <c r="M12" s="486" t="str">
        <f>IF(AND(COUNTIF('Antal &amp; Längder (vikter)'!$B$10:$T$141,N12)&gt;0,U12&lt;&gt;""),RANK(U12,U$2:U$60,1),IF(AND(Prot.Datum&lt;&gt;"",ProtokollLkoordX&lt;&gt;"",ProtokollLkoordY&lt;&gt;"",AND($N12="INGEN FÅNGST",SUM('Antal &amp; Längder (vikter)'!$R$11:$T$27)=0),SUM($AH$3:$AH$1082)=0),1,""))</f>
        <v/>
      </c>
      <c r="N12" s="1" t="s">
        <v>568</v>
      </c>
      <c r="O12" s="21" t="s">
        <v>597</v>
      </c>
      <c r="P12" s="99"/>
      <c r="Q12" s="533">
        <f t="shared" si="0"/>
        <v>0</v>
      </c>
      <c r="R12" s="534">
        <f>IF(ROUND(ROW()/2,0)=INT(ROW()/2),DSUM('Antal &amp; Längder (vikter)'!$O$10:$T$27,'Antal &amp; Längder (vikter)'!$R$10,L11:L12)+DSUM('Antal &amp; Längder (vikter)'!$O$10:$T$27,'Antal &amp; Längder (vikter)'!$S$10,L11:L12)+DSUM('Antal &amp; Längder (vikter)'!$O$10:$T$27,'Antal &amp; Längder (vikter)'!$T$10,L11:L12),DSUM('Antal &amp; Längder (vikter)'!$O$10:$T$27,'Antal &amp; Längder (vikter)'!$R$10,K11:K12)+DSUM('Antal &amp; Längder (vikter)'!$O$10:$T$27,'Antal &amp; Längder (vikter)'!$S$10,K11:K12)+DSUM('Antal &amp; Längder (vikter)'!$O$10:$T$27,'Antal &amp; Längder (vikter)'!$T$10,K11:K12))</f>
        <v>0</v>
      </c>
      <c r="S12" s="535" t="str">
        <f>IF(AND(COUNTIF('Antal &amp; Längder (vikter)'!$B$10:$M$141,N12)+COUNTIF('Antal &amp; Längder (vikter)'!$P$11:$P$27,N12)&gt;0,SUM(Q12:R12)&gt;0),SUM(Q12:R12)+1000*IF(P12&lt;&gt;"",P12,0),"")</f>
        <v/>
      </c>
      <c r="T12" s="536" t="str">
        <f>IF(S12&lt;&gt;"",IF(AND(COUNTIF('Antal &amp; Längder (vikter)'!$B$10:$M$141,N12)+COUNTIF('Antal &amp; Längder (vikter)'!$P$11:$P$27,N12)&gt;0,COUNTIF(S$1:S11,S12)&gt;0),COUNTIF(S$1:S11,S12),0)+RANK(S12,S$2:S$60,0),"")</f>
        <v/>
      </c>
      <c r="U12" s="536" t="str">
        <f>IF(AND(COUNTIF('Antal &amp; Längder (vikter)'!$B$10:$M$141,N12)&gt;0,T12&lt;&gt;"",COUNTIF(T$2:T$60,T12)&gt;1),COUNTIF(T$1:T11,T12)+T12,IF(COUNTIF('Antal &amp; Längder (vikter)'!$B$10:$M$141,N12)+COUNTIF('Antal &amp; Längder (vikter)'!$P$11:$P$27,N12)&gt;0,T12,""))</f>
        <v/>
      </c>
      <c r="V12" s="1">
        <v>0.05</v>
      </c>
      <c r="W12" s="21">
        <v>7</v>
      </c>
      <c r="X12" s="119"/>
      <c r="Y12" s="401" t="s">
        <v>1733</v>
      </c>
      <c r="Z12" s="401" t="s">
        <v>1734</v>
      </c>
      <c r="AB12" s="479" t="str">
        <f>IF(COUNT(AB3:AB11)&gt;0,MAX(AB3:AB11)+1,"")</f>
        <v/>
      </c>
      <c r="AC12" s="433" t="str">
        <f>IF(AND(AH12&lt;&gt;"",AG12&lt;&gt;"",AI12&gt;0,AH12&gt;0),MAX(AC$2:AC11)+1,"XX")</f>
        <v>XX</v>
      </c>
      <c r="AD12" s="428" t="str">
        <f>IF('Antal &amp; Längder (vikter)'!C8&lt;&gt;"",'Antal &amp; Längder (vikter)'!C8,"XX")</f>
        <v>XX</v>
      </c>
      <c r="AE12" s="405" t="str">
        <f>IF(AND('Antal &amp; Längder (vikter)'!B$10&lt;&gt;"",ISNUMBER($AH12)),'Antal &amp; Längder (vikter)'!B$10,"")</f>
        <v/>
      </c>
      <c r="AF12" s="425" t="str">
        <f t="shared" si="1"/>
        <v/>
      </c>
      <c r="AG12" s="426" t="str">
        <f t="shared" si="2"/>
        <v/>
      </c>
      <c r="AH12" s="407" t="str">
        <f>IF('Antal &amp; Längder (vikter)'!B21&lt;&gt;"",'Antal &amp; Längder (vikter)'!B21,"XX")</f>
        <v>XX</v>
      </c>
      <c r="AI12" s="436">
        <f>IF('Antal &amp; Längder (vikter)'!C$11="Vikt (g)",'Antal &amp; Längder (vikter)'!C21,-9)</f>
        <v>-9</v>
      </c>
    </row>
    <row r="13" spans="1:35" x14ac:dyDescent="0.25">
      <c r="A13" s="569" t="s">
        <v>2070</v>
      </c>
      <c r="B13" s="570">
        <v>0.45</v>
      </c>
      <c r="C13" s="570">
        <v>0.7</v>
      </c>
      <c r="D13" s="570">
        <v>0.83</v>
      </c>
      <c r="E13" s="571"/>
      <c r="F13" s="1"/>
      <c r="G13" s="283" t="s">
        <v>464</v>
      </c>
      <c r="H13" s="201"/>
      <c r="I13" s="647" t="s">
        <v>1508</v>
      </c>
      <c r="J13" s="213" t="s">
        <v>367</v>
      </c>
      <c r="K13" s="493" t="str">
        <f>$N13</f>
        <v>FLODNEJONÖGA</v>
      </c>
      <c r="L13" s="203" t="s">
        <v>582</v>
      </c>
      <c r="M13" s="486" t="str">
        <f>IF(AND(COUNTIF('Antal &amp; Längder (vikter)'!$B$10:$T$141,N13)&gt;0,U13&lt;&gt;""),RANK(U13,U$2:U$60,1),IF(AND(Prot.Datum&lt;&gt;"",ProtokollLkoordX&lt;&gt;"",ProtokollLkoordY&lt;&gt;"",AND($N13="INGEN FÅNGST",SUM('Antal &amp; Längder (vikter)'!$R$11:$T$27)=0),SUM($AH$3:$AH$1082)=0),1,""))</f>
        <v/>
      </c>
      <c r="N13" s="1" t="s">
        <v>569</v>
      </c>
      <c r="O13" s="21" t="s">
        <v>598</v>
      </c>
      <c r="P13" s="99"/>
      <c r="Q13" s="533">
        <f t="shared" si="0"/>
        <v>0</v>
      </c>
      <c r="R13" s="534">
        <f>IF(ROUND(ROW()/2,0)=INT(ROW()/2),DSUM('Antal &amp; Längder (vikter)'!$O$10:$T$27,'Antal &amp; Längder (vikter)'!$R$10,L12:L13)+DSUM('Antal &amp; Längder (vikter)'!$O$10:$T$27,'Antal &amp; Längder (vikter)'!$S$10,L12:L13)+DSUM('Antal &amp; Längder (vikter)'!$O$10:$T$27,'Antal &amp; Längder (vikter)'!$T$10,L12:L13),DSUM('Antal &amp; Längder (vikter)'!$O$10:$T$27,'Antal &amp; Längder (vikter)'!$R$10,K12:K13)+DSUM('Antal &amp; Längder (vikter)'!$O$10:$T$27,'Antal &amp; Längder (vikter)'!$S$10,K12:K13)+DSUM('Antal &amp; Längder (vikter)'!$O$10:$T$27,'Antal &amp; Längder (vikter)'!$T$10,K12:K13))</f>
        <v>0</v>
      </c>
      <c r="S13" s="535" t="str">
        <f>IF(AND(COUNTIF('Antal &amp; Längder (vikter)'!$B$10:$M$141,N13)+COUNTIF('Antal &amp; Längder (vikter)'!$P$11:$P$27,N13)&gt;0,SUM(Q13:R13)&gt;0),SUM(Q13:R13)+1000*IF(P13&lt;&gt;"",P13,0),"")</f>
        <v/>
      </c>
      <c r="T13" s="536" t="str">
        <f>IF(S13&lt;&gt;"",IF(AND(COUNTIF('Antal &amp; Längder (vikter)'!$B$10:$M$141,N13)+COUNTIF('Antal &amp; Längder (vikter)'!$P$11:$P$27,N13)&gt;0,COUNTIF(S$1:S12,S13)&gt;0),COUNTIF(S$1:S12,S13),0)+RANK(S13,S$2:S$60,0),"")</f>
        <v/>
      </c>
      <c r="U13" s="536" t="str">
        <f>IF(AND(COUNTIF('Antal &amp; Längder (vikter)'!$B$10:$M$141,N13)&gt;0,T13&lt;&gt;"",COUNTIF(T$2:T$60,T13)&gt;1),COUNTIF(T$1:T12,T13)+T13,IF(COUNTIF('Antal &amp; Längder (vikter)'!$B$10:$M$141,N13)+COUNTIF('Antal &amp; Längder (vikter)'!$P$11:$P$27,N13)&gt;0,T13,""))</f>
        <v/>
      </c>
      <c r="V13" s="1">
        <v>0.05</v>
      </c>
      <c r="W13" s="21">
        <v>0.5</v>
      </c>
      <c r="X13" s="119"/>
      <c r="Y13" s="401" t="s">
        <v>2115</v>
      </c>
      <c r="Z13" s="401" t="s">
        <v>2116</v>
      </c>
      <c r="AB13" s="480" t="str">
        <f>IF(AND(ISNUMBER(AH13),AH13&gt;0),IF(MAX(AB$3:AB12)&gt;0,MAX(AB$3:AB12)+1,10+COUNTIF(F$38:F$49,"&gt;0")*10+1),"")</f>
        <v/>
      </c>
      <c r="AC13" s="433" t="str">
        <f>IF(AND(AH13&lt;&gt;"",AG13&lt;&gt;"",AI13&gt;0,AH13&gt;0),MAX(AC$2:AC12)+1,"XX")</f>
        <v>XX</v>
      </c>
      <c r="AD13" s="428" t="str">
        <f>IF('Antal &amp; Längder (vikter)'!C8&lt;&gt;"",'Antal &amp; Längder (vikter)'!C8,"XX")</f>
        <v>XX</v>
      </c>
      <c r="AE13" s="405" t="str">
        <f>IF(AND('Antal &amp; Längder (vikter)'!B$10&lt;&gt;"",ISNUMBER($AH13)),'Antal &amp; Längder (vikter)'!B$10,"")</f>
        <v/>
      </c>
      <c r="AF13" s="425" t="str">
        <f t="shared" si="1"/>
        <v/>
      </c>
      <c r="AG13" s="426" t="str">
        <f t="shared" si="2"/>
        <v/>
      </c>
      <c r="AH13" s="409" t="str">
        <f>IF('Antal &amp; Längder (vikter)'!C$11="Längd (mm)",IF('Antal &amp; Längder (vikter)'!C12&lt;&gt;"",'Antal &amp; Längder (vikter)'!C12,"XX"),"XX")</f>
        <v>XX</v>
      </c>
      <c r="AI13" s="7">
        <v>-9</v>
      </c>
    </row>
    <row r="14" spans="1:35" x14ac:dyDescent="0.25">
      <c r="A14" s="569" t="s">
        <v>2071</v>
      </c>
      <c r="B14" s="570">
        <v>0.55000000000000004</v>
      </c>
      <c r="C14" s="570">
        <v>0.8</v>
      </c>
      <c r="D14" s="570">
        <v>0.91</v>
      </c>
      <c r="E14" s="571"/>
      <c r="F14" s="1"/>
      <c r="G14" s="284"/>
      <c r="H14" s="201"/>
      <c r="I14" s="357" t="s">
        <v>88</v>
      </c>
      <c r="J14" s="213" t="s">
        <v>95</v>
      </c>
      <c r="K14" s="203" t="s">
        <v>582</v>
      </c>
      <c r="L14" s="493" t="str">
        <f>$N14</f>
        <v>FÄRNA</v>
      </c>
      <c r="M14" s="486" t="str">
        <f>IF(AND(COUNTIF('Antal &amp; Längder (vikter)'!$B$10:$T$141,N14)&gt;0,U14&lt;&gt;""),RANK(U14,U$2:U$60,1),IF(AND(Prot.Datum&lt;&gt;"",ProtokollLkoordX&lt;&gt;"",ProtokollLkoordY&lt;&gt;"",AND($N14="INGEN FÅNGST",SUM('Antal &amp; Längder (vikter)'!$R$11:$T$27)=0),SUM($AH$3:$AH$1082)=0),1,""))</f>
        <v/>
      </c>
      <c r="N14" s="1" t="s">
        <v>570</v>
      </c>
      <c r="O14" s="21" t="s">
        <v>570</v>
      </c>
      <c r="P14" s="99"/>
      <c r="Q14" s="533">
        <f t="shared" si="0"/>
        <v>0</v>
      </c>
      <c r="R14" s="534">
        <f>IF(ROUND(ROW()/2,0)=INT(ROW()/2),DSUM('Antal &amp; Längder (vikter)'!$O$10:$T$27,'Antal &amp; Längder (vikter)'!$R$10,L13:L14)+DSUM('Antal &amp; Längder (vikter)'!$O$10:$T$27,'Antal &amp; Längder (vikter)'!$S$10,L13:L14)+DSUM('Antal &amp; Längder (vikter)'!$O$10:$T$27,'Antal &amp; Längder (vikter)'!$T$10,L13:L14),DSUM('Antal &amp; Längder (vikter)'!$O$10:$T$27,'Antal &amp; Längder (vikter)'!$R$10,K13:K14)+DSUM('Antal &amp; Längder (vikter)'!$O$10:$T$27,'Antal &amp; Längder (vikter)'!$S$10,K13:K14)+DSUM('Antal &amp; Längder (vikter)'!$O$10:$T$27,'Antal &amp; Längder (vikter)'!$T$10,K13:K14))</f>
        <v>0</v>
      </c>
      <c r="S14" s="535" t="str">
        <f>IF(AND(COUNTIF('Antal &amp; Längder (vikter)'!$B$10:$M$141,N14)+COUNTIF('Antal &amp; Längder (vikter)'!$P$11:$P$27,N14)&gt;0,SUM(Q14:R14)&gt;0),SUM(Q14:R14)+1000*IF(P14&lt;&gt;"",P14,0),"")</f>
        <v/>
      </c>
      <c r="T14" s="536" t="str">
        <f>IF(S14&lt;&gt;"",IF(AND(COUNTIF('Antal &amp; Längder (vikter)'!$B$10:$M$141,N14)+COUNTIF('Antal &amp; Längder (vikter)'!$P$11:$P$27,N14)&gt;0,COUNTIF(S$1:S13,S14)&gt;0),COUNTIF(S$1:S13,S14),0)+RANK(S14,S$2:S$60,0),"")</f>
        <v/>
      </c>
      <c r="U14" s="536" t="str">
        <f>IF(AND(COUNTIF('Antal &amp; Längder (vikter)'!$B$10:$M$141,N14)&gt;0,T14&lt;&gt;"",COUNTIF(T$2:T$60,T14)&gt;1),COUNTIF(T$1:T13,T14)+T14,IF(COUNTIF('Antal &amp; Längder (vikter)'!$B$10:$M$141,N14)+COUNTIF('Antal &amp; Längder (vikter)'!$P$11:$P$27,N14)&gt;0,T14,""))</f>
        <v/>
      </c>
      <c r="V14" s="1">
        <v>0.6</v>
      </c>
      <c r="W14" s="21">
        <v>1.6</v>
      </c>
      <c r="X14" s="119"/>
      <c r="Y14" s="401" t="s">
        <v>2358</v>
      </c>
      <c r="Z14" s="401" t="s">
        <v>2359</v>
      </c>
      <c r="AB14" s="476" t="str">
        <f>IF(COUNT(AB13:AB13)&gt;0,MAX(AB13:AB13)+1,"")</f>
        <v/>
      </c>
      <c r="AC14" s="433" t="str">
        <f>IF(AND(AH14&lt;&gt;"",AG14&lt;&gt;"",AI14&gt;0,AH14&gt;0),MAX(AC$2:AC13)+1,"XX")</f>
        <v>XX</v>
      </c>
      <c r="AD14" s="428" t="str">
        <f>IF('Antal &amp; Längder (vikter)'!C8&lt;&gt;"",'Antal &amp; Längder (vikter)'!C8,"XX")</f>
        <v>XX</v>
      </c>
      <c r="AE14" s="405" t="str">
        <f>IF(AND('Antal &amp; Längder (vikter)'!B$10&lt;&gt;"",ISNUMBER($AH14)),'Antal &amp; Längder (vikter)'!B$10,"")</f>
        <v/>
      </c>
      <c r="AF14" s="425" t="str">
        <f t="shared" si="1"/>
        <v/>
      </c>
      <c r="AG14" s="426" t="str">
        <f t="shared" si="2"/>
        <v/>
      </c>
      <c r="AH14" s="409" t="str">
        <f>IF('Antal &amp; Längder (vikter)'!C$11="Längd (mm)",IF('Antal &amp; Längder (vikter)'!C13&lt;&gt;"",'Antal &amp; Längder (vikter)'!C13,"XX"),"XX")</f>
        <v>XX</v>
      </c>
      <c r="AI14" s="7">
        <v>-9</v>
      </c>
    </row>
    <row r="15" spans="1:35" x14ac:dyDescent="0.25">
      <c r="A15" s="569" t="s">
        <v>2072</v>
      </c>
      <c r="B15" s="570">
        <v>0.45</v>
      </c>
      <c r="C15" s="570">
        <v>0.7</v>
      </c>
      <c r="D15" s="570">
        <v>0.83</v>
      </c>
      <c r="E15" s="571"/>
      <c r="F15" s="1"/>
      <c r="G15" s="8"/>
      <c r="H15" s="20"/>
      <c r="I15" s="646" t="s">
        <v>84</v>
      </c>
      <c r="J15" s="213" t="s">
        <v>368</v>
      </c>
      <c r="K15" s="493" t="str">
        <f>$N15</f>
        <v>GERS</v>
      </c>
      <c r="L15" s="203" t="s">
        <v>582</v>
      </c>
      <c r="M15" s="486" t="str">
        <f>IF(AND(COUNTIF('Antal &amp; Längder (vikter)'!$B$10:$T$141,N15)&gt;0,U15&lt;&gt;""),RANK(U15,U$2:U$60,1),IF(AND(Prot.Datum&lt;&gt;"",ProtokollLkoordX&lt;&gt;"",ProtokollLkoordY&lt;&gt;"",AND($N15="INGEN FÅNGST",SUM('Antal &amp; Längder (vikter)'!$R$11:$T$27)=0),SUM($AH$3:$AH$1082)=0),1,""))</f>
        <v/>
      </c>
      <c r="N15" s="1" t="s">
        <v>616</v>
      </c>
      <c r="O15" s="21" t="s">
        <v>616</v>
      </c>
      <c r="P15" s="99"/>
      <c r="Q15" s="533">
        <f t="shared" si="0"/>
        <v>0</v>
      </c>
      <c r="R15" s="534">
        <f>IF(ROUND(ROW()/2,0)=INT(ROW()/2),DSUM('Antal &amp; Längder (vikter)'!$O$10:$T$27,'Antal &amp; Längder (vikter)'!$R$10,L14:L15)+DSUM('Antal &amp; Längder (vikter)'!$O$10:$T$27,'Antal &amp; Längder (vikter)'!$S$10,L14:L15)+DSUM('Antal &amp; Längder (vikter)'!$O$10:$T$27,'Antal &amp; Längder (vikter)'!$T$10,L14:L15),DSUM('Antal &amp; Längder (vikter)'!$O$10:$T$27,'Antal &amp; Längder (vikter)'!$R$10,K14:K15)+DSUM('Antal &amp; Längder (vikter)'!$O$10:$T$27,'Antal &amp; Längder (vikter)'!$S$10,K14:K15)+DSUM('Antal &amp; Längder (vikter)'!$O$10:$T$27,'Antal &amp; Längder (vikter)'!$T$10,K14:K15))</f>
        <v>0</v>
      </c>
      <c r="S15" s="535" t="str">
        <f>IF(AND(COUNTIF('Antal &amp; Längder (vikter)'!$B$10:$M$141,N15)+COUNTIF('Antal &amp; Längder (vikter)'!$P$11:$P$27,N15)&gt;0,SUM(Q15:R15)&gt;0),SUM(Q15:R15)+1000*IF(P15&lt;&gt;"",P15,0),"")</f>
        <v/>
      </c>
      <c r="T15" s="536" t="str">
        <f>IF(S15&lt;&gt;"",IF(AND(COUNTIF('Antal &amp; Längder (vikter)'!$B$10:$M$141,N15)+COUNTIF('Antal &amp; Längder (vikter)'!$P$11:$P$27,N15)&gt;0,COUNTIF(S$1:S14,S15)&gt;0),COUNTIF(S$1:S14,S15),0)+RANK(S15,S$2:S$60,0),"")</f>
        <v/>
      </c>
      <c r="U15" s="536" t="str">
        <f>IF(AND(COUNTIF('Antal &amp; Längder (vikter)'!$B$10:$M$141,N15)&gt;0,T15&lt;&gt;"",COUNTIF(T$2:T$60,T15)&gt;1),COUNTIF(T$1:T14,T15)+T15,IF(COUNTIF('Antal &amp; Längder (vikter)'!$B$10:$M$141,N15)+COUNTIF('Antal &amp; Längder (vikter)'!$P$11:$P$27,N15)&gt;0,T15,""))</f>
        <v/>
      </c>
      <c r="V15" s="1">
        <v>0.6</v>
      </c>
      <c r="W15" s="21">
        <v>1.6</v>
      </c>
      <c r="X15" s="119"/>
      <c r="Y15" s="401" t="s">
        <v>1549</v>
      </c>
      <c r="Z15" s="401" t="s">
        <v>1550</v>
      </c>
      <c r="AB15" s="477" t="str">
        <f>IF(COUNT(AB13:AB14)&gt;0,MAX(AB13:AB14)+1,"")</f>
        <v/>
      </c>
      <c r="AC15" s="433" t="str">
        <f>IF(AND(AH15&lt;&gt;"",AG15&lt;&gt;"",AI15&gt;0,AH15&gt;0),MAX(AC$2:AC14)+1,"XX")</f>
        <v>XX</v>
      </c>
      <c r="AD15" s="428" t="str">
        <f>IF('Antal &amp; Längder (vikter)'!C8&lt;&gt;"",'Antal &amp; Längder (vikter)'!C8,"XX")</f>
        <v>XX</v>
      </c>
      <c r="AE15" s="405" t="str">
        <f>IF(AND('Antal &amp; Längder (vikter)'!B$10&lt;&gt;"",ISNUMBER($AH15)),'Antal &amp; Längder (vikter)'!B$10,"")</f>
        <v/>
      </c>
      <c r="AF15" s="425" t="str">
        <f t="shared" si="1"/>
        <v/>
      </c>
      <c r="AG15" s="426" t="str">
        <f t="shared" si="2"/>
        <v/>
      </c>
      <c r="AH15" s="409" t="str">
        <f>IF('Antal &amp; Längder (vikter)'!C$11="Längd (mm)",IF('Antal &amp; Längder (vikter)'!C14&lt;&gt;"",'Antal &amp; Längder (vikter)'!C14,"XX"),"XX")</f>
        <v>XX</v>
      </c>
      <c r="AI15" s="7">
        <v>-9</v>
      </c>
    </row>
    <row r="16" spans="1:35" x14ac:dyDescent="0.25">
      <c r="A16" s="569" t="s">
        <v>2073</v>
      </c>
      <c r="B16" s="570">
        <v>0.55000000000000004</v>
      </c>
      <c r="C16" s="570">
        <v>0.8</v>
      </c>
      <c r="D16" s="570">
        <v>0.91</v>
      </c>
      <c r="E16" s="571"/>
      <c r="F16" s="1"/>
      <c r="G16" s="8"/>
      <c r="H16" s="20"/>
      <c r="I16" s="646" t="s">
        <v>2504</v>
      </c>
      <c r="J16" s="213" t="s">
        <v>105</v>
      </c>
      <c r="K16" s="203" t="s">
        <v>582</v>
      </c>
      <c r="L16" s="493" t="str">
        <f>$N16</f>
        <v>GROPLÖJA</v>
      </c>
      <c r="M16" s="486" t="str">
        <f>IF(AND(COUNTIF('Antal &amp; Längder (vikter)'!$B$10:$T$141,N16)&gt;0,U16&lt;&gt;""),RANK(U16,U$2:U$60,1),IF(AND(Prot.Datum&lt;&gt;"",ProtokollLkoordX&lt;&gt;"",ProtokollLkoordY&lt;&gt;"",AND($N16="INGEN FÅNGST",SUM('Antal &amp; Längder (vikter)'!$R$11:$T$27)=0),SUM($AH$3:$AH$1082)=0),1,""))</f>
        <v/>
      </c>
      <c r="N16" s="1" t="s">
        <v>618</v>
      </c>
      <c r="O16" s="21" t="s">
        <v>619</v>
      </c>
      <c r="P16" s="99"/>
      <c r="Q16" s="533">
        <f t="shared" si="0"/>
        <v>0</v>
      </c>
      <c r="R16" s="534">
        <f>IF(ROUND(ROW()/2,0)=INT(ROW()/2),DSUM('Antal &amp; Längder (vikter)'!$O$10:$T$27,'Antal &amp; Längder (vikter)'!$R$10,L15:L16)+DSUM('Antal &amp; Längder (vikter)'!$O$10:$T$27,'Antal &amp; Längder (vikter)'!$S$10,L15:L16)+DSUM('Antal &amp; Längder (vikter)'!$O$10:$T$27,'Antal &amp; Längder (vikter)'!$T$10,L15:L16),DSUM('Antal &amp; Längder (vikter)'!$O$10:$T$27,'Antal &amp; Längder (vikter)'!$R$10,K15:K16)+DSUM('Antal &amp; Längder (vikter)'!$O$10:$T$27,'Antal &amp; Längder (vikter)'!$S$10,K15:K16)+DSUM('Antal &amp; Längder (vikter)'!$O$10:$T$27,'Antal &amp; Längder (vikter)'!$T$10,K15:K16))</f>
        <v>0</v>
      </c>
      <c r="S16" s="535" t="str">
        <f>IF(AND(COUNTIF('Antal &amp; Längder (vikter)'!$B$10:$M$141,N16)+COUNTIF('Antal &amp; Längder (vikter)'!$P$11:$P$27,N16)&gt;0,SUM(Q16:R16)&gt;0),SUM(Q16:R16)+1000*IF(P16&lt;&gt;"",P16,0),"")</f>
        <v/>
      </c>
      <c r="T16" s="536" t="str">
        <f>IF(S16&lt;&gt;"",IF(AND(COUNTIF('Antal &amp; Längder (vikter)'!$B$10:$M$141,N16)+COUNTIF('Antal &amp; Längder (vikter)'!$P$11:$P$27,N16)&gt;0,COUNTIF(S$1:S15,S16)&gt;0),COUNTIF(S$1:S15,S16),0)+RANK(S16,S$2:S$60,0),"")</f>
        <v/>
      </c>
      <c r="U16" s="536" t="str">
        <f>IF(AND(COUNTIF('Antal &amp; Längder (vikter)'!$B$10:$M$141,N16)&gt;0,T16&lt;&gt;"",COUNTIF(T$2:T$60,T16)&gt;1),COUNTIF(T$1:T15,T16)+T16,IF(COUNTIF('Antal &amp; Längder (vikter)'!$B$10:$M$141,N16)+COUNTIF('Antal &amp; Längder (vikter)'!$P$11:$P$27,N16)&gt;0,T16,""))</f>
        <v/>
      </c>
      <c r="V16" s="1">
        <v>0.4</v>
      </c>
      <c r="W16" s="21">
        <v>1.2</v>
      </c>
      <c r="X16" s="119"/>
      <c r="Y16" s="401" t="s">
        <v>2360</v>
      </c>
      <c r="Z16" s="401" t="s">
        <v>2361</v>
      </c>
      <c r="AB16" s="434" t="str">
        <f>IF(COUNT(AB13:AB15)&gt;0,MAX(AB13:AB15)+1,"")</f>
        <v/>
      </c>
      <c r="AC16" s="433" t="str">
        <f>IF(AND(AH16&lt;&gt;"",AG16&lt;&gt;"",AI16&gt;0,AH16&gt;0),MAX(AC$2:AC15)+1,"XX")</f>
        <v>XX</v>
      </c>
      <c r="AD16" s="428" t="str">
        <f>IF('Antal &amp; Längder (vikter)'!C8&lt;&gt;"",'Antal &amp; Längder (vikter)'!C8,"XX")</f>
        <v>XX</v>
      </c>
      <c r="AE16" s="405" t="str">
        <f>IF(AND('Antal &amp; Längder (vikter)'!B$10&lt;&gt;"",ISNUMBER($AH16)),'Antal &amp; Längder (vikter)'!B$10,"")</f>
        <v/>
      </c>
      <c r="AF16" s="425" t="str">
        <f t="shared" si="1"/>
        <v/>
      </c>
      <c r="AG16" s="426" t="str">
        <f t="shared" si="2"/>
        <v/>
      </c>
      <c r="AH16" s="409" t="str">
        <f>IF('Antal &amp; Längder (vikter)'!C$11="Längd (mm)",IF('Antal &amp; Längder (vikter)'!C15&lt;&gt;"",'Antal &amp; Längder (vikter)'!C15,"XX"),"XX")</f>
        <v>XX</v>
      </c>
      <c r="AI16" s="7">
        <v>-9</v>
      </c>
    </row>
    <row r="17" spans="1:35" x14ac:dyDescent="0.25">
      <c r="A17" s="569" t="s">
        <v>2074</v>
      </c>
      <c r="B17" s="570">
        <v>0.3</v>
      </c>
      <c r="C17" s="570">
        <v>0.51</v>
      </c>
      <c r="D17" s="570">
        <v>0.66</v>
      </c>
      <c r="E17" s="571"/>
      <c r="F17" s="1"/>
      <c r="G17" s="281" t="s">
        <v>1494</v>
      </c>
      <c r="H17" s="20"/>
      <c r="I17" s="648" t="s">
        <v>2505</v>
      </c>
      <c r="J17" s="213" t="s">
        <v>104</v>
      </c>
      <c r="K17" s="493" t="str">
        <f>$N17</f>
        <v>GRÖNLING</v>
      </c>
      <c r="L17" s="203" t="s">
        <v>582</v>
      </c>
      <c r="M17" s="486" t="str">
        <f>IF(AND(COUNTIF('Antal &amp; Längder (vikter)'!$B$10:$T$141,N17)&gt;0,U17&lt;&gt;""),RANK(U17,U$2:U$60,1),IF(AND(Prot.Datum&lt;&gt;"",ProtokollLkoordX&lt;&gt;"",ProtokollLkoordY&lt;&gt;"",AND($N17="INGEN FÅNGST",SUM('Antal &amp; Längder (vikter)'!$R$11:$T$27)=0),SUM($AH$3:$AH$1082)=0),1,""))</f>
        <v/>
      </c>
      <c r="N17" s="1" t="s">
        <v>571</v>
      </c>
      <c r="O17" s="21" t="s">
        <v>599</v>
      </c>
      <c r="P17" s="99"/>
      <c r="Q17" s="533">
        <f t="shared" si="0"/>
        <v>0</v>
      </c>
      <c r="R17" s="534">
        <f>IF(ROUND(ROW()/2,0)=INT(ROW()/2),DSUM('Antal &amp; Längder (vikter)'!$O$10:$T$27,'Antal &amp; Längder (vikter)'!$R$10,L16:L17)+DSUM('Antal &amp; Längder (vikter)'!$O$10:$T$27,'Antal &amp; Längder (vikter)'!$S$10,L16:L17)+DSUM('Antal &amp; Längder (vikter)'!$O$10:$T$27,'Antal &amp; Längder (vikter)'!$T$10,L16:L17),DSUM('Antal &amp; Längder (vikter)'!$O$10:$T$27,'Antal &amp; Längder (vikter)'!$R$10,K16:K17)+DSUM('Antal &amp; Längder (vikter)'!$O$10:$T$27,'Antal &amp; Längder (vikter)'!$S$10,K16:K17)+DSUM('Antal &amp; Längder (vikter)'!$O$10:$T$27,'Antal &amp; Längder (vikter)'!$T$10,K16:K17))</f>
        <v>0</v>
      </c>
      <c r="S17" s="535" t="str">
        <f>IF(AND(COUNTIF('Antal &amp; Längder (vikter)'!$B$10:$M$141,N17)+COUNTIF('Antal &amp; Längder (vikter)'!$P$11:$P$27,N17)&gt;0,SUM(Q17:R17)&gt;0),SUM(Q17:R17)+1000*IF(P17&lt;&gt;"",P17,0),"")</f>
        <v/>
      </c>
      <c r="T17" s="536" t="str">
        <f>IF(S17&lt;&gt;"",IF(AND(COUNTIF('Antal &amp; Längder (vikter)'!$B$10:$M$141,N17)+COUNTIF('Antal &amp; Längder (vikter)'!$P$11:$P$27,N17)&gt;0,COUNTIF(S$1:S16,S17)&gt;0),COUNTIF(S$1:S16,S17),0)+RANK(S17,S$2:S$60,0),"")</f>
        <v/>
      </c>
      <c r="U17" s="536" t="str">
        <f>IF(AND(COUNTIF('Antal &amp; Längder (vikter)'!$B$10:$M$141,N17)&gt;0,T17&lt;&gt;"",COUNTIF(T$2:T$60,T17)&gt;1),COUNTIF(T$1:T16,T17)+T17,IF(COUNTIF('Antal &amp; Längder (vikter)'!$B$10:$M$141,N17)+COUNTIF('Antal &amp; Längder (vikter)'!$P$11:$P$27,N17)&gt;0,T17,""))</f>
        <v/>
      </c>
      <c r="V17" s="1">
        <v>0.6</v>
      </c>
      <c r="W17" s="21">
        <v>1.6</v>
      </c>
      <c r="X17" s="119"/>
      <c r="Y17" s="401" t="s">
        <v>2117</v>
      </c>
      <c r="Z17" s="401" t="s">
        <v>2118</v>
      </c>
      <c r="AB17" s="475" t="str">
        <f>IF(COUNT(AB13:AB16)&gt;0,MAX(AB13:AB16)+1,"")</f>
        <v/>
      </c>
      <c r="AC17" s="433" t="str">
        <f>IF(AND(AH17&lt;&gt;"",AG17&lt;&gt;"",AI17&gt;0,AH17&gt;0),MAX(AC$2:AC16)+1,"XX")</f>
        <v>XX</v>
      </c>
      <c r="AD17" s="428" t="str">
        <f>IF('Antal &amp; Längder (vikter)'!C8&lt;&gt;"",'Antal &amp; Längder (vikter)'!C8,"XX")</f>
        <v>XX</v>
      </c>
      <c r="AE17" s="405" t="str">
        <f>IF(AND('Antal &amp; Längder (vikter)'!B$10&lt;&gt;"",ISNUMBER($AH17)),'Antal &amp; Längder (vikter)'!B$10,"")</f>
        <v/>
      </c>
      <c r="AF17" s="425" t="str">
        <f t="shared" si="1"/>
        <v/>
      </c>
      <c r="AG17" s="426" t="str">
        <f t="shared" si="2"/>
        <v/>
      </c>
      <c r="AH17" s="409" t="str">
        <f>IF('Antal &amp; Längder (vikter)'!C$11="Längd (mm)",IF('Antal &amp; Längder (vikter)'!C16&lt;&gt;"",'Antal &amp; Längder (vikter)'!C16,"XX"),"XX")</f>
        <v>XX</v>
      </c>
      <c r="AI17" s="7">
        <v>-9</v>
      </c>
    </row>
    <row r="18" spans="1:35" x14ac:dyDescent="0.25">
      <c r="A18" s="569" t="s">
        <v>2075</v>
      </c>
      <c r="B18" s="570">
        <v>0.48</v>
      </c>
      <c r="C18" s="570">
        <v>0.73</v>
      </c>
      <c r="D18" s="570">
        <v>0.86</v>
      </c>
      <c r="E18" s="571"/>
      <c r="F18" s="1"/>
      <c r="G18" s="282" t="s">
        <v>1495</v>
      </c>
      <c r="H18" s="20"/>
      <c r="I18" s="357" t="s">
        <v>2506</v>
      </c>
      <c r="J18" s="213" t="s">
        <v>102</v>
      </c>
      <c r="K18" s="203" t="s">
        <v>582</v>
      </c>
      <c r="L18" s="493" t="str">
        <f>$N18</f>
        <v>GÄDDA</v>
      </c>
      <c r="M18" s="486" t="str">
        <f>IF(AND(COUNTIF('Antal &amp; Längder (vikter)'!$B$10:$T$141,N18)&gt;0,U18&lt;&gt;""),RANK(U18,U$2:U$60,1),IF(AND(Prot.Datum&lt;&gt;"",ProtokollLkoordX&lt;&gt;"",ProtokollLkoordY&lt;&gt;"",AND($N18="INGEN FÅNGST",SUM('Antal &amp; Längder (vikter)'!$R$11:$T$27)=0),SUM($AH$3:$AH$1082)=0),1,""))</f>
        <v/>
      </c>
      <c r="N18" s="1" t="s">
        <v>572</v>
      </c>
      <c r="O18" s="21" t="s">
        <v>572</v>
      </c>
      <c r="P18" s="99"/>
      <c r="Q18" s="533">
        <f t="shared" si="0"/>
        <v>0</v>
      </c>
      <c r="R18" s="534">
        <f>IF(ROUND(ROW()/2,0)=INT(ROW()/2),DSUM('Antal &amp; Längder (vikter)'!$O$10:$T$27,'Antal &amp; Längder (vikter)'!$R$10,L17:L18)+DSUM('Antal &amp; Längder (vikter)'!$O$10:$T$27,'Antal &amp; Längder (vikter)'!$S$10,L17:L18)+DSUM('Antal &amp; Längder (vikter)'!$O$10:$T$27,'Antal &amp; Längder (vikter)'!$T$10,L17:L18),DSUM('Antal &amp; Längder (vikter)'!$O$10:$T$27,'Antal &amp; Längder (vikter)'!$R$10,K17:K18)+DSUM('Antal &amp; Längder (vikter)'!$O$10:$T$27,'Antal &amp; Längder (vikter)'!$S$10,K17:K18)+DSUM('Antal &amp; Längder (vikter)'!$O$10:$T$27,'Antal &amp; Längder (vikter)'!$T$10,K17:K18))</f>
        <v>0</v>
      </c>
      <c r="S18" s="535" t="str">
        <f>IF(AND(COUNTIF('Antal &amp; Längder (vikter)'!$B$10:$M$141,N18)+COUNTIF('Antal &amp; Längder (vikter)'!$P$11:$P$27,N18)&gt;0,SUM(Q18:R18)&gt;0),SUM(Q18:R18)+1000*IF(P18&lt;&gt;"",P18,0),"")</f>
        <v/>
      </c>
      <c r="T18" s="536" t="str">
        <f>IF(S18&lt;&gt;"",IF(AND(COUNTIF('Antal &amp; Längder (vikter)'!$B$10:$M$141,N18)+COUNTIF('Antal &amp; Längder (vikter)'!$P$11:$P$27,N18)&gt;0,COUNTIF(S$1:S17,S18)&gt;0),COUNTIF(S$1:S17,S18),0)+RANK(S18,S$2:S$60,0),"")</f>
        <v/>
      </c>
      <c r="U18" s="536" t="str">
        <f>IF(AND(COUNTIF('Antal &amp; Längder (vikter)'!$B$10:$M$141,N18)&gt;0,T18&lt;&gt;"",COUNTIF(T$2:T$60,T18)&gt;1),COUNTIF(T$1:T17,T18)+T18,IF(COUNTIF('Antal &amp; Längder (vikter)'!$B$10:$M$141,N18)+COUNTIF('Antal &amp; Längder (vikter)'!$P$11:$P$27,N18)&gt;0,T18,""))</f>
        <v/>
      </c>
      <c r="V18" s="1">
        <v>0.4</v>
      </c>
      <c r="W18" s="21">
        <v>1.4</v>
      </c>
      <c r="X18" s="119"/>
      <c r="Y18" s="401" t="s">
        <v>1887</v>
      </c>
      <c r="Z18" s="401" t="s">
        <v>1888</v>
      </c>
      <c r="AB18" s="471" t="str">
        <f>IF(COUNT(AB13:AB17)&gt;0,MAX(AB13:AB17)+1,"")</f>
        <v/>
      </c>
      <c r="AC18" s="433" t="str">
        <f>IF(AND(AH18&lt;&gt;"",AG18&lt;&gt;"",AI18&gt;0,AH18&gt;0),MAX(AC$2:AC17)+1,"XX")</f>
        <v>XX</v>
      </c>
      <c r="AD18" s="428" t="str">
        <f>IF('Antal &amp; Längder (vikter)'!C8&lt;&gt;"",'Antal &amp; Längder (vikter)'!C8,"XX")</f>
        <v>XX</v>
      </c>
      <c r="AE18" s="405" t="str">
        <f>IF(AND('Antal &amp; Längder (vikter)'!B$10&lt;&gt;"",ISNUMBER($AH18)),'Antal &amp; Längder (vikter)'!B$10,"")</f>
        <v/>
      </c>
      <c r="AF18" s="425" t="str">
        <f t="shared" si="1"/>
        <v/>
      </c>
      <c r="AG18" s="426" t="str">
        <f t="shared" si="2"/>
        <v/>
      </c>
      <c r="AH18" s="409" t="str">
        <f>IF('Antal &amp; Längder (vikter)'!C$11="Längd (mm)",IF('Antal &amp; Längder (vikter)'!C17&lt;&gt;"",'Antal &amp; Längder (vikter)'!C17,"XX"),"XX")</f>
        <v>XX</v>
      </c>
      <c r="AI18" s="7">
        <v>-9</v>
      </c>
    </row>
    <row r="19" spans="1:35" x14ac:dyDescent="0.25">
      <c r="A19" s="569" t="s">
        <v>2076</v>
      </c>
      <c r="B19" s="570">
        <v>0.72</v>
      </c>
      <c r="C19" s="570">
        <v>0.92</v>
      </c>
      <c r="D19" s="570">
        <v>0.96</v>
      </c>
      <c r="E19" s="571"/>
      <c r="F19" s="1"/>
      <c r="G19" s="283" t="s">
        <v>1496</v>
      </c>
      <c r="H19" s="20"/>
      <c r="I19" s="357" t="s">
        <v>382</v>
      </c>
      <c r="J19" s="213" t="s">
        <v>1511</v>
      </c>
      <c r="K19" s="493" t="str">
        <f>$N19</f>
        <v>GÖS</v>
      </c>
      <c r="L19" s="203" t="s">
        <v>582</v>
      </c>
      <c r="M19" s="486" t="str">
        <f>IF(AND(COUNTIF('Antal &amp; Längder (vikter)'!$B$10:$T$141,N19)&gt;0,U19&lt;&gt;""),RANK(U19,U$2:U$60,1),IF(AND(Prot.Datum&lt;&gt;"",ProtokollLkoordX&lt;&gt;"",ProtokollLkoordY&lt;&gt;"",AND($N19="INGEN FÅNGST",SUM('Antal &amp; Längder (vikter)'!$R$11:$T$27)=0),SUM($AH$3:$AH$1082)=0),1,""))</f>
        <v/>
      </c>
      <c r="N19" s="1" t="s">
        <v>617</v>
      </c>
      <c r="O19" s="21" t="s">
        <v>617</v>
      </c>
      <c r="P19" s="99"/>
      <c r="Q19" s="533">
        <f t="shared" si="0"/>
        <v>0</v>
      </c>
      <c r="R19" s="534">
        <f>IF(ROUND(ROW()/2,0)=INT(ROW()/2),DSUM('Antal &amp; Längder (vikter)'!$O$10:$T$27,'Antal &amp; Längder (vikter)'!$R$10,L18:L19)+DSUM('Antal &amp; Längder (vikter)'!$O$10:$T$27,'Antal &amp; Längder (vikter)'!$S$10,L18:L19)+DSUM('Antal &amp; Längder (vikter)'!$O$10:$T$27,'Antal &amp; Längder (vikter)'!$T$10,L18:L19),DSUM('Antal &amp; Längder (vikter)'!$O$10:$T$27,'Antal &amp; Längder (vikter)'!$R$10,K18:K19)+DSUM('Antal &amp; Längder (vikter)'!$O$10:$T$27,'Antal &amp; Längder (vikter)'!$S$10,K18:K19)+DSUM('Antal &amp; Längder (vikter)'!$O$10:$T$27,'Antal &amp; Längder (vikter)'!$T$10,K18:K19))</f>
        <v>0</v>
      </c>
      <c r="S19" s="535" t="str">
        <f>IF(AND(COUNTIF('Antal &amp; Längder (vikter)'!$B$10:$M$141,N19)+COUNTIF('Antal &amp; Längder (vikter)'!$P$11:$P$27,N19)&gt;0,SUM(Q19:R19)&gt;0),SUM(Q19:R19)+1000*IF(P19&lt;&gt;"",P19,0),"")</f>
        <v/>
      </c>
      <c r="T19" s="536" t="str">
        <f>IF(S19&lt;&gt;"",IF(AND(COUNTIF('Antal &amp; Längder (vikter)'!$B$10:$M$141,N19)+COUNTIF('Antal &amp; Längder (vikter)'!$P$11:$P$27,N19)&gt;0,COUNTIF(S$1:S18,S19)&gt;0),COUNTIF(S$1:S18,S19),0)+RANK(S19,S$2:S$60,0),"")</f>
        <v/>
      </c>
      <c r="U19" s="536" t="str">
        <f>IF(AND(COUNTIF('Antal &amp; Längder (vikter)'!$B$10:$M$141,N19)&gt;0,T19&lt;&gt;"",COUNTIF(T$2:T$60,T19)&gt;1),COUNTIF(T$1:T18,T19)+T19,IF(COUNTIF('Antal &amp; Längder (vikter)'!$B$10:$M$141,N19)+COUNTIF('Antal &amp; Längder (vikter)'!$P$11:$P$27,N19)&gt;0,T19,""))</f>
        <v/>
      </c>
      <c r="V19" s="1">
        <v>0.6</v>
      </c>
      <c r="W19" s="21">
        <v>1.6</v>
      </c>
      <c r="X19" s="119"/>
      <c r="Y19" s="401" t="s">
        <v>1763</v>
      </c>
      <c r="Z19" s="401" t="s">
        <v>1764</v>
      </c>
      <c r="AB19" s="474" t="str">
        <f>IF(COUNT(AB13:AB18)&gt;0,MAX(AB13:AB18)+1,"")</f>
        <v/>
      </c>
      <c r="AC19" s="433" t="str">
        <f>IF(AND(AH19&lt;&gt;"",AG19&lt;&gt;"",AI19&gt;0,AH19&gt;0),MAX(AC$2:AC18)+1,"XX")</f>
        <v>XX</v>
      </c>
      <c r="AD19" s="428" t="str">
        <f>IF('Antal &amp; Längder (vikter)'!C8&lt;&gt;"",'Antal &amp; Längder (vikter)'!C8,"XX")</f>
        <v>XX</v>
      </c>
      <c r="AE19" s="405" t="str">
        <f>IF(AND('Antal &amp; Längder (vikter)'!B$10&lt;&gt;"",ISNUMBER($AH19)),'Antal &amp; Längder (vikter)'!B$10,"")</f>
        <v/>
      </c>
      <c r="AF19" s="425" t="str">
        <f t="shared" si="1"/>
        <v/>
      </c>
      <c r="AG19" s="426" t="str">
        <f t="shared" si="2"/>
        <v/>
      </c>
      <c r="AH19" s="409" t="str">
        <f>IF('Antal &amp; Längder (vikter)'!C$11="Längd (mm)",IF('Antal &amp; Längder (vikter)'!C18&lt;&gt;"",'Antal &amp; Längder (vikter)'!C18,"XX"),"XX")</f>
        <v>XX</v>
      </c>
      <c r="AI19" s="7">
        <v>-9</v>
      </c>
    </row>
    <row r="20" spans="1:35" x14ac:dyDescent="0.25">
      <c r="A20" s="569" t="s">
        <v>2077</v>
      </c>
      <c r="B20" s="570">
        <v>0.4</v>
      </c>
      <c r="C20" s="570">
        <v>0.64</v>
      </c>
      <c r="D20" s="570">
        <v>0.78</v>
      </c>
      <c r="E20" s="571"/>
      <c r="F20" s="1"/>
      <c r="G20" s="283"/>
      <c r="H20" s="20"/>
      <c r="I20" s="646" t="s">
        <v>85</v>
      </c>
      <c r="J20" s="213" t="s">
        <v>379</v>
      </c>
      <c r="K20" s="203" t="s">
        <v>582</v>
      </c>
      <c r="L20" s="493" t="str">
        <f>$N20</f>
        <v>HARR</v>
      </c>
      <c r="M20" s="486" t="str">
        <f>IF(AND(COUNTIF('Antal &amp; Längder (vikter)'!$B$10:$T$141,N20)&gt;0,U20&lt;&gt;""),RANK(U20,U$2:U$60,1),IF(AND(Prot.Datum&lt;&gt;"",ProtokollLkoordX&lt;&gt;"",ProtokollLkoordY&lt;&gt;"",AND($N20="INGEN FÅNGST",SUM('Antal &amp; Längder (vikter)'!$R$11:$T$27)=0),SUM($AH$3:$AH$1082)=0),1,""))</f>
        <v/>
      </c>
      <c r="N20" s="1" t="s">
        <v>589</v>
      </c>
      <c r="O20" s="21" t="s">
        <v>589</v>
      </c>
      <c r="P20" s="537">
        <v>9</v>
      </c>
      <c r="Q20" s="533">
        <f t="shared" si="0"/>
        <v>0</v>
      </c>
      <c r="R20" s="534">
        <f>IF(ROUND(ROW()/2,0)=INT(ROW()/2),DSUM('Antal &amp; Längder (vikter)'!$O$10:$T$27,'Antal &amp; Längder (vikter)'!$R$10,L19:L20)+DSUM('Antal &amp; Längder (vikter)'!$O$10:$T$27,'Antal &amp; Längder (vikter)'!$S$10,L19:L20)+DSUM('Antal &amp; Längder (vikter)'!$O$10:$T$27,'Antal &amp; Längder (vikter)'!$T$10,L19:L20),DSUM('Antal &amp; Längder (vikter)'!$O$10:$T$27,'Antal &amp; Längder (vikter)'!$R$10,K19:K20)+DSUM('Antal &amp; Längder (vikter)'!$O$10:$T$27,'Antal &amp; Längder (vikter)'!$S$10,K19:K20)+DSUM('Antal &amp; Längder (vikter)'!$O$10:$T$27,'Antal &amp; Längder (vikter)'!$T$10,K19:K20))</f>
        <v>0</v>
      </c>
      <c r="S20" s="535" t="str">
        <f>IF(AND(COUNTIF('Antal &amp; Längder (vikter)'!$B$10:$M$141,N20)+COUNTIF('Antal &amp; Längder (vikter)'!$P$11:$P$27,N20)&gt;0,SUM(Q20:R20)&gt;0),SUM(Q20:R20)+1000*IF(P20&lt;&gt;"",P20,0),"")</f>
        <v/>
      </c>
      <c r="T20" s="536" t="str">
        <f>IF(S20&lt;&gt;"",IF(AND(COUNTIF('Antal &amp; Längder (vikter)'!$B$10:$M$141,N20)+COUNTIF('Antal &amp; Längder (vikter)'!$P$11:$P$27,N20)&gt;0,COUNTIF(S$1:S19,S20)&gt;0),COUNTIF(S$1:S19,S20),0)+RANK(S20,S$2:S$60,0),"")</f>
        <v/>
      </c>
      <c r="U20" s="536" t="str">
        <f>IF(AND(COUNTIF('Antal &amp; Längder (vikter)'!$B$10:$M$141,N20)&gt;0,T20&lt;&gt;"",COUNTIF(T$2:T$60,T20)&gt;1),COUNTIF(T$1:T19,T20)+T20,IF(COUNTIF('Antal &amp; Längder (vikter)'!$B$10:$M$141,N20)+COUNTIF('Antal &amp; Längder (vikter)'!$P$11:$P$27,N20)&gt;0,T20,""))</f>
        <v/>
      </c>
      <c r="V20" s="1">
        <v>0.6</v>
      </c>
      <c r="W20" s="21">
        <v>1.6</v>
      </c>
      <c r="X20" s="119"/>
      <c r="Y20" s="401" t="s">
        <v>1551</v>
      </c>
      <c r="Z20" s="401" t="s">
        <v>1552</v>
      </c>
      <c r="AB20" s="478" t="str">
        <f>IF(COUNT(AB13:AB19)&gt;0,MAX(AB13:AB19)+1,"")</f>
        <v/>
      </c>
      <c r="AC20" s="433" t="str">
        <f>IF(AND(AH20&lt;&gt;"",AG20&lt;&gt;"",AI20&gt;0,AH20&gt;0),MAX(AC$2:AC19)+1,"XX")</f>
        <v>XX</v>
      </c>
      <c r="AD20" s="428" t="str">
        <f>IF('Antal &amp; Längder (vikter)'!C8&lt;&gt;"",'Antal &amp; Längder (vikter)'!C8,"XX")</f>
        <v>XX</v>
      </c>
      <c r="AE20" s="405" t="str">
        <f>IF(AND('Antal &amp; Längder (vikter)'!B$10&lt;&gt;"",ISNUMBER($AH20)),'Antal &amp; Längder (vikter)'!B$10,"")</f>
        <v/>
      </c>
      <c r="AF20" s="425" t="str">
        <f t="shared" si="1"/>
        <v/>
      </c>
      <c r="AG20" s="426" t="str">
        <f t="shared" si="2"/>
        <v/>
      </c>
      <c r="AH20" s="409" t="str">
        <f>IF('Antal &amp; Längder (vikter)'!C$11="Längd (mm)",IF('Antal &amp; Längder (vikter)'!C19&lt;&gt;"",'Antal &amp; Längder (vikter)'!C19,"XX"),"XX")</f>
        <v>XX</v>
      </c>
      <c r="AI20" s="7">
        <v>-9</v>
      </c>
    </row>
    <row r="21" spans="1:35" x14ac:dyDescent="0.25">
      <c r="A21" s="569" t="s">
        <v>2078</v>
      </c>
      <c r="B21" s="570">
        <v>0.39</v>
      </c>
      <c r="C21" s="570">
        <v>0.63</v>
      </c>
      <c r="D21" s="570">
        <v>0.77</v>
      </c>
      <c r="E21" s="571"/>
      <c r="F21" s="1"/>
      <c r="G21" s="283"/>
      <c r="H21" s="201"/>
      <c r="I21" s="357" t="s">
        <v>86</v>
      </c>
      <c r="J21" s="213" t="s">
        <v>100</v>
      </c>
      <c r="K21" s="493" t="str">
        <f>$N21</f>
        <v>HAVSNEJONÖGA</v>
      </c>
      <c r="L21" s="203" t="s">
        <v>582</v>
      </c>
      <c r="M21" s="486" t="str">
        <f>IF(AND(COUNTIF('Antal &amp; Längder (vikter)'!$B$10:$T$141,N21)&gt;0,U21&lt;&gt;""),RANK(U21,U$2:U$60,1),IF(AND(Prot.Datum&lt;&gt;"",ProtokollLkoordX&lt;&gt;"",ProtokollLkoordY&lt;&gt;"",AND($N21="INGEN FÅNGST",SUM('Antal &amp; Längder (vikter)'!$R$11:$T$27)=0),SUM($AH$3:$AH$1082)=0),1,""))</f>
        <v/>
      </c>
      <c r="N21" s="1" t="s">
        <v>891</v>
      </c>
      <c r="O21" s="21" t="s">
        <v>620</v>
      </c>
      <c r="P21" s="99"/>
      <c r="Q21" s="533">
        <f t="shared" si="0"/>
        <v>0</v>
      </c>
      <c r="R21" s="534">
        <f>IF(ROUND(ROW()/2,0)=INT(ROW()/2),DSUM('Antal &amp; Längder (vikter)'!$O$10:$T$27,'Antal &amp; Längder (vikter)'!$R$10,L20:L21)+DSUM('Antal &amp; Längder (vikter)'!$O$10:$T$27,'Antal &amp; Längder (vikter)'!$S$10,L20:L21)+DSUM('Antal &amp; Längder (vikter)'!$O$10:$T$27,'Antal &amp; Längder (vikter)'!$T$10,L20:L21),DSUM('Antal &amp; Längder (vikter)'!$O$10:$T$27,'Antal &amp; Längder (vikter)'!$R$10,K20:K21)+DSUM('Antal &amp; Längder (vikter)'!$O$10:$T$27,'Antal &amp; Längder (vikter)'!$S$10,K20:K21)+DSUM('Antal &amp; Längder (vikter)'!$O$10:$T$27,'Antal &amp; Längder (vikter)'!$T$10,K20:K21))</f>
        <v>0</v>
      </c>
      <c r="S21" s="535" t="str">
        <f>IF(AND(COUNTIF('Antal &amp; Längder (vikter)'!$B$10:$M$141,N21)+COUNTIF('Antal &amp; Längder (vikter)'!$P$11:$P$27,N21)&gt;0,SUM(Q21:R21)&gt;0),SUM(Q21:R21)+1000*IF(P21&lt;&gt;"",P21,0),"")</f>
        <v/>
      </c>
      <c r="T21" s="536" t="str">
        <f>IF(S21&lt;&gt;"",IF(AND(COUNTIF('Antal &amp; Längder (vikter)'!$B$10:$M$141,N21)+COUNTIF('Antal &amp; Längder (vikter)'!$P$11:$P$27,N21)&gt;0,COUNTIF(S$1:S20,S21)&gt;0),COUNTIF(S$1:S20,S21),0)+RANK(S21,S$2:S$60,0),"")</f>
        <v/>
      </c>
      <c r="U21" s="536" t="str">
        <f>IF(AND(COUNTIF('Antal &amp; Längder (vikter)'!$B$10:$M$141,N21)&gt;0,T21&lt;&gt;"",COUNTIF(T$2:T$60,T21)&gt;1),COUNTIF(T$1:T20,T21)+T21,IF(COUNTIF('Antal &amp; Längder (vikter)'!$B$10:$M$141,N21)+COUNTIF('Antal &amp; Längder (vikter)'!$P$11:$P$27,N21)&gt;0,T21,""))</f>
        <v/>
      </c>
      <c r="V21" s="1">
        <v>0.05</v>
      </c>
      <c r="W21" s="21">
        <v>0.5</v>
      </c>
      <c r="X21" s="119"/>
      <c r="Y21" s="401" t="s">
        <v>2119</v>
      </c>
      <c r="Z21" s="401" t="s">
        <v>1536</v>
      </c>
      <c r="AB21" s="472" t="str">
        <f>IF(COUNT(AB13:AB20)&gt;0,MAX(AB13:AB20)+1,"")</f>
        <v/>
      </c>
      <c r="AC21" s="433" t="str">
        <f>IF(AND(AH21&lt;&gt;"",AG21&lt;&gt;"",AI21&gt;0,AH21&gt;0),MAX(AC$2:AC20)+1,"XX")</f>
        <v>XX</v>
      </c>
      <c r="AD21" s="428" t="str">
        <f>IF('Antal &amp; Längder (vikter)'!C8&lt;&gt;"",'Antal &amp; Längder (vikter)'!C8,"XX")</f>
        <v>XX</v>
      </c>
      <c r="AE21" s="405" t="str">
        <f>IF(AND('Antal &amp; Längder (vikter)'!B$10&lt;&gt;"",ISNUMBER($AH21)),'Antal &amp; Längder (vikter)'!B$10,"")</f>
        <v/>
      </c>
      <c r="AF21" s="425" t="str">
        <f t="shared" si="1"/>
        <v/>
      </c>
      <c r="AG21" s="426" t="str">
        <f t="shared" si="2"/>
        <v/>
      </c>
      <c r="AH21" s="409" t="str">
        <f>IF('Antal &amp; Längder (vikter)'!C$11="Längd (mm)",IF('Antal &amp; Längder (vikter)'!C20&lt;&gt;"",'Antal &amp; Längder (vikter)'!C20,"XX"),"XX")</f>
        <v>XX</v>
      </c>
      <c r="AI21" s="7">
        <v>-9</v>
      </c>
    </row>
    <row r="22" spans="1:35" x14ac:dyDescent="0.25">
      <c r="A22" s="569" t="s">
        <v>2079</v>
      </c>
      <c r="B22" s="570">
        <v>0.38</v>
      </c>
      <c r="C22" s="570">
        <v>0.62</v>
      </c>
      <c r="D22" s="570">
        <v>0.76</v>
      </c>
      <c r="E22" s="571"/>
      <c r="F22" s="1"/>
      <c r="G22" s="372"/>
      <c r="H22" s="201"/>
      <c r="I22" s="646" t="s">
        <v>2519</v>
      </c>
      <c r="J22" s="213" t="s">
        <v>98</v>
      </c>
      <c r="K22" s="203" t="s">
        <v>582</v>
      </c>
      <c r="L22" s="493" t="str">
        <f>$N22</f>
        <v>HORNSIMPA</v>
      </c>
      <c r="M22" s="486" t="str">
        <f>IF(AND(COUNTIF('Antal &amp; Längder (vikter)'!$B$10:$T$141,N22)&gt;0,U22&lt;&gt;""),RANK(U22,U$2:U$60,1),IF(AND(Prot.Datum&lt;&gt;"",ProtokollLkoordX&lt;&gt;"",ProtokollLkoordY&lt;&gt;"",AND($N22="INGEN FÅNGST",SUM('Antal &amp; Längder (vikter)'!$R$11:$T$27)=0),SUM($AH$3:$AH$1082)=0),1,""))</f>
        <v/>
      </c>
      <c r="N22" s="1" t="s">
        <v>621</v>
      </c>
      <c r="O22" s="21" t="s">
        <v>622</v>
      </c>
      <c r="P22" s="99"/>
      <c r="Q22" s="533">
        <f t="shared" si="0"/>
        <v>0</v>
      </c>
      <c r="R22" s="534">
        <f>IF(ROUND(ROW()/2,0)=INT(ROW()/2),DSUM('Antal &amp; Längder (vikter)'!$O$10:$T$27,'Antal &amp; Längder (vikter)'!$R$10,L21:L22)+DSUM('Antal &amp; Längder (vikter)'!$O$10:$T$27,'Antal &amp; Längder (vikter)'!$S$10,L21:L22)+DSUM('Antal &amp; Längder (vikter)'!$O$10:$T$27,'Antal &amp; Längder (vikter)'!$T$10,L21:L22),DSUM('Antal &amp; Längder (vikter)'!$O$10:$T$27,'Antal &amp; Längder (vikter)'!$R$10,K21:K22)+DSUM('Antal &amp; Längder (vikter)'!$O$10:$T$27,'Antal &amp; Längder (vikter)'!$S$10,K21:K22)+DSUM('Antal &amp; Längder (vikter)'!$O$10:$T$27,'Antal &amp; Längder (vikter)'!$T$10,K21:K22))</f>
        <v>0</v>
      </c>
      <c r="S22" s="535" t="str">
        <f>IF(AND(COUNTIF('Antal &amp; Längder (vikter)'!$B$10:$M$141,N22)+COUNTIF('Antal &amp; Längder (vikter)'!$P$11:$P$27,N22)&gt;0,SUM(Q22:R22)&gt;0),SUM(Q22:R22)+1000*IF(P22&lt;&gt;"",P22,0),"")</f>
        <v/>
      </c>
      <c r="T22" s="536" t="str">
        <f>IF(S22&lt;&gt;"",IF(AND(COUNTIF('Antal &amp; Längder (vikter)'!$B$10:$M$141,N22)+COUNTIF('Antal &amp; Längder (vikter)'!$P$11:$P$27,N22)&gt;0,COUNTIF(S$1:S21,S22)&gt;0),COUNTIF(S$1:S21,S22),0)+RANK(S22,S$2:S$60,0),"")</f>
        <v/>
      </c>
      <c r="U22" s="536" t="str">
        <f>IF(AND(COUNTIF('Antal &amp; Längder (vikter)'!$B$10:$M$141,N22)&gt;0,T22&lt;&gt;"",COUNTIF(T$2:T$60,T22)&gt;1),COUNTIF(T$1:T21,T22)+T22,IF(COUNTIF('Antal &amp; Längder (vikter)'!$B$10:$M$141,N22)+COUNTIF('Antal &amp; Längder (vikter)'!$P$11:$P$27,N22)&gt;0,T22,""))</f>
        <v/>
      </c>
      <c r="V22" s="1">
        <v>0.2</v>
      </c>
      <c r="W22" s="21">
        <v>2</v>
      </c>
      <c r="X22" s="119"/>
      <c r="Y22" s="401" t="s">
        <v>2187</v>
      </c>
      <c r="Z22" s="401" t="s">
        <v>2188</v>
      </c>
      <c r="AB22" s="479" t="str">
        <f>IF(COUNT(AB13:AB21)&gt;0,MAX(AB13:AB21)+1,"")</f>
        <v/>
      </c>
      <c r="AC22" s="433" t="str">
        <f>IF(AND(AH22&lt;&gt;"",AG22&lt;&gt;"",AI22&gt;0,AH22&gt;0),MAX(AC$2:AC21)+1,"XX")</f>
        <v>XX</v>
      </c>
      <c r="AD22" s="428" t="str">
        <f>IF('Antal &amp; Längder (vikter)'!C8&lt;&gt;"",'Antal &amp; Längder (vikter)'!C8,"XX")</f>
        <v>XX</v>
      </c>
      <c r="AE22" s="405" t="str">
        <f>IF(AND('Antal &amp; Längder (vikter)'!B$10&lt;&gt;"",ISNUMBER($AH22)),'Antal &amp; Längder (vikter)'!B$10,"")</f>
        <v/>
      </c>
      <c r="AF22" s="425" t="str">
        <f t="shared" si="1"/>
        <v/>
      </c>
      <c r="AG22" s="426" t="str">
        <f t="shared" si="2"/>
        <v/>
      </c>
      <c r="AH22" s="409" t="str">
        <f>IF('Antal &amp; Längder (vikter)'!C$11="Längd (mm)",IF('Antal &amp; Längder (vikter)'!C21&lt;&gt;"",'Antal &amp; Längder (vikter)'!C21,"XX"),"XX")</f>
        <v>XX</v>
      </c>
      <c r="AI22" s="7">
        <v>-9</v>
      </c>
    </row>
    <row r="23" spans="1:35" x14ac:dyDescent="0.25">
      <c r="A23" s="569" t="s">
        <v>2080</v>
      </c>
      <c r="B23" s="570">
        <v>0.38</v>
      </c>
      <c r="C23" s="570">
        <v>0.62</v>
      </c>
      <c r="D23" s="570">
        <v>0.76</v>
      </c>
      <c r="E23" s="571"/>
      <c r="F23" s="1"/>
      <c r="G23" s="284"/>
      <c r="H23" s="20"/>
      <c r="I23" s="646" t="s">
        <v>361</v>
      </c>
      <c r="J23" s="213" t="s">
        <v>369</v>
      </c>
      <c r="K23" s="493" t="str">
        <f>$N23</f>
        <v>ID</v>
      </c>
      <c r="L23" s="203" t="s">
        <v>582</v>
      </c>
      <c r="M23" s="486" t="str">
        <f>IF(AND(COUNTIF('Antal &amp; Längder (vikter)'!$B$10:$T$141,N23)&gt;0,U23&lt;&gt;""),RANK(U23,U$2:U$60,1),IF(AND(Prot.Datum&lt;&gt;"",ProtokollLkoordX&lt;&gt;"",ProtokollLkoordY&lt;&gt;"",AND($N23="INGEN FÅNGST",SUM('Antal &amp; Längder (vikter)'!$R$11:$T$27)=0),SUM($AH$3:$AH$1082)=0),1,""))</f>
        <v/>
      </c>
      <c r="N23" s="1" t="s">
        <v>573</v>
      </c>
      <c r="O23" s="21" t="s">
        <v>573</v>
      </c>
      <c r="P23" s="99"/>
      <c r="Q23" s="533">
        <f t="shared" si="0"/>
        <v>0</v>
      </c>
      <c r="R23" s="534">
        <f>IF(ROUND(ROW()/2,0)=INT(ROW()/2),DSUM('Antal &amp; Längder (vikter)'!$O$10:$T$27,'Antal &amp; Längder (vikter)'!$R$10,L22:L23)+DSUM('Antal &amp; Längder (vikter)'!$O$10:$T$27,'Antal &amp; Längder (vikter)'!$S$10,L22:L23)+DSUM('Antal &amp; Längder (vikter)'!$O$10:$T$27,'Antal &amp; Längder (vikter)'!$T$10,L22:L23),DSUM('Antal &amp; Längder (vikter)'!$O$10:$T$27,'Antal &amp; Längder (vikter)'!$R$10,K22:K23)+DSUM('Antal &amp; Längder (vikter)'!$O$10:$T$27,'Antal &amp; Längder (vikter)'!$S$10,K22:K23)+DSUM('Antal &amp; Längder (vikter)'!$O$10:$T$27,'Antal &amp; Längder (vikter)'!$T$10,K22:K23))</f>
        <v>0</v>
      </c>
      <c r="S23" s="535" t="str">
        <f>IF(AND(COUNTIF('Antal &amp; Längder (vikter)'!$B$10:$M$141,N23)+COUNTIF('Antal &amp; Längder (vikter)'!$P$11:$P$27,N23)&gt;0,SUM(Q23:R23)&gt;0),SUM(Q23:R23)+1000*IF(P23&lt;&gt;"",P23,0),"")</f>
        <v/>
      </c>
      <c r="T23" s="536" t="str">
        <f>IF(S23&lt;&gt;"",IF(AND(COUNTIF('Antal &amp; Längder (vikter)'!$B$10:$M$141,N23)+COUNTIF('Antal &amp; Längder (vikter)'!$P$11:$P$27,N23)&gt;0,COUNTIF(S$1:S22,S23)&gt;0),COUNTIF(S$1:S22,S23),0)+RANK(S23,S$2:S$60,0),"")</f>
        <v/>
      </c>
      <c r="U23" s="536" t="str">
        <f>IF(AND(COUNTIF('Antal &amp; Längder (vikter)'!$B$10:$M$141,N23)&gt;0,T23&lt;&gt;"",COUNTIF(T$2:T$60,T23)&gt;1),COUNTIF(T$1:T22,T23)+T23,IF(COUNTIF('Antal &amp; Längder (vikter)'!$B$10:$M$141,N23)+COUNTIF('Antal &amp; Längder (vikter)'!$P$11:$P$27,N23)&gt;0,T23,""))</f>
        <v/>
      </c>
      <c r="V23" s="1">
        <v>0.6</v>
      </c>
      <c r="W23" s="21">
        <v>1.8</v>
      </c>
      <c r="X23" s="119"/>
      <c r="Y23" s="401" t="s">
        <v>2362</v>
      </c>
      <c r="Z23" s="401" t="s">
        <v>2120</v>
      </c>
      <c r="AB23" s="480" t="str">
        <f>IF(AND(ISNUMBER(AH23),AH23&gt;0),IF(MAX(AB$3:AB22)&gt;0,MAX(AB$3:AB22)+1,10+COUNTIF(F$38:F$49,"&gt;0")*10+1),"")</f>
        <v/>
      </c>
      <c r="AC23" s="433" t="str">
        <f>IF(AND(AH23&lt;&gt;"",AG23&lt;&gt;"",AI23&gt;0,AH23&gt;0),MAX(AC$2:AC22)+1,"XX")</f>
        <v>XX</v>
      </c>
      <c r="AD23" s="428" t="str">
        <f>IF('Antal &amp; Längder (vikter)'!$C$8&lt;&gt;"",'Antal &amp; Längder (vikter)'!$C$8,"XX")</f>
        <v>XX</v>
      </c>
      <c r="AE23" s="404" t="str">
        <f>IF(AND('Antal &amp; Längder (vikter)'!D$10&lt;&gt;"",ISNUMBER($AH23)),'Antal &amp; Längder (vikter)'!D$10,"")</f>
        <v/>
      </c>
      <c r="AF23" s="425" t="str">
        <f t="shared" si="1"/>
        <v/>
      </c>
      <c r="AG23" s="426" t="str">
        <f t="shared" si="2"/>
        <v/>
      </c>
      <c r="AH23" s="407" t="str">
        <f>IF('Antal &amp; Längder (vikter)'!D12&lt;&gt;"",'Antal &amp; Längder (vikter)'!D12,"XX")</f>
        <v>XX</v>
      </c>
      <c r="AI23" s="436">
        <f>IF('Antal &amp; Längder (vikter)'!E$11="Vikt (g)",'Antal &amp; Längder (vikter)'!E12,-9)</f>
        <v>-9</v>
      </c>
    </row>
    <row r="24" spans="1:35" x14ac:dyDescent="0.25">
      <c r="A24" s="569" t="s">
        <v>2081</v>
      </c>
      <c r="B24" s="570">
        <v>0.5</v>
      </c>
      <c r="C24" s="570">
        <v>0.75</v>
      </c>
      <c r="D24" s="570">
        <v>0.88</v>
      </c>
      <c r="E24" s="571"/>
      <c r="F24" s="1"/>
      <c r="G24" s="8"/>
      <c r="H24" s="20"/>
      <c r="I24" s="647" t="s">
        <v>2517</v>
      </c>
      <c r="J24" s="213" t="s">
        <v>370</v>
      </c>
      <c r="K24" s="203" t="s">
        <v>582</v>
      </c>
      <c r="L24" s="493" t="str">
        <f>$N24</f>
        <v>INGEN FÅNGST</v>
      </c>
      <c r="M24" s="486">
        <f>IF(AND(COUNTIF('Antal &amp; Längder (vikter)'!$B$10:$T$141,N24)&gt;0,U24&lt;&gt;""),RANK(U24,U$2:U$60,1),IF(AND(Prot.Datum&lt;&gt;"",ProtokollLkoordX&lt;&gt;"",ProtokollLkoordY&lt;&gt;"",AND($N24="INGEN FÅNGST",SUM('Antal &amp; Längder (vikter)'!$R$11:$T$27)=0),SUM($AH$3:$AH$1082)=0),1,""))</f>
        <v>1</v>
      </c>
      <c r="N24" s="1" t="s">
        <v>614</v>
      </c>
      <c r="O24" s="21" t="s">
        <v>615</v>
      </c>
      <c r="P24" s="99"/>
      <c r="Q24" s="538">
        <f>IF(COUNT(S$2:S23,S25:S$60)=0,1,"")</f>
        <v>1</v>
      </c>
      <c r="R24" s="538">
        <f>IF(COUNT(S$2:S23,S25:S$60)=0,1,"")</f>
        <v>1</v>
      </c>
      <c r="S24" s="535" t="str">
        <f>IF(AND(COUNTIF('Antal &amp; Längder (vikter)'!$B$10:$M$141,N24)+COUNTIF('Antal &amp; Längder (vikter)'!$P$11:$P$27,N24)&gt;0,SUM(Q24:R24)&gt;0),SUM(Q24:R24)+1000*IF(P24&lt;&gt;"",P24,0),"")</f>
        <v/>
      </c>
      <c r="T24" s="536" t="str">
        <f>IF(S24&lt;&gt;"",IF(AND(COUNTIF('Antal &amp; Längder (vikter)'!$B$10:$M$141,N24)+COUNTIF('Antal &amp; Längder (vikter)'!$P$11:$P$27,N24)&gt;0,COUNTIF(S$1:S23,S24)&gt;0),COUNTIF(S$1:S23,S24),0)+RANK(S24,S$2:S$60,0),"")</f>
        <v/>
      </c>
      <c r="U24" s="550">
        <f>IF(AND(COUNTIF('Antal &amp; Längder (vikter)'!$B$10:$M$141,N24)&gt;0,T24&lt;&gt;"",COUNTIF(T$2:T$60,T24)&gt;1),COUNTIF(T$1:T23,T24)+T24,IF(COUNTIF('Antal &amp; Längder (vikter)'!$B$10:$M$141,N24)+COUNTIF('Antal &amp; Längder (vikter)'!$P$11:$P$27,N24)&gt;0,T24,IF(AND(Prot.Datum&lt;&gt;"",COUNT(T2:T60)=0),1,"")))</f>
        <v>1</v>
      </c>
      <c r="V24" s="1"/>
      <c r="W24" s="21"/>
      <c r="X24" s="119"/>
      <c r="Y24" s="401" t="s">
        <v>2155</v>
      </c>
      <c r="Z24" s="401" t="s">
        <v>2156</v>
      </c>
      <c r="AB24" s="476" t="str">
        <f>IF(COUNT(AB23:AB23)&gt;0,MAX(AB23:AB23)+1,"")</f>
        <v/>
      </c>
      <c r="AC24" s="433" t="str">
        <f>IF(AND(AH24&lt;&gt;"",AG24&lt;&gt;"",AI24&gt;0,AH24&gt;0),MAX(AC$2:AC23)+1,"XX")</f>
        <v>XX</v>
      </c>
      <c r="AD24" s="428" t="str">
        <f>IF('Antal &amp; Längder (vikter)'!$C$8&lt;&gt;"",'Antal &amp; Längder (vikter)'!$C$8,"XX")</f>
        <v>XX</v>
      </c>
      <c r="AE24" s="404" t="str">
        <f>IF(AND('Antal &amp; Längder (vikter)'!D$10&lt;&gt;"",ISNUMBER($AH24)),'Antal &amp; Längder (vikter)'!D$10,"")</f>
        <v/>
      </c>
      <c r="AF24" s="425" t="str">
        <f t="shared" si="1"/>
        <v/>
      </c>
      <c r="AG24" s="426" t="str">
        <f t="shared" si="2"/>
        <v/>
      </c>
      <c r="AH24" s="407" t="str">
        <f>IF('Antal &amp; Längder (vikter)'!D13&lt;&gt;"",'Antal &amp; Längder (vikter)'!D13,"XX")</f>
        <v>XX</v>
      </c>
      <c r="AI24" s="436">
        <f>IF('Antal &amp; Längder (vikter)'!E$11="Vikt (g)",'Antal &amp; Längder (vikter)'!E13,-9)</f>
        <v>-9</v>
      </c>
    </row>
    <row r="25" spans="1:35" x14ac:dyDescent="0.25">
      <c r="A25" s="569" t="s">
        <v>2082</v>
      </c>
      <c r="B25" s="570">
        <v>0.48</v>
      </c>
      <c r="C25" s="570">
        <v>0.73</v>
      </c>
      <c r="D25" s="570">
        <v>0.86</v>
      </c>
      <c r="E25" s="571"/>
      <c r="F25" s="1"/>
      <c r="I25" s="646" t="s">
        <v>2507</v>
      </c>
      <c r="J25" s="213" t="s">
        <v>371</v>
      </c>
      <c r="K25" s="493" t="str">
        <f>$N25</f>
        <v>KANADARÖDING</v>
      </c>
      <c r="L25" s="203" t="s">
        <v>582</v>
      </c>
      <c r="M25" s="486" t="str">
        <f>IF(AND(COUNTIF('Antal &amp; Längder (vikter)'!$B$10:$T$141,N25)&gt;0,U25&lt;&gt;""),RANK(U25,U$2:U$60,1),IF(AND(Prot.Datum&lt;&gt;"",ProtokollLkoordX&lt;&gt;"",ProtokollLkoordY&lt;&gt;"",AND($N25="INGEN FÅNGST",SUM('Antal &amp; Längder (vikter)'!$R$11:$T$27)=0),SUM($AH$3:$AH$1082)=0),1,""))</f>
        <v/>
      </c>
      <c r="N25" s="1" t="s">
        <v>623</v>
      </c>
      <c r="O25" s="21" t="s">
        <v>624</v>
      </c>
      <c r="P25" s="539">
        <v>5</v>
      </c>
      <c r="Q25" s="533">
        <f t="shared" ref="Q25:Q60" si="3">COUNTIF($AF$3:$AF$1082,O25)</f>
        <v>0</v>
      </c>
      <c r="R25" s="534">
        <f>IF(ROUND(ROW()/2,0)=INT(ROW()/2),DSUM('Antal &amp; Längder (vikter)'!$O$10:$T$27,'Antal &amp; Längder (vikter)'!$R$10,L24:L25)+DSUM('Antal &amp; Längder (vikter)'!$O$10:$T$27,'Antal &amp; Längder (vikter)'!$S$10,L24:L25)+DSUM('Antal &amp; Längder (vikter)'!$O$10:$T$27,'Antal &amp; Längder (vikter)'!$T$10,L24:L25),DSUM('Antal &amp; Längder (vikter)'!$O$10:$T$27,'Antal &amp; Längder (vikter)'!$R$10,K24:K25)+DSUM('Antal &amp; Längder (vikter)'!$O$10:$T$27,'Antal &amp; Längder (vikter)'!$S$10,K24:K25)+DSUM('Antal &amp; Längder (vikter)'!$O$10:$T$27,'Antal &amp; Längder (vikter)'!$T$10,K24:K25))</f>
        <v>0</v>
      </c>
      <c r="S25" s="535" t="str">
        <f>IF(AND(COUNTIF('Antal &amp; Längder (vikter)'!$B$10:$M$141,N25)+COUNTIF('Antal &amp; Längder (vikter)'!$P$11:$P$27,N25)&gt;0,SUM(Q25:R25)&gt;0),SUM(Q25:R25)+1000*IF(P25&lt;&gt;"",P25,0),"")</f>
        <v/>
      </c>
      <c r="T25" s="536" t="str">
        <f>IF(S25&lt;&gt;"",IF(AND(COUNTIF('Antal &amp; Längder (vikter)'!$B$10:$M$141,N25)+COUNTIF('Antal &amp; Längder (vikter)'!$P$11:$P$27,N25)&gt;0,COUNTIF(S$1:S24,S25)&gt;0),COUNTIF(S$1:S24,S25),0)+RANK(S25,S$2:S$60,0),"")</f>
        <v/>
      </c>
      <c r="U25" s="536" t="str">
        <f>IF(AND(COUNTIF('Antal &amp; Längder (vikter)'!$B$10:$M$141,N25)&gt;0,T25&lt;&gt;"",COUNTIF(T$2:T$60,T25)&gt;1),COUNTIF(T$1:T24,T25)+T25,IF(COUNTIF('Antal &amp; Längder (vikter)'!$B$10:$M$141,N25)+COUNTIF('Antal &amp; Längder (vikter)'!$P$11:$P$27,N25)&gt;0,T25,""))</f>
        <v/>
      </c>
      <c r="V25" s="1">
        <v>0.6</v>
      </c>
      <c r="W25" s="21">
        <v>1.6</v>
      </c>
      <c r="X25" s="119"/>
      <c r="Y25" s="401" t="s">
        <v>1743</v>
      </c>
      <c r="Z25" s="401" t="s">
        <v>1744</v>
      </c>
      <c r="AB25" s="477" t="str">
        <f>IF(COUNT(AB23:AB24)&gt;0,MAX(AB23:AB24)+1,"")</f>
        <v/>
      </c>
      <c r="AC25" s="433" t="str">
        <f>IF(AND(AH25&lt;&gt;"",AG25&lt;&gt;"",AI25&gt;0,AH25&gt;0),MAX(AC$2:AC24)+1,"XX")</f>
        <v>XX</v>
      </c>
      <c r="AD25" s="428" t="str">
        <f>IF('Antal &amp; Längder (vikter)'!$C$8&lt;&gt;"",'Antal &amp; Längder (vikter)'!$C$8,"XX")</f>
        <v>XX</v>
      </c>
      <c r="AE25" s="404" t="str">
        <f>IF(AND('Antal &amp; Längder (vikter)'!D$10&lt;&gt;"",ISNUMBER($AH25)),'Antal &amp; Längder (vikter)'!D$10,"")</f>
        <v/>
      </c>
      <c r="AF25" s="425" t="str">
        <f t="shared" si="1"/>
        <v/>
      </c>
      <c r="AG25" s="426" t="str">
        <f t="shared" si="2"/>
        <v/>
      </c>
      <c r="AH25" s="407" t="str">
        <f>IF('Antal &amp; Längder (vikter)'!D14&lt;&gt;"",'Antal &amp; Längder (vikter)'!D14,"XX")</f>
        <v>XX</v>
      </c>
      <c r="AI25" s="436">
        <f>IF('Antal &amp; Längder (vikter)'!E$11="Vikt (g)",'Antal &amp; Längder (vikter)'!E14,-9)</f>
        <v>-9</v>
      </c>
    </row>
    <row r="26" spans="1:35" x14ac:dyDescent="0.25">
      <c r="A26" s="569" t="s">
        <v>2083</v>
      </c>
      <c r="B26" s="570">
        <v>0.28000000000000003</v>
      </c>
      <c r="C26" s="570">
        <v>0.48</v>
      </c>
      <c r="D26" s="570">
        <v>0.63</v>
      </c>
      <c r="E26" s="571"/>
      <c r="F26" s="1"/>
      <c r="G26" s="281" t="s">
        <v>2330</v>
      </c>
      <c r="I26" s="646" t="s">
        <v>2508</v>
      </c>
      <c r="J26" s="213" t="s">
        <v>372</v>
      </c>
      <c r="K26" s="203" t="s">
        <v>582</v>
      </c>
      <c r="L26" s="493" t="str">
        <f>$N26</f>
        <v>KARPFISKHYBRID</v>
      </c>
      <c r="M26" s="486" t="str">
        <f>IF(AND(COUNTIF('Antal &amp; Längder (vikter)'!$B$10:$T$141,N26)&gt;0,U26&lt;&gt;""),RANK(U26,U$2:U$60,1),IF(AND(Prot.Datum&lt;&gt;"",ProtokollLkoordX&lt;&gt;"",ProtokollLkoordY&lt;&gt;"",AND($N26="INGEN FÅNGST",SUM('Antal &amp; Längder (vikter)'!$R$11:$T$27)=0),SUM($AH$3:$AH$1082)=0),1,""))</f>
        <v/>
      </c>
      <c r="N26" s="1" t="s">
        <v>641</v>
      </c>
      <c r="O26" s="21" t="s">
        <v>1503</v>
      </c>
      <c r="P26" s="99"/>
      <c r="Q26" s="533">
        <f t="shared" si="3"/>
        <v>0</v>
      </c>
      <c r="R26" s="534">
        <f>IF(ROUND(ROW()/2,0)=INT(ROW()/2),DSUM('Antal &amp; Längder (vikter)'!$O$10:$T$27,'Antal &amp; Längder (vikter)'!$R$10,L25:L26)+DSUM('Antal &amp; Längder (vikter)'!$O$10:$T$27,'Antal &amp; Längder (vikter)'!$S$10,L25:L26)+DSUM('Antal &amp; Längder (vikter)'!$O$10:$T$27,'Antal &amp; Längder (vikter)'!$T$10,L25:L26),DSUM('Antal &amp; Längder (vikter)'!$O$10:$T$27,'Antal &amp; Längder (vikter)'!$R$10,K25:K26)+DSUM('Antal &amp; Längder (vikter)'!$O$10:$T$27,'Antal &amp; Längder (vikter)'!$S$10,K25:K26)+DSUM('Antal &amp; Längder (vikter)'!$O$10:$T$27,'Antal &amp; Längder (vikter)'!$T$10,K25:K26))</f>
        <v>0</v>
      </c>
      <c r="S26" s="535" t="str">
        <f>IF(AND(COUNTIF('Antal &amp; Längder (vikter)'!$B$10:$M$141,N26)+COUNTIF('Antal &amp; Längder (vikter)'!$P$11:$P$27,N26)&gt;0,SUM(Q26:R26)&gt;0),SUM(Q26:R26)+1000*IF(P26&lt;&gt;"",P26,0),"")</f>
        <v/>
      </c>
      <c r="T26" s="536" t="str">
        <f>IF(S26&lt;&gt;"",IF(AND(COUNTIF('Antal &amp; Längder (vikter)'!$B$10:$M$141,N26)+COUNTIF('Antal &amp; Längder (vikter)'!$P$11:$P$27,N26)&gt;0,COUNTIF(S$1:S25,S26)&gt;0),COUNTIF(S$1:S25,S26),0)+RANK(S26,S$2:S$60,0),"")</f>
        <v/>
      </c>
      <c r="U26" s="536" t="str">
        <f>IF(AND(COUNTIF('Antal &amp; Längder (vikter)'!$B$10:$M$141,N26)&gt;0,T26&lt;&gt;"",COUNTIF(T$2:T$60,T26)&gt;1),COUNTIF(T$1:T25,T26)+T26,IF(COUNTIF('Antal &amp; Längder (vikter)'!$B$10:$M$141,N26)+COUNTIF('Antal &amp; Längder (vikter)'!$P$11:$P$27,N26)&gt;0,T26,""))</f>
        <v/>
      </c>
      <c r="V26" s="1">
        <v>0.6</v>
      </c>
      <c r="W26" s="21">
        <v>1.6</v>
      </c>
      <c r="X26" s="119"/>
      <c r="Y26" s="401" t="s">
        <v>2363</v>
      </c>
      <c r="Z26" s="401" t="s">
        <v>2121</v>
      </c>
      <c r="AB26" s="434" t="str">
        <f>IF(COUNT(AB23:AB25)&gt;0,MAX(AB23:AB25)+1,"")</f>
        <v/>
      </c>
      <c r="AC26" s="433" t="str">
        <f>IF(AND(AH26&lt;&gt;"",AG26&lt;&gt;"",AI26&gt;0,AH26&gt;0),MAX(AC$2:AC25)+1,"XX")</f>
        <v>XX</v>
      </c>
      <c r="AD26" s="428" t="str">
        <f>IF('Antal &amp; Längder (vikter)'!$C$8&lt;&gt;"",'Antal &amp; Längder (vikter)'!$C$8,"XX")</f>
        <v>XX</v>
      </c>
      <c r="AE26" s="404" t="str">
        <f>IF(AND('Antal &amp; Längder (vikter)'!D$10&lt;&gt;"",ISNUMBER($AH26)),'Antal &amp; Längder (vikter)'!D$10,"")</f>
        <v/>
      </c>
      <c r="AF26" s="425" t="str">
        <f t="shared" si="1"/>
        <v/>
      </c>
      <c r="AG26" s="426" t="str">
        <f t="shared" si="2"/>
        <v/>
      </c>
      <c r="AH26" s="407" t="str">
        <f>IF('Antal &amp; Längder (vikter)'!D15&lt;&gt;"",'Antal &amp; Längder (vikter)'!D15,"XX")</f>
        <v>XX</v>
      </c>
      <c r="AI26" s="436">
        <f>IF('Antal &amp; Längder (vikter)'!E$11="Vikt (g)",'Antal &amp; Längder (vikter)'!E15,-9)</f>
        <v>-9</v>
      </c>
    </row>
    <row r="27" spans="1:35" x14ac:dyDescent="0.25">
      <c r="A27" s="569" t="s">
        <v>2084</v>
      </c>
      <c r="B27" s="570">
        <v>0.5</v>
      </c>
      <c r="C27" s="570">
        <v>0.75</v>
      </c>
      <c r="D27" s="570">
        <v>0.88</v>
      </c>
      <c r="E27" s="571"/>
      <c r="F27" s="1"/>
      <c r="G27" s="576" t="s">
        <v>2327</v>
      </c>
      <c r="I27" s="357" t="s">
        <v>383</v>
      </c>
      <c r="J27" s="213" t="s">
        <v>373</v>
      </c>
      <c r="K27" s="493" t="str">
        <f>$N27</f>
        <v>OBESTÄMD KARPFISK</v>
      </c>
      <c r="L27" s="203" t="s">
        <v>582</v>
      </c>
      <c r="M27" s="486" t="str">
        <f>IF(AND(COUNTIF('Antal &amp; Längder (vikter)'!$B$10:$T$141,N27)&gt;0,U27&lt;&gt;""),RANK(U27,U$2:U$60,1),IF(AND(Prot.Datum&lt;&gt;"",ProtokollLkoordX&lt;&gt;"",ProtokollLkoordY&lt;&gt;"",AND($N27="INGEN FÅNGST",SUM('Antal &amp; Längder (vikter)'!$R$11:$T$27)=0),SUM($AH$3:$AH$1082)=0),1,""))</f>
        <v/>
      </c>
      <c r="N27" s="201" t="s">
        <v>1504</v>
      </c>
      <c r="O27" s="21" t="s">
        <v>360</v>
      </c>
      <c r="P27" s="99"/>
      <c r="Q27" s="533">
        <f t="shared" si="3"/>
        <v>0</v>
      </c>
      <c r="R27" s="534">
        <f>IF(ROUND(ROW()/2,0)=INT(ROW()/2),DSUM('Antal &amp; Längder (vikter)'!$O$10:$T$27,'Antal &amp; Längder (vikter)'!$R$10,L26:L27)+DSUM('Antal &amp; Längder (vikter)'!$O$10:$T$27,'Antal &amp; Längder (vikter)'!$S$10,L26:L27)+DSUM('Antal &amp; Längder (vikter)'!$O$10:$T$27,'Antal &amp; Längder (vikter)'!$T$10,L26:L27),DSUM('Antal &amp; Längder (vikter)'!$O$10:$T$27,'Antal &amp; Längder (vikter)'!$R$10,K26:K27)+DSUM('Antal &amp; Längder (vikter)'!$O$10:$T$27,'Antal &amp; Längder (vikter)'!$S$10,K26:K27)+DSUM('Antal &amp; Längder (vikter)'!$O$10:$T$27,'Antal &amp; Längder (vikter)'!$T$10,K26:K27))</f>
        <v>0</v>
      </c>
      <c r="S27" s="535" t="str">
        <f>IF(AND(COUNTIF('Antal &amp; Längder (vikter)'!$B$10:$M$141,N27)+COUNTIF('Antal &amp; Längder (vikter)'!$P$11:$P$27,N27)&gt;0,SUM(Q27:R27)&gt;0),SUM(Q27:R27)+1000*IF(P27&lt;&gt;"",P27,0),"")</f>
        <v/>
      </c>
      <c r="T27" s="536" t="str">
        <f>IF(S27&lt;&gt;"",IF(AND(COUNTIF('Antal &amp; Längder (vikter)'!$B$10:$M$141,N27)+COUNTIF('Antal &amp; Längder (vikter)'!$P$11:$P$27,N27)&gt;0,COUNTIF(S$1:S26,S27)&gt;0),COUNTIF(S$1:S26,S27),0)+RANK(S27,S$2:S$60,0),"")</f>
        <v/>
      </c>
      <c r="U27" s="536" t="str">
        <f>IF(AND(COUNTIF('Antal &amp; Längder (vikter)'!$B$10:$M$141,N27)&gt;0,T27&lt;&gt;"",COUNTIF(T$2:T$60,T27)&gt;1),COUNTIF(T$1:T26,T27)+T27,IF(COUNTIF('Antal &amp; Längder (vikter)'!$B$10:$M$141,N27)+COUNTIF('Antal &amp; Längder (vikter)'!$P$11:$P$27,N27)&gt;0,T27,""))</f>
        <v/>
      </c>
      <c r="V27" s="1">
        <v>0.6</v>
      </c>
      <c r="W27" s="21">
        <v>1.6</v>
      </c>
      <c r="X27" s="119"/>
      <c r="Y27" s="401" t="s">
        <v>2169</v>
      </c>
      <c r="Z27" s="401" t="s">
        <v>2170</v>
      </c>
      <c r="AB27" s="475" t="str">
        <f>IF(COUNT(AB23:AB26)&gt;0,MAX(AB23:AB26)+1,"")</f>
        <v/>
      </c>
      <c r="AC27" s="433" t="str">
        <f>IF(AND(AH27&lt;&gt;"",AG27&lt;&gt;"",AI27&gt;0,AH27&gt;0),MAX(AC$2:AC26)+1,"XX")</f>
        <v>XX</v>
      </c>
      <c r="AD27" s="428" t="str">
        <f>IF('Antal &amp; Längder (vikter)'!$C$8&lt;&gt;"",'Antal &amp; Längder (vikter)'!$C$8,"XX")</f>
        <v>XX</v>
      </c>
      <c r="AE27" s="404" t="str">
        <f>IF(AND('Antal &amp; Längder (vikter)'!D$10&lt;&gt;"",ISNUMBER($AH27)),'Antal &amp; Längder (vikter)'!D$10,"")</f>
        <v/>
      </c>
      <c r="AF27" s="425" t="str">
        <f t="shared" si="1"/>
        <v/>
      </c>
      <c r="AG27" s="426" t="str">
        <f t="shared" si="2"/>
        <v/>
      </c>
      <c r="AH27" s="407" t="str">
        <f>IF('Antal &amp; Längder (vikter)'!D16&lt;&gt;"",'Antal &amp; Längder (vikter)'!D16,"XX")</f>
        <v>XX</v>
      </c>
      <c r="AI27" s="436">
        <f>IF('Antal &amp; Längder (vikter)'!E$11="Vikt (g)",'Antal &amp; Längder (vikter)'!E16,-9)</f>
        <v>-9</v>
      </c>
    </row>
    <row r="28" spans="1:35" x14ac:dyDescent="0.25">
      <c r="A28" s="569" t="s">
        <v>2085</v>
      </c>
      <c r="B28" s="570">
        <v>0.6</v>
      </c>
      <c r="C28" s="570">
        <v>0.84</v>
      </c>
      <c r="D28" s="570">
        <v>0.94</v>
      </c>
      <c r="E28" s="571"/>
      <c r="F28" s="1"/>
      <c r="G28" s="578"/>
      <c r="I28" s="646" t="s">
        <v>384</v>
      </c>
      <c r="J28" s="213" t="s">
        <v>374</v>
      </c>
      <c r="K28" s="203" t="s">
        <v>582</v>
      </c>
      <c r="L28" s="493" t="str">
        <f>$N28</f>
        <v>KRÄFTA</v>
      </c>
      <c r="M28" s="486" t="str">
        <f>IF(AND(COUNTIF('Antal &amp; Längder (vikter)'!$B$10:$T$141,N28)&gt;0,U28&lt;&gt;""),RANK(U28,U$2:U$60,1),IF(AND(Prot.Datum&lt;&gt;"",ProtokollLkoordX&lt;&gt;"",ProtokollLkoordY&lt;&gt;"",AND($N28="INGEN FÅNGST",SUM('Antal &amp; Längder (vikter)'!$R$11:$T$27)=0),SUM($AH$3:$AH$1082)=0),1,""))</f>
        <v/>
      </c>
      <c r="N28" s="1" t="s">
        <v>625</v>
      </c>
      <c r="O28" s="21" t="s">
        <v>625</v>
      </c>
      <c r="P28" s="99"/>
      <c r="Q28" s="533">
        <f t="shared" si="3"/>
        <v>0</v>
      </c>
      <c r="R28" s="534">
        <f>IF(ROUND(ROW()/2,0)=INT(ROW()/2),DSUM('Antal &amp; Längder (vikter)'!$O$10:$T$27,'Antal &amp; Längder (vikter)'!$R$10,L27:L28)+DSUM('Antal &amp; Längder (vikter)'!$O$10:$T$27,'Antal &amp; Längder (vikter)'!$S$10,L27:L28)+DSUM('Antal &amp; Längder (vikter)'!$O$10:$T$27,'Antal &amp; Längder (vikter)'!$T$10,L27:L28),DSUM('Antal &amp; Längder (vikter)'!$O$10:$T$27,'Antal &amp; Längder (vikter)'!$R$10,K27:K28)+DSUM('Antal &amp; Längder (vikter)'!$O$10:$T$27,'Antal &amp; Längder (vikter)'!$S$10,K27:K28)+DSUM('Antal &amp; Längder (vikter)'!$O$10:$T$27,'Antal &amp; Längder (vikter)'!$T$10,K27:K28))</f>
        <v>0</v>
      </c>
      <c r="S28" s="535" t="str">
        <f>IF(AND(COUNTIF('Antal &amp; Längder (vikter)'!$B$10:$M$141,N28)+COUNTIF('Antal &amp; Längder (vikter)'!$P$11:$P$27,N28)&gt;0,SUM(Q28:R28)&gt;0),SUM(Q28:R28)+1000*IF(P28&lt;&gt;"",P28,0),"")</f>
        <v/>
      </c>
      <c r="T28" s="536" t="str">
        <f>IF(S28&lt;&gt;"",IF(AND(COUNTIF('Antal &amp; Längder (vikter)'!$B$10:$M$141,N28)+COUNTIF('Antal &amp; Längder (vikter)'!$P$11:$P$27,N28)&gt;0,COUNTIF(S$1:S27,S28)&gt;0),COUNTIF(S$1:S27,S28),0)+RANK(S28,S$2:S$60,0),"")</f>
        <v/>
      </c>
      <c r="U28" s="536" t="str">
        <f>IF(AND(COUNTIF('Antal &amp; Längder (vikter)'!$B$10:$M$141,N28)&gt;0,T28&lt;&gt;"",COUNTIF(T$2:T$60,T28)&gt;1),COUNTIF(T$1:T27,T28)+T28,IF(COUNTIF('Antal &amp; Längder (vikter)'!$B$10:$M$141,N28)+COUNTIF('Antal &amp; Längder (vikter)'!$P$11:$P$27,N28)&gt;0,T28,""))</f>
        <v/>
      </c>
      <c r="V28" s="1">
        <v>0.05</v>
      </c>
      <c r="W28" s="21">
        <v>7</v>
      </c>
      <c r="X28" s="119"/>
      <c r="Y28" s="401" t="s">
        <v>1653</v>
      </c>
      <c r="Z28" s="401" t="s">
        <v>1654</v>
      </c>
      <c r="AB28" s="471" t="str">
        <f>IF(COUNT(AB23:AB27)&gt;0,MAX(AB23:AB27)+1,"")</f>
        <v/>
      </c>
      <c r="AC28" s="433" t="str">
        <f>IF(AND(AH28&lt;&gt;"",AG28&lt;&gt;"",AI28&gt;0,AH28&gt;0),MAX(AC$2:AC27)+1,"XX")</f>
        <v>XX</v>
      </c>
      <c r="AD28" s="428" t="str">
        <f>IF('Antal &amp; Längder (vikter)'!$C$8&lt;&gt;"",'Antal &amp; Längder (vikter)'!$C$8,"XX")</f>
        <v>XX</v>
      </c>
      <c r="AE28" s="404" t="str">
        <f>IF(AND('Antal &amp; Längder (vikter)'!D$10&lt;&gt;"",ISNUMBER($AH28)),'Antal &amp; Längder (vikter)'!D$10,"")</f>
        <v/>
      </c>
      <c r="AF28" s="425" t="str">
        <f t="shared" si="1"/>
        <v/>
      </c>
      <c r="AG28" s="426" t="str">
        <f t="shared" si="2"/>
        <v/>
      </c>
      <c r="AH28" s="407" t="str">
        <f>IF('Antal &amp; Längder (vikter)'!D17&lt;&gt;"",'Antal &amp; Längder (vikter)'!D17,"XX")</f>
        <v>XX</v>
      </c>
      <c r="AI28" s="436">
        <f>IF('Antal &amp; Längder (vikter)'!E$11="Vikt (g)",'Antal &amp; Längder (vikter)'!E17,-9)</f>
        <v>-9</v>
      </c>
    </row>
    <row r="29" spans="1:35" x14ac:dyDescent="0.25">
      <c r="A29" s="569" t="s">
        <v>2086</v>
      </c>
      <c r="B29" s="570">
        <v>0.46</v>
      </c>
      <c r="C29" s="570">
        <v>0.71</v>
      </c>
      <c r="D29" s="570">
        <v>0.84</v>
      </c>
      <c r="E29" s="571"/>
      <c r="F29" s="1"/>
      <c r="G29" s="8"/>
      <c r="H29" s="20"/>
      <c r="I29" s="646" t="s">
        <v>92</v>
      </c>
      <c r="J29" s="213" t="s">
        <v>375</v>
      </c>
      <c r="K29" s="493" t="str">
        <f>$N29</f>
        <v>LAKE</v>
      </c>
      <c r="L29" s="203" t="s">
        <v>582</v>
      </c>
      <c r="M29" s="486" t="str">
        <f>IF(AND(COUNTIF('Antal &amp; Längder (vikter)'!$B$10:$T$141,N29)&gt;0,U29&lt;&gt;""),RANK(U29,U$2:U$60,1),IF(AND(Prot.Datum&lt;&gt;"",ProtokollLkoordX&lt;&gt;"",ProtokollLkoordY&lt;&gt;"",AND($N29="INGEN FÅNGST",SUM('Antal &amp; Längder (vikter)'!$R$11:$T$27)=0),SUM($AH$3:$AH$1082)=0),1,""))</f>
        <v/>
      </c>
      <c r="N29" s="1" t="s">
        <v>574</v>
      </c>
      <c r="O29" s="21" t="s">
        <v>574</v>
      </c>
      <c r="P29" s="99"/>
      <c r="Q29" s="533">
        <f t="shared" si="3"/>
        <v>0</v>
      </c>
      <c r="R29" s="534">
        <f>IF(ROUND(ROW()/2,0)=INT(ROW()/2),DSUM('Antal &amp; Längder (vikter)'!$O$10:$T$27,'Antal &amp; Längder (vikter)'!$R$10,L28:L29)+DSUM('Antal &amp; Längder (vikter)'!$O$10:$T$27,'Antal &amp; Längder (vikter)'!$S$10,L28:L29)+DSUM('Antal &amp; Längder (vikter)'!$O$10:$T$27,'Antal &amp; Längder (vikter)'!$T$10,L28:L29),DSUM('Antal &amp; Längder (vikter)'!$O$10:$T$27,'Antal &amp; Längder (vikter)'!$R$10,K28:K29)+DSUM('Antal &amp; Längder (vikter)'!$O$10:$T$27,'Antal &amp; Längder (vikter)'!$S$10,K28:K29)+DSUM('Antal &amp; Längder (vikter)'!$O$10:$T$27,'Antal &amp; Längder (vikter)'!$T$10,K28:K29))</f>
        <v>0</v>
      </c>
      <c r="S29" s="535" t="str">
        <f>IF(AND(COUNTIF('Antal &amp; Längder (vikter)'!$B$10:$M$141,N29)+COUNTIF('Antal &amp; Längder (vikter)'!$P$11:$P$27,N29)&gt;0,SUM(Q29:R29)&gt;0),SUM(Q29:R29)+1000*IF(P29&lt;&gt;"",P29,0),"")</f>
        <v/>
      </c>
      <c r="T29" s="536" t="str">
        <f>IF(S29&lt;&gt;"",IF(AND(COUNTIF('Antal &amp; Längder (vikter)'!$B$10:$M$141,N29)+COUNTIF('Antal &amp; Längder (vikter)'!$P$11:$P$27,N29)&gt;0,COUNTIF(S$1:S28,S29)&gt;0),COUNTIF(S$1:S28,S29),0)+RANK(S29,S$2:S$60,0),"")</f>
        <v/>
      </c>
      <c r="U29" s="536" t="str">
        <f>IF(AND(COUNTIF('Antal &amp; Längder (vikter)'!$B$10:$M$141,N29)&gt;0,T29&lt;&gt;"",COUNTIF(T$2:T$60,T29)&gt;1),COUNTIF(T$1:T28,T29)+T29,IF(COUNTIF('Antal &amp; Längder (vikter)'!$B$10:$M$141,N29)+COUNTIF('Antal &amp; Längder (vikter)'!$P$11:$P$27,N29)&gt;0,T29,""))</f>
        <v/>
      </c>
      <c r="V29" s="1">
        <v>0.4</v>
      </c>
      <c r="W29" s="21">
        <v>1.4</v>
      </c>
      <c r="X29" s="119"/>
      <c r="Y29" s="401" t="s">
        <v>1968</v>
      </c>
      <c r="Z29" s="401" t="s">
        <v>1969</v>
      </c>
      <c r="AB29" s="474" t="str">
        <f>IF(COUNT(AB23:AB28)&gt;0,MAX(AB23:AB28)+1,"")</f>
        <v/>
      </c>
      <c r="AC29" s="433" t="str">
        <f>IF(AND(AH29&lt;&gt;"",AG29&lt;&gt;"",AI29&gt;0,AH29&gt;0),MAX(AC$2:AC28)+1,"XX")</f>
        <v>XX</v>
      </c>
      <c r="AD29" s="428" t="str">
        <f>IF('Antal &amp; Längder (vikter)'!$C$8&lt;&gt;"",'Antal &amp; Längder (vikter)'!$C$8,"XX")</f>
        <v>XX</v>
      </c>
      <c r="AE29" s="404" t="str">
        <f>IF(AND('Antal &amp; Längder (vikter)'!D$10&lt;&gt;"",ISNUMBER($AH29)),'Antal &amp; Längder (vikter)'!D$10,"")</f>
        <v/>
      </c>
      <c r="AF29" s="425" t="str">
        <f t="shared" si="1"/>
        <v/>
      </c>
      <c r="AG29" s="426" t="str">
        <f t="shared" si="2"/>
        <v/>
      </c>
      <c r="AH29" s="407" t="str">
        <f>IF('Antal &amp; Längder (vikter)'!D18&lt;&gt;"",'Antal &amp; Längder (vikter)'!D18,"XX")</f>
        <v>XX</v>
      </c>
      <c r="AI29" s="436">
        <f>IF('Antal &amp; Längder (vikter)'!E$11="Vikt (g)",'Antal &amp; Längder (vikter)'!E18,-9)</f>
        <v>-9</v>
      </c>
    </row>
    <row r="30" spans="1:35" x14ac:dyDescent="0.25">
      <c r="A30" s="569" t="s">
        <v>2087</v>
      </c>
      <c r="B30" s="570">
        <v>0.5</v>
      </c>
      <c r="C30" s="570">
        <v>0.75</v>
      </c>
      <c r="D30" s="570">
        <v>0.88</v>
      </c>
      <c r="E30" s="571"/>
      <c r="F30" s="1"/>
      <c r="I30" s="646" t="s">
        <v>362</v>
      </c>
      <c r="J30" s="213" t="s">
        <v>376</v>
      </c>
      <c r="K30" s="203" t="s">
        <v>582</v>
      </c>
      <c r="L30" s="493" t="str">
        <f>$N30</f>
        <v>LAX</v>
      </c>
      <c r="M30" s="486" t="str">
        <f>IF(AND(COUNTIF('Antal &amp; Längder (vikter)'!$B$10:$T$141,N30)&gt;0,U30&lt;&gt;""),RANK(U30,U$2:U$60,1),IF(AND(Prot.Datum&lt;&gt;"",ProtokollLkoordX&lt;&gt;"",ProtokollLkoordY&lt;&gt;"",AND($N30="INGEN FÅNGST",SUM('Antal &amp; Längder (vikter)'!$R$11:$T$27)=0),SUM($AH$3:$AH$1082)=0),1,""))</f>
        <v/>
      </c>
      <c r="N30" s="1" t="s">
        <v>587</v>
      </c>
      <c r="O30" s="21" t="s">
        <v>587</v>
      </c>
      <c r="P30" s="537">
        <v>10</v>
      </c>
      <c r="Q30" s="533">
        <f t="shared" si="3"/>
        <v>0</v>
      </c>
      <c r="R30" s="534">
        <f>IF(ROUND(ROW()/2,0)=INT(ROW()/2),DSUM('Antal &amp; Längder (vikter)'!$O$10:$T$27,'Antal &amp; Längder (vikter)'!$R$10,L29:L30)+DSUM('Antal &amp; Längder (vikter)'!$O$10:$T$27,'Antal &amp; Längder (vikter)'!$S$10,L29:L30)+DSUM('Antal &amp; Längder (vikter)'!$O$10:$T$27,'Antal &amp; Längder (vikter)'!$T$10,L29:L30),DSUM('Antal &amp; Längder (vikter)'!$O$10:$T$27,'Antal &amp; Längder (vikter)'!$R$10,K29:K30)+DSUM('Antal &amp; Längder (vikter)'!$O$10:$T$27,'Antal &amp; Längder (vikter)'!$S$10,K29:K30)+DSUM('Antal &amp; Längder (vikter)'!$O$10:$T$27,'Antal &amp; Längder (vikter)'!$T$10,K29:K30))</f>
        <v>0</v>
      </c>
      <c r="S30" s="535" t="str">
        <f>IF(AND(COUNTIF('Antal &amp; Längder (vikter)'!$B$10:$M$141,N30)+COUNTIF('Antal &amp; Längder (vikter)'!$P$11:$P$27,N30)&gt;0,SUM(Q30:R30)&gt;0),SUM(Q30:R30)+1000*IF(P30&lt;&gt;"",P30,0),"")</f>
        <v/>
      </c>
      <c r="T30" s="536" t="str">
        <f>IF(S30&lt;&gt;"",IF(AND(COUNTIF('Antal &amp; Längder (vikter)'!$B$10:$M$141,N30)+COUNTIF('Antal &amp; Längder (vikter)'!$P$11:$P$27,N30)&gt;0,COUNTIF(S$1:S29,S30)&gt;0),COUNTIF(S$1:S29,S30),0)+RANK(S30,S$2:S$60,0),"")</f>
        <v/>
      </c>
      <c r="U30" s="536" t="str">
        <f>IF(AND(COUNTIF('Antal &amp; Längder (vikter)'!$B$10:$M$141,N30)&gt;0,T30&lt;&gt;"",COUNTIF(T$2:T$60,T30)&gt;1),COUNTIF(T$1:T29,T30)+T30,IF(COUNTIF('Antal &amp; Längder (vikter)'!$B$10:$M$141,N30)+COUNTIF('Antal &amp; Längder (vikter)'!$P$11:$P$27,N30)&gt;0,T30,""))</f>
        <v/>
      </c>
      <c r="V30" s="1">
        <v>0.6</v>
      </c>
      <c r="W30" s="21">
        <v>1.6</v>
      </c>
      <c r="X30" s="119"/>
      <c r="Y30" s="401" t="s">
        <v>2364</v>
      </c>
      <c r="Z30" s="401" t="s">
        <v>2365</v>
      </c>
      <c r="AB30" s="478" t="str">
        <f>IF(COUNT(AB23:AB29)&gt;0,MAX(AB23:AB29)+1,"")</f>
        <v/>
      </c>
      <c r="AC30" s="433" t="str">
        <f>IF(AND(AH30&lt;&gt;"",AG30&lt;&gt;"",AI30&gt;0,AH30&gt;0),MAX(AC$2:AC29)+1,"XX")</f>
        <v>XX</v>
      </c>
      <c r="AD30" s="428" t="str">
        <f>IF('Antal &amp; Längder (vikter)'!$C$8&lt;&gt;"",'Antal &amp; Längder (vikter)'!$C$8,"XX")</f>
        <v>XX</v>
      </c>
      <c r="AE30" s="404" t="str">
        <f>IF(AND('Antal &amp; Längder (vikter)'!D$10&lt;&gt;"",ISNUMBER($AH30)),'Antal &amp; Längder (vikter)'!D$10,"")</f>
        <v/>
      </c>
      <c r="AF30" s="425" t="str">
        <f t="shared" si="1"/>
        <v/>
      </c>
      <c r="AG30" s="426" t="str">
        <f t="shared" si="2"/>
        <v/>
      </c>
      <c r="AH30" s="407" t="str">
        <f>IF('Antal &amp; Längder (vikter)'!D19&lt;&gt;"",'Antal &amp; Längder (vikter)'!D19,"XX")</f>
        <v>XX</v>
      </c>
      <c r="AI30" s="436">
        <f>IF('Antal &amp; Längder (vikter)'!E$11="Vikt (g)",'Antal &amp; Längder (vikter)'!E19,-9)</f>
        <v>-9</v>
      </c>
    </row>
    <row r="31" spans="1:35" x14ac:dyDescent="0.25">
      <c r="A31" s="569" t="s">
        <v>2088</v>
      </c>
      <c r="B31" s="570">
        <v>0.45</v>
      </c>
      <c r="C31" s="570">
        <v>0.7</v>
      </c>
      <c r="D31" s="570">
        <v>0.83</v>
      </c>
      <c r="E31" s="571"/>
      <c r="F31" s="1"/>
      <c r="G31" s="329" t="s">
        <v>83</v>
      </c>
      <c r="H31" s="640" t="s">
        <v>77</v>
      </c>
      <c r="I31" s="646" t="s">
        <v>363</v>
      </c>
      <c r="J31" s="213" t="s">
        <v>377</v>
      </c>
      <c r="K31" s="493" t="str">
        <f>$N31</f>
        <v>LAX X ÖRING</v>
      </c>
      <c r="L31" s="203" t="s">
        <v>582</v>
      </c>
      <c r="M31" s="486" t="str">
        <f>IF(AND(COUNTIF('Antal &amp; Längder (vikter)'!$B$10:$T$141,N31)&gt;0,U31&lt;&gt;""),RANK(U31,U$2:U$60,1),IF(AND(Prot.Datum&lt;&gt;"",ProtokollLkoordX&lt;&gt;"",ProtokollLkoordY&lt;&gt;"",AND($N31="INGEN FÅNGST",SUM('Antal &amp; Längder (vikter)'!$R$11:$T$27)=0),SUM($AH$3:$AH$1082)=0),1,""))</f>
        <v/>
      </c>
      <c r="N31" s="1" t="s">
        <v>896</v>
      </c>
      <c r="O31" s="21" t="s">
        <v>627</v>
      </c>
      <c r="P31" s="99">
        <v>5</v>
      </c>
      <c r="Q31" s="533">
        <f t="shared" si="3"/>
        <v>0</v>
      </c>
      <c r="R31" s="534">
        <f>IF(ROUND(ROW()/2,0)=INT(ROW()/2),DSUM('Antal &amp; Längder (vikter)'!$O$10:$T$27,'Antal &amp; Längder (vikter)'!$R$10,L30:L31)+DSUM('Antal &amp; Längder (vikter)'!$O$10:$T$27,'Antal &amp; Längder (vikter)'!$S$10,L30:L31)+DSUM('Antal &amp; Längder (vikter)'!$O$10:$T$27,'Antal &amp; Längder (vikter)'!$T$10,L30:L31),DSUM('Antal &amp; Längder (vikter)'!$O$10:$T$27,'Antal &amp; Längder (vikter)'!$R$10,K30:K31)+DSUM('Antal &amp; Längder (vikter)'!$O$10:$T$27,'Antal &amp; Längder (vikter)'!$S$10,K30:K31)+DSUM('Antal &amp; Längder (vikter)'!$O$10:$T$27,'Antal &amp; Längder (vikter)'!$T$10,K30:K31))</f>
        <v>0</v>
      </c>
      <c r="S31" s="535" t="str">
        <f>IF(AND(COUNTIF('Antal &amp; Längder (vikter)'!$B$10:$M$141,N31)+COUNTIF('Antal &amp; Längder (vikter)'!$P$11:$P$27,N31)&gt;0,SUM(Q31:R31)&gt;0),SUM(Q31:R31)+1000*IF(P31&lt;&gt;"",P31,0),"")</f>
        <v/>
      </c>
      <c r="T31" s="536" t="str">
        <f>IF(S31&lt;&gt;"",IF(AND(COUNTIF('Antal &amp; Längder (vikter)'!$B$10:$M$141,N31)+COUNTIF('Antal &amp; Längder (vikter)'!$P$11:$P$27,N31)&gt;0,COUNTIF(S$1:S30,S31)&gt;0),COUNTIF(S$1:S30,S31),0)+RANK(S31,S$2:S$60,0),"")</f>
        <v/>
      </c>
      <c r="U31" s="536" t="str">
        <f>IF(AND(COUNTIF('Antal &amp; Längder (vikter)'!$B$10:$M$141,N31)&gt;0,T31&lt;&gt;"",COUNTIF(T$2:T$60,T31)&gt;1),COUNTIF(T$1:T30,T31)+T31,IF(COUNTIF('Antal &amp; Längder (vikter)'!$B$10:$M$141,N31)+COUNTIF('Antal &amp; Längder (vikter)'!$P$11:$P$27,N31)&gt;0,T31,""))</f>
        <v/>
      </c>
      <c r="V31" s="1">
        <v>0.6</v>
      </c>
      <c r="W31" s="21">
        <v>1.6</v>
      </c>
      <c r="X31" s="119"/>
      <c r="Y31" s="401" t="s">
        <v>1553</v>
      </c>
      <c r="Z31" s="401" t="s">
        <v>1554</v>
      </c>
      <c r="AB31" s="472" t="str">
        <f>IF(COUNT(AB23:AB30)&gt;0,MAX(AB23:AB30)+1,"")</f>
        <v/>
      </c>
      <c r="AC31" s="433" t="str">
        <f>IF(AND(AH31&lt;&gt;"",AG31&lt;&gt;"",AI31&gt;0,AH31&gt;0),MAX(AC$2:AC30)+1,"XX")</f>
        <v>XX</v>
      </c>
      <c r="AD31" s="428" t="str">
        <f>IF('Antal &amp; Längder (vikter)'!$C$8&lt;&gt;"",'Antal &amp; Längder (vikter)'!$C$8,"XX")</f>
        <v>XX</v>
      </c>
      <c r="AE31" s="404" t="str">
        <f>IF(AND('Antal &amp; Längder (vikter)'!D$10&lt;&gt;"",ISNUMBER($AH31)),'Antal &amp; Längder (vikter)'!D$10,"")</f>
        <v/>
      </c>
      <c r="AF31" s="425" t="str">
        <f t="shared" si="1"/>
        <v/>
      </c>
      <c r="AG31" s="426" t="str">
        <f t="shared" si="2"/>
        <v/>
      </c>
      <c r="AH31" s="407" t="str">
        <f>IF('Antal &amp; Längder (vikter)'!D20&lt;&gt;"",'Antal &amp; Längder (vikter)'!D20,"XX")</f>
        <v>XX</v>
      </c>
      <c r="AI31" s="436">
        <f>IF('Antal &amp; Längder (vikter)'!E$11="Vikt (g)",'Antal &amp; Längder (vikter)'!E20,-9)</f>
        <v>-9</v>
      </c>
    </row>
    <row r="32" spans="1:35" x14ac:dyDescent="0.25">
      <c r="A32" s="569" t="s">
        <v>2089</v>
      </c>
      <c r="B32" s="570">
        <v>0.59</v>
      </c>
      <c r="C32" s="570">
        <v>0.89</v>
      </c>
      <c r="D32" s="570">
        <v>0.93</v>
      </c>
      <c r="E32" s="571"/>
      <c r="F32" s="1"/>
      <c r="G32" s="639" t="s">
        <v>81</v>
      </c>
      <c r="H32" s="641" t="s">
        <v>78</v>
      </c>
      <c r="I32" s="647" t="s">
        <v>364</v>
      </c>
      <c r="J32" s="213" t="s">
        <v>378</v>
      </c>
      <c r="K32" s="203" t="s">
        <v>582</v>
      </c>
      <c r="L32" s="493" t="str">
        <f>$N32</f>
        <v>LAXFISK</v>
      </c>
      <c r="M32" s="486" t="str">
        <f>IF(AND(COUNTIF('Antal &amp; Längder (vikter)'!$B$10:$T$141,N32)&gt;0,U32&lt;&gt;""),RANK(U32,U$2:U$60,1),IF(AND(Prot.Datum&lt;&gt;"",ProtokollLkoordX&lt;&gt;"",ProtokollLkoordY&lt;&gt;"",AND($N32="INGEN FÅNGST",SUM('Antal &amp; Längder (vikter)'!$R$11:$T$27)=0),SUM($AH$3:$AH$1082)=0),1,""))</f>
        <v/>
      </c>
      <c r="N32" s="1" t="s">
        <v>626</v>
      </c>
      <c r="O32" s="21" t="s">
        <v>626</v>
      </c>
      <c r="P32" s="99">
        <v>6</v>
      </c>
      <c r="Q32" s="533">
        <f t="shared" si="3"/>
        <v>0</v>
      </c>
      <c r="R32" s="534">
        <f>IF(ROUND(ROW()/2,0)=INT(ROW()/2),DSUM('Antal &amp; Längder (vikter)'!$O$10:$T$27,'Antal &amp; Längder (vikter)'!$R$10,L31:L32)+DSUM('Antal &amp; Längder (vikter)'!$O$10:$T$27,'Antal &amp; Längder (vikter)'!$S$10,L31:L32)+DSUM('Antal &amp; Längder (vikter)'!$O$10:$T$27,'Antal &amp; Längder (vikter)'!$T$10,L31:L32),DSUM('Antal &amp; Längder (vikter)'!$O$10:$T$27,'Antal &amp; Längder (vikter)'!$R$10,K31:K32)+DSUM('Antal &amp; Längder (vikter)'!$O$10:$T$27,'Antal &amp; Längder (vikter)'!$S$10,K31:K32)+DSUM('Antal &amp; Längder (vikter)'!$O$10:$T$27,'Antal &amp; Längder (vikter)'!$T$10,K31:K32))</f>
        <v>0</v>
      </c>
      <c r="S32" s="535" t="str">
        <f>IF(AND(COUNTIF('Antal &amp; Längder (vikter)'!$B$10:$M$141,N32)+COUNTIF('Antal &amp; Längder (vikter)'!$P$11:$P$27,N32)&gt;0,SUM(Q32:R32)&gt;0),SUM(Q32:R32)+1000*IF(P32&lt;&gt;"",P32,0),"")</f>
        <v/>
      </c>
      <c r="T32" s="536" t="str">
        <f>IF(S32&lt;&gt;"",IF(AND(COUNTIF('Antal &amp; Längder (vikter)'!$B$10:$M$141,N32)+COUNTIF('Antal &amp; Längder (vikter)'!$P$11:$P$27,N32)&gt;0,COUNTIF(S$1:S31,S32)&gt;0),COUNTIF(S$1:S31,S32),0)+RANK(S32,S$2:S$60,0),"")</f>
        <v/>
      </c>
      <c r="U32" s="536" t="str">
        <f>IF(AND(COUNTIF('Antal &amp; Längder (vikter)'!$B$10:$M$141,N32)&gt;0,T32&lt;&gt;"",COUNTIF(T$2:T$60,T32)&gt;1),COUNTIF(T$1:T31,T32)+T32,IF(COUNTIF('Antal &amp; Längder (vikter)'!$B$10:$M$141,N32)+COUNTIF('Antal &amp; Längder (vikter)'!$P$11:$P$27,N32)&gt;0,T32,""))</f>
        <v/>
      </c>
      <c r="V32" s="1">
        <v>0.6</v>
      </c>
      <c r="W32" s="21">
        <v>1.6</v>
      </c>
      <c r="X32" s="119"/>
      <c r="Y32" s="401" t="s">
        <v>2122</v>
      </c>
      <c r="Z32" s="401" t="s">
        <v>2123</v>
      </c>
      <c r="AB32" s="479" t="str">
        <f>IF(COUNT(AB23:AB31)&gt;0,MAX(AB23:AB31)+1,"")</f>
        <v/>
      </c>
      <c r="AC32" s="433" t="str">
        <f>IF(AND(AH32&lt;&gt;"",AG32&lt;&gt;"",AI32&gt;0,AH32&gt;0),MAX(AC$2:AC31)+1,"XX")</f>
        <v>XX</v>
      </c>
      <c r="AD32" s="428" t="str">
        <f>IF('Antal &amp; Längder (vikter)'!$C$8&lt;&gt;"",'Antal &amp; Längder (vikter)'!$C$8,"XX")</f>
        <v>XX</v>
      </c>
      <c r="AE32" s="404" t="str">
        <f>IF(AND('Antal &amp; Längder (vikter)'!D$10&lt;&gt;"",ISNUMBER($AH32)),'Antal &amp; Längder (vikter)'!D$10,"")</f>
        <v/>
      </c>
      <c r="AF32" s="425" t="str">
        <f t="shared" si="1"/>
        <v/>
      </c>
      <c r="AG32" s="426" t="str">
        <f t="shared" si="2"/>
        <v/>
      </c>
      <c r="AH32" s="407" t="str">
        <f>IF('Antal &amp; Längder (vikter)'!D21&lt;&gt;"",'Antal &amp; Längder (vikter)'!D21,"XX")</f>
        <v>XX</v>
      </c>
      <c r="AI32" s="436">
        <f>IF('Antal &amp; Längder (vikter)'!E$11="Vikt (g)",'Antal &amp; Längder (vikter)'!E21,-9)</f>
        <v>-9</v>
      </c>
    </row>
    <row r="33" spans="1:35" x14ac:dyDescent="0.25">
      <c r="A33" s="569" t="s">
        <v>2090</v>
      </c>
      <c r="B33" s="570">
        <v>0.52</v>
      </c>
      <c r="C33" s="570">
        <v>0.77</v>
      </c>
      <c r="D33" s="570">
        <v>0.89</v>
      </c>
      <c r="E33" s="571"/>
      <c r="F33" s="1"/>
      <c r="G33" s="577" t="s">
        <v>82</v>
      </c>
      <c r="H33" s="642" t="s">
        <v>79</v>
      </c>
      <c r="I33" s="647" t="s">
        <v>89</v>
      </c>
      <c r="J33" s="213" t="s">
        <v>1509</v>
      </c>
      <c r="K33" s="493" t="str">
        <f>$N33</f>
        <v>LERSTUBB</v>
      </c>
      <c r="L33" s="203" t="s">
        <v>582</v>
      </c>
      <c r="M33" s="486" t="str">
        <f>IF(AND(COUNTIF('Antal &amp; Längder (vikter)'!$B$10:$T$141,N33)&gt;0,U33&lt;&gt;""),RANK(U33,U$2:U$60,1),IF(AND(Prot.Datum&lt;&gt;"",ProtokollLkoordX&lt;&gt;"",ProtokollLkoordY&lt;&gt;"",AND($N33="INGEN FÅNGST",SUM('Antal &amp; Längder (vikter)'!$R$11:$T$27)=0),SUM($AH$3:$AH$1082)=0),1,""))</f>
        <v/>
      </c>
      <c r="N33" s="201" t="s">
        <v>1499</v>
      </c>
      <c r="O33" s="21" t="s">
        <v>1500</v>
      </c>
      <c r="P33" s="99"/>
      <c r="Q33" s="533">
        <f t="shared" si="3"/>
        <v>0</v>
      </c>
      <c r="R33" s="534">
        <f>IF(ROUND(ROW()/2,0)=INT(ROW()/2),DSUM('Antal &amp; Längder (vikter)'!$O$10:$T$27,'Antal &amp; Längder (vikter)'!$R$10,L32:L33)+DSUM('Antal &amp; Längder (vikter)'!$O$10:$T$27,'Antal &amp; Längder (vikter)'!$S$10,L32:L33)+DSUM('Antal &amp; Längder (vikter)'!$O$10:$T$27,'Antal &amp; Längder (vikter)'!$T$10,L32:L33),DSUM('Antal &amp; Längder (vikter)'!$O$10:$T$27,'Antal &amp; Längder (vikter)'!$R$10,K32:K33)+DSUM('Antal &amp; Längder (vikter)'!$O$10:$T$27,'Antal &amp; Längder (vikter)'!$S$10,K32:K33)+DSUM('Antal &amp; Längder (vikter)'!$O$10:$T$27,'Antal &amp; Längder (vikter)'!$T$10,K32:K33))</f>
        <v>0</v>
      </c>
      <c r="S33" s="535" t="str">
        <f>IF(AND(COUNTIF('Antal &amp; Längder (vikter)'!$B$10:$M$141,N33)+COUNTIF('Antal &amp; Längder (vikter)'!$P$11:$P$27,N33)&gt;0,SUM(Q33:R33)&gt;0),SUM(Q33:R33)+1000*IF(P33&lt;&gt;"",P33,0),"")</f>
        <v/>
      </c>
      <c r="T33" s="536" t="str">
        <f>IF(S33&lt;&gt;"",IF(AND(COUNTIF('Antal &amp; Längder (vikter)'!$B$10:$M$141,N33)+COUNTIF('Antal &amp; Längder (vikter)'!$P$11:$P$27,N33)&gt;0,COUNTIF(S$1:S32,S33)&gt;0),COUNTIF(S$1:S32,S33),0)+RANK(S33,S$2:S$60,0),"")</f>
        <v/>
      </c>
      <c r="U33" s="536" t="str">
        <f>IF(AND(COUNTIF('Antal &amp; Längder (vikter)'!$B$10:$M$141,N33)&gt;0,T33&lt;&gt;"",COUNTIF(T$2:T$60,T33)&gt;1),COUNTIF(T$1:T32,T33)+T33,IF(COUNTIF('Antal &amp; Längder (vikter)'!$B$10:$M$141,N33)+COUNTIF('Antal &amp; Längder (vikter)'!$P$11:$P$27,N33)&gt;0,T33,""))</f>
        <v/>
      </c>
      <c r="V33" s="1">
        <v>0.4</v>
      </c>
      <c r="W33" s="21">
        <v>1.4</v>
      </c>
      <c r="X33" s="119"/>
      <c r="Y33" s="401" t="s">
        <v>2126</v>
      </c>
      <c r="Z33" s="401" t="s">
        <v>2127</v>
      </c>
      <c r="AB33" s="480" t="str">
        <f>IF(AND(ISNUMBER(AH33),AH33&gt;0),IF(MAX(AB$3:AB32)&gt;0,MAX(AB$3:AB32)+1,10+COUNTIF(F$38:F$49,"&gt;0")*10+1),"")</f>
        <v/>
      </c>
      <c r="AC33" s="433" t="str">
        <f>IF(AND(AH33&lt;&gt;"",AG33&lt;&gt;"",AI33&gt;0,AH33&gt;0),MAX(AC$2:AC32)+1,"XX")</f>
        <v>XX</v>
      </c>
      <c r="AD33" s="428" t="str">
        <f>IF('Antal &amp; Längder (vikter)'!$C$8&lt;&gt;"",'Antal &amp; Längder (vikter)'!$C$8,"XX")</f>
        <v>XX</v>
      </c>
      <c r="AE33" s="404" t="str">
        <f>IF(AND('Antal &amp; Längder (vikter)'!D$10&lt;&gt;"",ISNUMBER($AH33)),'Antal &amp; Längder (vikter)'!D$10,"")</f>
        <v/>
      </c>
      <c r="AF33" s="425" t="str">
        <f t="shared" si="1"/>
        <v/>
      </c>
      <c r="AG33" s="426" t="str">
        <f t="shared" si="2"/>
        <v/>
      </c>
      <c r="AH33" s="409" t="str">
        <f>IF('Antal &amp; Längder (vikter)'!E$11="Längd (mm)",IF('Antal &amp; Längder (vikter)'!E12&lt;&gt;"",'Antal &amp; Längder (vikter)'!E12,"XX"),"XX")</f>
        <v>XX</v>
      </c>
      <c r="AI33" s="7">
        <v>-9</v>
      </c>
    </row>
    <row r="34" spans="1:35" x14ac:dyDescent="0.25">
      <c r="A34" s="569" t="s">
        <v>2091</v>
      </c>
      <c r="B34" s="570">
        <v>0.43</v>
      </c>
      <c r="C34" s="570">
        <v>0.68</v>
      </c>
      <c r="D34" s="570">
        <v>0.81</v>
      </c>
      <c r="E34" s="571"/>
      <c r="F34" s="1"/>
      <c r="G34" s="578"/>
      <c r="I34" s="647" t="s">
        <v>1507</v>
      </c>
      <c r="J34" s="213" t="s">
        <v>97</v>
      </c>
      <c r="K34" s="203" t="s">
        <v>582</v>
      </c>
      <c r="L34" s="493" t="str">
        <f>$N34</f>
        <v>MAL</v>
      </c>
      <c r="M34" s="486" t="str">
        <f>IF(AND(COUNTIF('Antal &amp; Längder (vikter)'!$B$10:$T$141,N34)&gt;0,U34&lt;&gt;""),RANK(U34,U$2:U$60,1),IF(AND(Prot.Datum&lt;&gt;"",ProtokollLkoordX&lt;&gt;"",ProtokollLkoordY&lt;&gt;"",AND($N34="INGEN FÅNGST",SUM('Antal &amp; Längder (vikter)'!$R$11:$T$27)=0),SUM($AH$3:$AH$1082)=0),1,""))</f>
        <v/>
      </c>
      <c r="N34" s="1" t="s">
        <v>628</v>
      </c>
      <c r="O34" s="21" t="s">
        <v>628</v>
      </c>
      <c r="P34" s="99"/>
      <c r="Q34" s="533">
        <f t="shared" si="3"/>
        <v>0</v>
      </c>
      <c r="R34" s="534">
        <f>IF(ROUND(ROW()/2,0)=INT(ROW()/2),DSUM('Antal &amp; Längder (vikter)'!$O$10:$T$27,'Antal &amp; Längder (vikter)'!$R$10,L33:L34)+DSUM('Antal &amp; Längder (vikter)'!$O$10:$T$27,'Antal &amp; Längder (vikter)'!$S$10,L33:L34)+DSUM('Antal &amp; Längder (vikter)'!$O$10:$T$27,'Antal &amp; Längder (vikter)'!$T$10,L33:L34),DSUM('Antal &amp; Längder (vikter)'!$O$10:$T$27,'Antal &amp; Längder (vikter)'!$R$10,K33:K34)+DSUM('Antal &amp; Längder (vikter)'!$O$10:$T$27,'Antal &amp; Längder (vikter)'!$S$10,K33:K34)+DSUM('Antal &amp; Längder (vikter)'!$O$10:$T$27,'Antal &amp; Längder (vikter)'!$T$10,K33:K34))</f>
        <v>0</v>
      </c>
      <c r="S34" s="535" t="str">
        <f>IF(AND(COUNTIF('Antal &amp; Längder (vikter)'!$B$10:$M$141,N34)+COUNTIF('Antal &amp; Längder (vikter)'!$P$11:$P$27,N34)&gt;0,SUM(Q34:R34)&gt;0),SUM(Q34:R34)+1000*IF(P34&lt;&gt;"",P34,0),"")</f>
        <v/>
      </c>
      <c r="T34" s="536" t="str">
        <f>IF(S34&lt;&gt;"",IF(AND(COUNTIF('Antal &amp; Längder (vikter)'!$B$10:$M$141,N34)+COUNTIF('Antal &amp; Längder (vikter)'!$P$11:$P$27,N34)&gt;0,COUNTIF(S$1:S33,S34)&gt;0),COUNTIF(S$1:S33,S34),0)+RANK(S34,S$2:S$60,0),"")</f>
        <v/>
      </c>
      <c r="U34" s="536" t="str">
        <f>IF(AND(COUNTIF('Antal &amp; Längder (vikter)'!$B$10:$M$141,N34)&gt;0,T34&lt;&gt;"",COUNTIF(T$2:T$60,T34)&gt;1),COUNTIF(T$1:T33,T34)+T34,IF(COUNTIF('Antal &amp; Längder (vikter)'!$B$10:$M$141,N34)+COUNTIF('Antal &amp; Längder (vikter)'!$P$11:$P$27,N34)&gt;0,T34,""))</f>
        <v/>
      </c>
      <c r="V34" s="1">
        <v>0.4</v>
      </c>
      <c r="W34" s="21">
        <v>1.4</v>
      </c>
      <c r="X34" s="119"/>
      <c r="Y34" s="401" t="s">
        <v>2366</v>
      </c>
      <c r="Z34" s="401" t="s">
        <v>2367</v>
      </c>
      <c r="AB34" s="476" t="str">
        <f>IF(COUNT(AB33:AB33)&gt;0,MAX(AB33:AB33)+1,"")</f>
        <v/>
      </c>
      <c r="AC34" s="433" t="str">
        <f>IF(AND(AH34&lt;&gt;"",AG34&lt;&gt;"",AI34&gt;0,AH34&gt;0),MAX(AC$2:AC33)+1,"XX")</f>
        <v>XX</v>
      </c>
      <c r="AD34" s="428" t="str">
        <f>IF('Antal &amp; Längder (vikter)'!$C$8&lt;&gt;"",'Antal &amp; Längder (vikter)'!$C$8,"XX")</f>
        <v>XX</v>
      </c>
      <c r="AE34" s="404" t="str">
        <f>IF(AND('Antal &amp; Längder (vikter)'!D$10&lt;&gt;"",ISNUMBER($AH34)),'Antal &amp; Längder (vikter)'!D$10,"")</f>
        <v/>
      </c>
      <c r="AF34" s="425" t="str">
        <f t="shared" si="1"/>
        <v/>
      </c>
      <c r="AG34" s="426" t="str">
        <f t="shared" si="2"/>
        <v/>
      </c>
      <c r="AH34" s="409" t="str">
        <f>IF('Antal &amp; Längder (vikter)'!E$11="Längd (mm)",IF('Antal &amp; Längder (vikter)'!E13&lt;&gt;"",'Antal &amp; Längder (vikter)'!E13,"XX"),"XX")</f>
        <v>XX</v>
      </c>
      <c r="AI34" s="7">
        <v>-9</v>
      </c>
    </row>
    <row r="35" spans="1:35" s="1" customFormat="1" x14ac:dyDescent="0.25">
      <c r="A35" s="569" t="s">
        <v>2092</v>
      </c>
      <c r="B35" s="570">
        <v>0.43</v>
      </c>
      <c r="C35" s="570">
        <v>0.68</v>
      </c>
      <c r="D35" s="570">
        <v>0.81</v>
      </c>
      <c r="E35" s="571"/>
      <c r="G35" s="8"/>
      <c r="H35" s="20"/>
      <c r="I35" s="647" t="s">
        <v>91</v>
      </c>
      <c r="J35" s="213"/>
      <c r="K35" s="493" t="str">
        <f>$N35</f>
        <v>MÖRT</v>
      </c>
      <c r="L35" s="203" t="s">
        <v>582</v>
      </c>
      <c r="M35" s="486" t="str">
        <f>IF(AND(COUNTIF('Antal &amp; Längder (vikter)'!$B$10:$T$141,N35)&gt;0,U35&lt;&gt;""),RANK(U35,U$2:U$60,1),IF(AND(Prot.Datum&lt;&gt;"",ProtokollLkoordX&lt;&gt;"",ProtokollLkoordY&lt;&gt;"",AND($N35="INGEN FÅNGST",SUM('Antal &amp; Längder (vikter)'!$R$11:$T$27)=0),SUM($AH$3:$AH$1082)=0),1,""))</f>
        <v/>
      </c>
      <c r="N35" s="1" t="s">
        <v>575</v>
      </c>
      <c r="O35" s="21" t="s">
        <v>575</v>
      </c>
      <c r="P35" s="99"/>
      <c r="Q35" s="533">
        <f t="shared" si="3"/>
        <v>0</v>
      </c>
      <c r="R35" s="534">
        <f>IF(ROUND(ROW()/2,0)=INT(ROW()/2),DSUM('Antal &amp; Längder (vikter)'!$O$10:$T$27,'Antal &amp; Längder (vikter)'!$R$10,L34:L35)+DSUM('Antal &amp; Längder (vikter)'!$O$10:$T$27,'Antal &amp; Längder (vikter)'!$S$10,L34:L35)+DSUM('Antal &amp; Längder (vikter)'!$O$10:$T$27,'Antal &amp; Längder (vikter)'!$T$10,L34:L35),DSUM('Antal &amp; Längder (vikter)'!$O$10:$T$27,'Antal &amp; Längder (vikter)'!$R$10,K34:K35)+DSUM('Antal &amp; Längder (vikter)'!$O$10:$T$27,'Antal &amp; Längder (vikter)'!$S$10,K34:K35)+DSUM('Antal &amp; Längder (vikter)'!$O$10:$T$27,'Antal &amp; Längder (vikter)'!$T$10,K34:K35))</f>
        <v>0</v>
      </c>
      <c r="S35" s="535" t="str">
        <f>IF(AND(COUNTIF('Antal &amp; Längder (vikter)'!$B$10:$M$141,N35)+COUNTIF('Antal &amp; Längder (vikter)'!$P$11:$P$27,N35)&gt;0,SUM(Q35:R35)&gt;0),SUM(Q35:R35)+1000*IF(P35&lt;&gt;"",P35,0),"")</f>
        <v/>
      </c>
      <c r="T35" s="536" t="str">
        <f>IF(S35&lt;&gt;"",IF(AND(COUNTIF('Antal &amp; Längder (vikter)'!$B$10:$M$141,N35)+COUNTIF('Antal &amp; Längder (vikter)'!$P$11:$P$27,N35)&gt;0,COUNTIF(S$1:S34,S35)&gt;0),COUNTIF(S$1:S34,S35),0)+RANK(S35,S$2:S$60,0),"")</f>
        <v/>
      </c>
      <c r="U35" s="536" t="str">
        <f>IF(AND(COUNTIF('Antal &amp; Längder (vikter)'!$B$10:$M$141,N35)&gt;0,T35&lt;&gt;"",COUNTIF(T$2:T$60,T35)&gt;1),COUNTIF(T$1:T34,T35)+T35,IF(COUNTIF('Antal &amp; Längder (vikter)'!$B$10:$M$141,N35)+COUNTIF('Antal &amp; Längder (vikter)'!$P$11:$P$27,N35)&gt;0,T35,""))</f>
        <v/>
      </c>
      <c r="V35" s="1">
        <v>0.6</v>
      </c>
      <c r="W35" s="21">
        <v>1.6</v>
      </c>
      <c r="X35" s="119"/>
      <c r="Y35" s="401" t="s">
        <v>1659</v>
      </c>
      <c r="Z35" s="401" t="s">
        <v>1660</v>
      </c>
      <c r="AB35" s="477" t="str">
        <f>IF(COUNT(AB33:AB34)&gt;0,MAX(AB33:AB34)+1,"")</f>
        <v/>
      </c>
      <c r="AC35" s="433" t="str">
        <f>IF(AND(AH35&lt;&gt;"",AG35&lt;&gt;"",AI35&gt;0,AH35&gt;0),MAX(AC$2:AC34)+1,"XX")</f>
        <v>XX</v>
      </c>
      <c r="AD35" s="428" t="str">
        <f>IF('Antal &amp; Längder (vikter)'!$C$8&lt;&gt;"",'Antal &amp; Längder (vikter)'!$C$8,"XX")</f>
        <v>XX</v>
      </c>
      <c r="AE35" s="404" t="str">
        <f>IF(AND('Antal &amp; Längder (vikter)'!D$10&lt;&gt;"",ISNUMBER($AH35)),'Antal &amp; Längder (vikter)'!D$10,"")</f>
        <v/>
      </c>
      <c r="AF35" s="425" t="str">
        <f t="shared" si="1"/>
        <v/>
      </c>
      <c r="AG35" s="426" t="str">
        <f t="shared" si="2"/>
        <v/>
      </c>
      <c r="AH35" s="409" t="str">
        <f>IF('Antal &amp; Längder (vikter)'!E$11="Längd (mm)",IF('Antal &amp; Längder (vikter)'!E14&lt;&gt;"",'Antal &amp; Längder (vikter)'!E14,"XX"),"XX")</f>
        <v>XX</v>
      </c>
      <c r="AI35" s="7">
        <v>-9</v>
      </c>
    </row>
    <row r="36" spans="1:35" x14ac:dyDescent="0.25">
      <c r="A36" s="569" t="s">
        <v>2093</v>
      </c>
      <c r="B36" s="570">
        <v>0.55000000000000004</v>
      </c>
      <c r="C36" s="570">
        <v>0.8</v>
      </c>
      <c r="D36" s="570">
        <v>0.91</v>
      </c>
      <c r="E36" s="571"/>
      <c r="G36" s="8"/>
      <c r="H36" s="20"/>
      <c r="I36" s="647" t="s">
        <v>2509</v>
      </c>
      <c r="J36" s="213"/>
      <c r="K36" s="203" t="s">
        <v>582</v>
      </c>
      <c r="L36" s="493" t="str">
        <f>$N36</f>
        <v>NEJONÖGA</v>
      </c>
      <c r="M36" s="486" t="str">
        <f>IF(AND(COUNTIF('Antal &amp; Längder (vikter)'!$B$10:$T$141,N36)&gt;0,U36&lt;&gt;""),RANK(U36,U$2:U$60,1),IF(AND(Prot.Datum&lt;&gt;"",ProtokollLkoordX&lt;&gt;"",ProtokollLkoordY&lt;&gt;"",AND($N36="INGEN FÅNGST",SUM('Antal &amp; Längder (vikter)'!$R$11:$T$27)=0),SUM($AH$3:$AH$1082)=0),1,""))</f>
        <v/>
      </c>
      <c r="N36" s="1" t="s">
        <v>761</v>
      </c>
      <c r="O36" s="21" t="s">
        <v>761</v>
      </c>
      <c r="P36" s="99"/>
      <c r="Q36" s="533">
        <f t="shared" si="3"/>
        <v>0</v>
      </c>
      <c r="R36" s="534">
        <f>IF(ROUND(ROW()/2,0)=INT(ROW()/2),DSUM('Antal &amp; Längder (vikter)'!$O$10:$T$27,'Antal &amp; Längder (vikter)'!$R$10,L35:L36)+DSUM('Antal &amp; Längder (vikter)'!$O$10:$T$27,'Antal &amp; Längder (vikter)'!$S$10,L35:L36)+DSUM('Antal &amp; Längder (vikter)'!$O$10:$T$27,'Antal &amp; Längder (vikter)'!$T$10,L35:L36),DSUM('Antal &amp; Längder (vikter)'!$O$10:$T$27,'Antal &amp; Längder (vikter)'!$R$10,K35:K36)+DSUM('Antal &amp; Längder (vikter)'!$O$10:$T$27,'Antal &amp; Längder (vikter)'!$S$10,K35:K36)+DSUM('Antal &amp; Längder (vikter)'!$O$10:$T$27,'Antal &amp; Längder (vikter)'!$T$10,K35:K36))</f>
        <v>0</v>
      </c>
      <c r="S36" s="535" t="str">
        <f>IF(AND(COUNTIF('Antal &amp; Längder (vikter)'!$B$10:$M$141,N36)+COUNTIF('Antal &amp; Längder (vikter)'!$P$11:$P$27,N36)&gt;0,SUM(Q36:R36)&gt;0),SUM(Q36:R36)+1000*IF(P36&lt;&gt;"",P36,0),"")</f>
        <v/>
      </c>
      <c r="T36" s="536" t="str">
        <f>IF(S36&lt;&gt;"",IF(AND(COUNTIF('Antal &amp; Längder (vikter)'!$B$10:$M$141,N36)+COUNTIF('Antal &amp; Längder (vikter)'!$P$11:$P$27,N36)&gt;0,COUNTIF(S$1:S35,S36)&gt;0),COUNTIF(S$1:S35,S36),0)+RANK(S36,S$2:S$60,0),"")</f>
        <v/>
      </c>
      <c r="U36" s="536" t="str">
        <f>IF(AND(COUNTIF('Antal &amp; Längder (vikter)'!$B$10:$M$141,N36)&gt;0,T36&lt;&gt;"",COUNTIF(T$2:T$60,T36)&gt;1),COUNTIF(T$1:T35,T36)+T36,IF(COUNTIF('Antal &amp; Längder (vikter)'!$B$10:$M$141,N36)+COUNTIF('Antal &amp; Längder (vikter)'!$P$11:$P$27,N36)&gt;0,T36,""))</f>
        <v/>
      </c>
      <c r="V36" s="1">
        <v>0.05</v>
      </c>
      <c r="W36" s="21">
        <v>0.5</v>
      </c>
      <c r="X36" s="119"/>
      <c r="Y36" s="401" t="s">
        <v>1555</v>
      </c>
      <c r="Z36" s="401" t="s">
        <v>1556</v>
      </c>
      <c r="AB36" s="434" t="str">
        <f>IF(COUNT(AB33:AB35)&gt;0,MAX(AB33:AB35)+1,"")</f>
        <v/>
      </c>
      <c r="AC36" s="433" t="str">
        <f>IF(AND(AH36&lt;&gt;"",AG36&lt;&gt;"",AI36&gt;0,AH36&gt;0),MAX(AC$2:AC35)+1,"XX")</f>
        <v>XX</v>
      </c>
      <c r="AD36" s="428" t="str">
        <f>IF('Antal &amp; Längder (vikter)'!$C$8&lt;&gt;"",'Antal &amp; Längder (vikter)'!$C$8,"XX")</f>
        <v>XX</v>
      </c>
      <c r="AE36" s="404" t="str">
        <f>IF(AND('Antal &amp; Längder (vikter)'!D$10&lt;&gt;"",ISNUMBER($AH36)),'Antal &amp; Längder (vikter)'!D$10,"")</f>
        <v/>
      </c>
      <c r="AF36" s="425" t="str">
        <f t="shared" si="1"/>
        <v/>
      </c>
      <c r="AG36" s="426" t="str">
        <f t="shared" si="2"/>
        <v/>
      </c>
      <c r="AH36" s="409" t="str">
        <f>IF('Antal &amp; Längder (vikter)'!E$11="Längd (mm)",IF('Antal &amp; Längder (vikter)'!E15&lt;&gt;"",'Antal &amp; Längder (vikter)'!E15,"XX"),"XX")</f>
        <v>XX</v>
      </c>
      <c r="AI36" s="7">
        <v>-9</v>
      </c>
    </row>
    <row r="37" spans="1:35" x14ac:dyDescent="0.25">
      <c r="A37" s="569" t="s">
        <v>2094</v>
      </c>
      <c r="B37" s="570">
        <v>0.34</v>
      </c>
      <c r="C37" s="570">
        <v>0.56999999999999995</v>
      </c>
      <c r="D37" s="570">
        <v>0.72</v>
      </c>
      <c r="E37" s="571"/>
      <c r="F37" s="559" t="s">
        <v>1987</v>
      </c>
      <c r="G37" s="468" t="s">
        <v>75</v>
      </c>
      <c r="H37" s="320"/>
      <c r="I37" s="649" t="s">
        <v>90</v>
      </c>
      <c r="K37" s="493" t="str">
        <f>$N37</f>
        <v>NISSÖGA</v>
      </c>
      <c r="L37" s="203" t="s">
        <v>582</v>
      </c>
      <c r="M37" s="486" t="str">
        <f>IF(AND(COUNTIF('Antal &amp; Längder (vikter)'!$B$10:$T$141,N37)&gt;0,U37&lt;&gt;""),RANK(U37,U$2:U$60,1),IF(AND(Prot.Datum&lt;&gt;"",ProtokollLkoordX&lt;&gt;"",ProtokollLkoordY&lt;&gt;"",AND($N37="INGEN FÅNGST",SUM('Antal &amp; Längder (vikter)'!$R$11:$T$27)=0),SUM($AH$3:$AH$1082)=0),1,""))</f>
        <v/>
      </c>
      <c r="N37" s="1" t="s">
        <v>629</v>
      </c>
      <c r="O37" s="21" t="s">
        <v>630</v>
      </c>
      <c r="P37" s="99"/>
      <c r="Q37" s="533">
        <f t="shared" si="3"/>
        <v>0</v>
      </c>
      <c r="R37" s="534">
        <f>IF(ROUND(ROW()/2,0)=INT(ROW()/2),DSUM('Antal &amp; Längder (vikter)'!$O$10:$T$27,'Antal &amp; Längder (vikter)'!$R$10,L36:L37)+DSUM('Antal &amp; Längder (vikter)'!$O$10:$T$27,'Antal &amp; Längder (vikter)'!$S$10,L36:L37)+DSUM('Antal &amp; Längder (vikter)'!$O$10:$T$27,'Antal &amp; Längder (vikter)'!$T$10,L36:L37),DSUM('Antal &amp; Längder (vikter)'!$O$10:$T$27,'Antal &amp; Längder (vikter)'!$R$10,K36:K37)+DSUM('Antal &amp; Längder (vikter)'!$O$10:$T$27,'Antal &amp; Längder (vikter)'!$S$10,K36:K37)+DSUM('Antal &amp; Längder (vikter)'!$O$10:$T$27,'Antal &amp; Längder (vikter)'!$T$10,K36:K37))</f>
        <v>0</v>
      </c>
      <c r="S37" s="535" t="str">
        <f>IF(AND(COUNTIF('Antal &amp; Längder (vikter)'!$B$10:$M$141,N37)+COUNTIF('Antal &amp; Längder (vikter)'!$P$11:$P$27,N37)&gt;0,SUM(Q37:R37)&gt;0),SUM(Q37:R37)+1000*IF(P37&lt;&gt;"",P37,0),"")</f>
        <v/>
      </c>
      <c r="T37" s="536" t="str">
        <f>IF(S37&lt;&gt;"",IF(AND(COUNTIF('Antal &amp; Längder (vikter)'!$B$10:$M$141,N37)+COUNTIF('Antal &amp; Längder (vikter)'!$P$11:$P$27,N37)&gt;0,COUNTIF(S$1:S36,S37)&gt;0),COUNTIF(S$1:S36,S37),0)+RANK(S37,S$2:S$60,0),"")</f>
        <v/>
      </c>
      <c r="U37" s="536" t="str">
        <f>IF(AND(COUNTIF('Antal &amp; Längder (vikter)'!$B$10:$M$141,N37)&gt;0,T37&lt;&gt;"",COUNTIF(T$2:T$60,T37)&gt;1),COUNTIF(T$1:T36,T37)+T37,IF(COUNTIF('Antal &amp; Längder (vikter)'!$B$10:$M$141,N37)+COUNTIF('Antal &amp; Längder (vikter)'!$P$11:$P$27,N37)&gt;0,T37,""))</f>
        <v/>
      </c>
      <c r="V37" s="1">
        <v>0.2</v>
      </c>
      <c r="W37" s="21">
        <v>1.2</v>
      </c>
      <c r="X37" s="119"/>
      <c r="Y37" s="401" t="s">
        <v>2523</v>
      </c>
      <c r="Z37" s="401" t="s">
        <v>2523</v>
      </c>
      <c r="AB37" s="475" t="str">
        <f>IF(COUNT(AB33:AB36)&gt;0,MAX(AB33:AB36)+1,"")</f>
        <v/>
      </c>
      <c r="AC37" s="433" t="str">
        <f>IF(AND(AH37&lt;&gt;"",AG37&lt;&gt;"",AI37&gt;0,AH37&gt;0),MAX(AC$2:AC36)+1,"XX")</f>
        <v>XX</v>
      </c>
      <c r="AD37" s="428" t="str">
        <f>IF('Antal &amp; Längder (vikter)'!$C$8&lt;&gt;"",'Antal &amp; Längder (vikter)'!$C$8,"XX")</f>
        <v>XX</v>
      </c>
      <c r="AE37" s="404" t="str">
        <f>IF(AND('Antal &amp; Längder (vikter)'!D$10&lt;&gt;"",ISNUMBER($AH37)),'Antal &amp; Längder (vikter)'!D$10,"")</f>
        <v/>
      </c>
      <c r="AF37" s="425" t="str">
        <f t="shared" si="1"/>
        <v/>
      </c>
      <c r="AG37" s="426" t="str">
        <f t="shared" si="2"/>
        <v/>
      </c>
      <c r="AH37" s="409" t="str">
        <f>IF('Antal &amp; Längder (vikter)'!E$11="Längd (mm)",IF('Antal &amp; Längder (vikter)'!E16&lt;&gt;"",'Antal &amp; Längder (vikter)'!E16,"XX"),"XX")</f>
        <v>XX</v>
      </c>
      <c r="AI37" s="7">
        <v>-9</v>
      </c>
    </row>
    <row r="38" spans="1:35" x14ac:dyDescent="0.25">
      <c r="A38" s="569" t="s">
        <v>2095</v>
      </c>
      <c r="B38" s="570">
        <v>0.3</v>
      </c>
      <c r="C38" s="570">
        <v>0.51</v>
      </c>
      <c r="D38" s="570">
        <v>0.66</v>
      </c>
      <c r="E38" s="571"/>
      <c r="F38" s="434" t="str">
        <f>IF(G38&lt;&gt;"",IF(COUNTIF(AG$3:AG$1082,G38)&gt;0,0,MAX(F$37:F37)+1),"")</f>
        <v/>
      </c>
      <c r="G38" s="469" t="str">
        <f>IF(COUNT('Antal &amp; Längder (vikter)'!$R$11:$R$27)&gt;0,IF(G37=$G$37,IF(COUNTIF($G$37:$H37,'Antal &amp; Längder (vikter)'!$O11)=0,'Antal &amp; Längder (vikter)'!$O11,""),$G$37),"")</f>
        <v/>
      </c>
      <c r="H38" s="135" t="str">
        <f>IF(COUNT('Antal &amp; Längder (vikter)'!$R$11:$R$27)&gt;0,IF(H37=$G$37,IF(COUNTIF($G$37:$H37,'Antal &amp; Längder (vikter)'!$O11)=0,'Antal &amp; Längder (vikter)'!$O11,""),$G$37),"")</f>
        <v/>
      </c>
      <c r="I38" s="650"/>
      <c r="K38" s="203" t="s">
        <v>582</v>
      </c>
      <c r="L38" s="493" t="str">
        <f>$N38</f>
        <v>NORS</v>
      </c>
      <c r="M38" s="486" t="str">
        <f>IF(AND(COUNTIF('Antal &amp; Längder (vikter)'!$B$10:$T$141,N38)&gt;0,U38&lt;&gt;""),RANK(U38,U$2:U$60,1),IF(AND(Prot.Datum&lt;&gt;"",ProtokollLkoordX&lt;&gt;"",ProtokollLkoordY&lt;&gt;"",AND($N38="INGEN FÅNGST",SUM('Antal &amp; Längder (vikter)'!$R$11:$T$27)=0),SUM($AH$3:$AH$1082)=0),1,""))</f>
        <v/>
      </c>
      <c r="N38" s="1" t="s">
        <v>584</v>
      </c>
      <c r="O38" s="21" t="s">
        <v>584</v>
      </c>
      <c r="P38" s="99"/>
      <c r="Q38" s="533">
        <f t="shared" si="3"/>
        <v>0</v>
      </c>
      <c r="R38" s="534">
        <f>IF(ROUND(ROW()/2,0)=INT(ROW()/2),DSUM('Antal &amp; Längder (vikter)'!$O$10:$T$27,'Antal &amp; Längder (vikter)'!$R$10,L37:L38)+DSUM('Antal &amp; Längder (vikter)'!$O$10:$T$27,'Antal &amp; Längder (vikter)'!$S$10,L37:L38)+DSUM('Antal &amp; Längder (vikter)'!$O$10:$T$27,'Antal &amp; Längder (vikter)'!$T$10,L37:L38),DSUM('Antal &amp; Längder (vikter)'!$O$10:$T$27,'Antal &amp; Längder (vikter)'!$R$10,K37:K38)+DSUM('Antal &amp; Längder (vikter)'!$O$10:$T$27,'Antal &amp; Längder (vikter)'!$S$10,K37:K38)+DSUM('Antal &amp; Längder (vikter)'!$O$10:$T$27,'Antal &amp; Längder (vikter)'!$T$10,K37:K38))</f>
        <v>0</v>
      </c>
      <c r="S38" s="535" t="str">
        <f>IF(AND(COUNTIF('Antal &amp; Längder (vikter)'!$B$10:$M$141,N38)+COUNTIF('Antal &amp; Längder (vikter)'!$P$11:$P$27,N38)&gt;0,SUM(Q38:R38)&gt;0),SUM(Q38:R38)+1000*IF(P38&lt;&gt;"",P38,0),"")</f>
        <v/>
      </c>
      <c r="T38" s="536" t="str">
        <f>IF(S38&lt;&gt;"",IF(AND(COUNTIF('Antal &amp; Längder (vikter)'!$B$10:$M$141,N38)+COUNTIF('Antal &amp; Längder (vikter)'!$P$11:$P$27,N38)&gt;0,COUNTIF(S$1:S37,S38)&gt;0),COUNTIF(S$1:S37,S38),0)+RANK(S38,S$2:S$60,0),"")</f>
        <v/>
      </c>
      <c r="U38" s="536" t="str">
        <f>IF(AND(COUNTIF('Antal &amp; Längder (vikter)'!$B$10:$M$141,N38)&gt;0,T38&lt;&gt;"",COUNTIF(T$2:T$60,T38)&gt;1),COUNTIF(T$1:T37,T38)+T38,IF(COUNTIF('Antal &amp; Längder (vikter)'!$B$10:$M$141,N38)+COUNTIF('Antal &amp; Längder (vikter)'!$P$11:$P$27,N38)&gt;0,T38,""))</f>
        <v/>
      </c>
      <c r="V38" s="1">
        <v>0.3</v>
      </c>
      <c r="W38" s="21">
        <v>1</v>
      </c>
      <c r="X38" s="119"/>
      <c r="Y38" s="401" t="s">
        <v>1557</v>
      </c>
      <c r="Z38" s="401" t="s">
        <v>1558</v>
      </c>
      <c r="AB38" s="471" t="str">
        <f>IF(COUNT(AB33:AB37)&gt;0,MAX(AB33:AB37)+1,"")</f>
        <v/>
      </c>
      <c r="AC38" s="433" t="str">
        <f>IF(AND(AH38&lt;&gt;"",AG38&lt;&gt;"",AI38&gt;0,AH38&gt;0),MAX(AC$2:AC37)+1,"XX")</f>
        <v>XX</v>
      </c>
      <c r="AD38" s="428" t="str">
        <f>IF('Antal &amp; Längder (vikter)'!$C$8&lt;&gt;"",'Antal &amp; Längder (vikter)'!$C$8,"XX")</f>
        <v>XX</v>
      </c>
      <c r="AE38" s="404" t="str">
        <f>IF(AND('Antal &amp; Längder (vikter)'!D$10&lt;&gt;"",ISNUMBER($AH38)),'Antal &amp; Längder (vikter)'!D$10,"")</f>
        <v/>
      </c>
      <c r="AF38" s="425" t="str">
        <f t="shared" si="1"/>
        <v/>
      </c>
      <c r="AG38" s="426" t="str">
        <f t="shared" si="2"/>
        <v/>
      </c>
      <c r="AH38" s="409" t="str">
        <f>IF('Antal &amp; Längder (vikter)'!E$11="Längd (mm)",IF('Antal &amp; Längder (vikter)'!E17&lt;&gt;"",'Antal &amp; Längder (vikter)'!E17,"XX"),"XX")</f>
        <v>XX</v>
      </c>
      <c r="AI38" s="7">
        <v>-9</v>
      </c>
    </row>
    <row r="39" spans="1:35" x14ac:dyDescent="0.25">
      <c r="A39" s="569" t="s">
        <v>2096</v>
      </c>
      <c r="B39" s="570">
        <v>0.36</v>
      </c>
      <c r="C39" s="570">
        <v>0.59</v>
      </c>
      <c r="D39" s="570">
        <v>0.74</v>
      </c>
      <c r="E39" s="571"/>
      <c r="F39" s="560" t="str">
        <f>IF(H39&lt;&gt;"",IF(COUNTIF(AG$3:AG$1082,H39)&gt;0,0,MAX(F$37:F38)+1),"")</f>
        <v/>
      </c>
      <c r="G39" s="469" t="str">
        <f>IF(COUNT('Antal &amp; Längder (vikter)'!$R$11:$R$27)&gt;0,IF(G38=$G$37,IF(COUNTIF($G$37:$H38,'Antal &amp; Längder (vikter)'!$O12)=0,'Antal &amp; Längder (vikter)'!$O12,""),$G$37),"")</f>
        <v/>
      </c>
      <c r="H39" s="135" t="str">
        <f>IF(COUNT('Antal &amp; Längder (vikter)'!$R$11:$R$27)&gt;0,IF(H38=$G$37,IF(COUNTIF($G$37:$H38,'Antal &amp; Längder (vikter)'!$O12)=0,'Antal &amp; Längder (vikter)'!$O12,""),$G$37),"")</f>
        <v/>
      </c>
      <c r="I39" s="650"/>
      <c r="J39" s="203" t="s">
        <v>643</v>
      </c>
      <c r="K39" s="493" t="str">
        <f>$N39</f>
        <v>REGNBÅGE</v>
      </c>
      <c r="L39" s="203" t="s">
        <v>582</v>
      </c>
      <c r="M39" s="486" t="str">
        <f>IF(AND(COUNTIF('Antal &amp; Längder (vikter)'!$B$10:$T$141,N39)&gt;0,U39&lt;&gt;""),RANK(U39,U$2:U$60,1),IF(AND(Prot.Datum&lt;&gt;"",ProtokollLkoordX&lt;&gt;"",ProtokollLkoordY&lt;&gt;"",AND($N39="INGEN FÅNGST",SUM('Antal &amp; Längder (vikter)'!$R$11:$T$27)=0),SUM($AH$3:$AH$1082)=0),1,""))</f>
        <v/>
      </c>
      <c r="N39" s="1" t="s">
        <v>631</v>
      </c>
      <c r="O39" s="21" t="s">
        <v>632</v>
      </c>
      <c r="P39" s="99">
        <v>6</v>
      </c>
      <c r="Q39" s="533">
        <f t="shared" si="3"/>
        <v>0</v>
      </c>
      <c r="R39" s="534">
        <f>IF(ROUND(ROW()/2,0)=INT(ROW()/2),DSUM('Antal &amp; Längder (vikter)'!$O$10:$T$27,'Antal &amp; Längder (vikter)'!$R$10,L38:L39)+DSUM('Antal &amp; Längder (vikter)'!$O$10:$T$27,'Antal &amp; Längder (vikter)'!$S$10,L38:L39)+DSUM('Antal &amp; Längder (vikter)'!$O$10:$T$27,'Antal &amp; Längder (vikter)'!$T$10,L38:L39),DSUM('Antal &amp; Längder (vikter)'!$O$10:$T$27,'Antal &amp; Längder (vikter)'!$R$10,K38:K39)+DSUM('Antal &amp; Längder (vikter)'!$O$10:$T$27,'Antal &amp; Längder (vikter)'!$S$10,K38:K39)+DSUM('Antal &amp; Längder (vikter)'!$O$10:$T$27,'Antal &amp; Längder (vikter)'!$T$10,K38:K39))</f>
        <v>0</v>
      </c>
      <c r="S39" s="535" t="str">
        <f>IF(AND(COUNTIF('Antal &amp; Längder (vikter)'!$B$10:$M$141,N39)+COUNTIF('Antal &amp; Längder (vikter)'!$P$11:$P$27,N39)&gt;0,SUM(Q39:R39)&gt;0),SUM(Q39:R39)+1000*IF(P39&lt;&gt;"",P39,0),"")</f>
        <v/>
      </c>
      <c r="T39" s="536" t="str">
        <f>IF(S39&lt;&gt;"",IF(AND(COUNTIF('Antal &amp; Längder (vikter)'!$B$10:$M$141,N39)+COUNTIF('Antal &amp; Längder (vikter)'!$P$11:$P$27,N39)&gt;0,COUNTIF(S$1:S38,S39)&gt;0),COUNTIF(S$1:S38,S39),0)+RANK(S39,S$2:S$60,0),"")</f>
        <v/>
      </c>
      <c r="U39" s="536" t="str">
        <f>IF(AND(COUNTIF('Antal &amp; Längder (vikter)'!$B$10:$M$141,N39)&gt;0,T39&lt;&gt;"",COUNTIF(T$2:T$60,T39)&gt;1),COUNTIF(T$1:T38,T39)+T39,IF(COUNTIF('Antal &amp; Längder (vikter)'!$B$10:$M$141,N39)+COUNTIF('Antal &amp; Längder (vikter)'!$P$11:$P$27,N39)&gt;0,T39,""))</f>
        <v/>
      </c>
      <c r="V39" s="1">
        <v>0.6</v>
      </c>
      <c r="W39" s="21">
        <v>1.6</v>
      </c>
      <c r="X39" s="119"/>
      <c r="Y39" s="401" t="s">
        <v>2368</v>
      </c>
      <c r="Z39" s="401" t="s">
        <v>2369</v>
      </c>
      <c r="AB39" s="474" t="str">
        <f>IF(COUNT(AB33:AB38)&gt;0,MAX(AB33:AB38)+1,"")</f>
        <v/>
      </c>
      <c r="AC39" s="433" t="str">
        <f>IF(AND(AH39&lt;&gt;"",AG39&lt;&gt;"",AI39&gt;0,AH39&gt;0),MAX(AC$2:AC38)+1,"XX")</f>
        <v>XX</v>
      </c>
      <c r="AD39" s="428" t="str">
        <f>IF('Antal &amp; Längder (vikter)'!$C$8&lt;&gt;"",'Antal &amp; Längder (vikter)'!$C$8,"XX")</f>
        <v>XX</v>
      </c>
      <c r="AE39" s="404" t="str">
        <f>IF(AND('Antal &amp; Längder (vikter)'!D$10&lt;&gt;"",ISNUMBER($AH39)),'Antal &amp; Längder (vikter)'!D$10,"")</f>
        <v/>
      </c>
      <c r="AF39" s="425" t="str">
        <f t="shared" si="1"/>
        <v/>
      </c>
      <c r="AG39" s="426" t="str">
        <f t="shared" si="2"/>
        <v/>
      </c>
      <c r="AH39" s="409" t="str">
        <f>IF('Antal &amp; Längder (vikter)'!E$11="Längd (mm)",IF('Antal &amp; Längder (vikter)'!E18&lt;&gt;"",'Antal &amp; Längder (vikter)'!E18,"XX"),"XX")</f>
        <v>XX</v>
      </c>
      <c r="AI39" s="7">
        <v>-9</v>
      </c>
    </row>
    <row r="40" spans="1:35" x14ac:dyDescent="0.25">
      <c r="A40" s="569" t="s">
        <v>2097</v>
      </c>
      <c r="B40" s="570">
        <v>0.52</v>
      </c>
      <c r="C40" s="570">
        <v>0.77</v>
      </c>
      <c r="D40" s="570">
        <v>0.89</v>
      </c>
      <c r="E40" s="571"/>
      <c r="F40" s="434" t="str">
        <f>IF(G40&lt;&gt;"",IF(COUNTIF(AG$3:AG$1082,G40)&gt;0,0,MAX(F$37:F39)+1),"")</f>
        <v/>
      </c>
      <c r="G40" s="469" t="str">
        <f>IF(COUNT('Antal &amp; Längder (vikter)'!$R$11:$R$27)&gt;0,IF(G39=$G$37,IF(COUNTIF($G$37:$H39,'Antal &amp; Längder (vikter)'!$O13)=0,'Antal &amp; Längder (vikter)'!$O13,""),$G$37),"")</f>
        <v/>
      </c>
      <c r="H40" s="135" t="str">
        <f>IF(COUNT('Antal &amp; Längder (vikter)'!$R$11:$R$27)&gt;0,IF(H39=$G$37,IF(COUNTIF($G$37:$H39,'Antal &amp; Längder (vikter)'!$O13)=0,'Antal &amp; Längder (vikter)'!$O13,""),$G$37),"")</f>
        <v/>
      </c>
      <c r="J40" s="503">
        <v>0.1</v>
      </c>
      <c r="K40" s="203" t="s">
        <v>582</v>
      </c>
      <c r="L40" s="493" t="str">
        <f>$N40</f>
        <v>RUDA</v>
      </c>
      <c r="M40" s="486" t="str">
        <f>IF(AND(COUNTIF('Antal &amp; Längder (vikter)'!$B$10:$T$141,N40)&gt;0,U40&lt;&gt;""),RANK(U40,U$2:U$60,1),IF(AND(Prot.Datum&lt;&gt;"",ProtokollLkoordX&lt;&gt;"",ProtokollLkoordY&lt;&gt;"",AND($N40="INGEN FÅNGST",SUM('Antal &amp; Längder (vikter)'!$R$11:$T$27)=0),SUM($AH$3:$AH$1082)=0),1,""))</f>
        <v/>
      </c>
      <c r="N40" s="1" t="s">
        <v>633</v>
      </c>
      <c r="O40" s="21" t="s">
        <v>633</v>
      </c>
      <c r="P40" s="99"/>
      <c r="Q40" s="533">
        <f t="shared" si="3"/>
        <v>0</v>
      </c>
      <c r="R40" s="534">
        <f>IF(ROUND(ROW()/2,0)=INT(ROW()/2),DSUM('Antal &amp; Längder (vikter)'!$O$10:$T$27,'Antal &amp; Längder (vikter)'!$R$10,L39:L40)+DSUM('Antal &amp; Längder (vikter)'!$O$10:$T$27,'Antal &amp; Längder (vikter)'!$S$10,L39:L40)+DSUM('Antal &amp; Längder (vikter)'!$O$10:$T$27,'Antal &amp; Längder (vikter)'!$T$10,L39:L40),DSUM('Antal &amp; Längder (vikter)'!$O$10:$T$27,'Antal &amp; Längder (vikter)'!$R$10,K39:K40)+DSUM('Antal &amp; Längder (vikter)'!$O$10:$T$27,'Antal &amp; Längder (vikter)'!$S$10,K39:K40)+DSUM('Antal &amp; Längder (vikter)'!$O$10:$T$27,'Antal &amp; Längder (vikter)'!$T$10,K39:K40))</f>
        <v>0</v>
      </c>
      <c r="S40" s="535" t="str">
        <f>IF(AND(COUNTIF('Antal &amp; Längder (vikter)'!$B$10:$M$141,N40)+COUNTIF('Antal &amp; Längder (vikter)'!$P$11:$P$27,N40)&gt;0,SUM(Q40:R40)&gt;0),SUM(Q40:R40)+1000*IF(P40&lt;&gt;"",P40,0),"")</f>
        <v/>
      </c>
      <c r="T40" s="536" t="str">
        <f>IF(S40&lt;&gt;"",IF(AND(COUNTIF('Antal &amp; Längder (vikter)'!$B$10:$M$141,N40)+COUNTIF('Antal &amp; Längder (vikter)'!$P$11:$P$27,N40)&gt;0,COUNTIF(S$1:S39,S40)&gt;0),COUNTIF(S$1:S39,S40),0)+RANK(S40,S$2:S$60,0),"")</f>
        <v/>
      </c>
      <c r="U40" s="536" t="str">
        <f>IF(AND(COUNTIF('Antal &amp; Längder (vikter)'!$B$10:$M$141,N40)&gt;0,T40&lt;&gt;"",COUNTIF(T$2:T$60,T40)&gt;1),COUNTIF(T$1:T39,T40)+T40,IF(COUNTIF('Antal &amp; Längder (vikter)'!$B$10:$M$141,N40)+COUNTIF('Antal &amp; Längder (vikter)'!$P$11:$P$27,N40)&gt;0,T40,""))</f>
        <v/>
      </c>
      <c r="V40" s="1">
        <v>0.6</v>
      </c>
      <c r="W40" s="21">
        <v>2.5</v>
      </c>
      <c r="X40" s="119"/>
      <c r="Y40" s="401" t="s">
        <v>2124</v>
      </c>
      <c r="Z40" s="401" t="s">
        <v>2125</v>
      </c>
      <c r="AB40" s="478" t="str">
        <f>IF(COUNT(AB33:AB39)&gt;0,MAX(AB33:AB39)+1,"")</f>
        <v/>
      </c>
      <c r="AC40" s="433" t="str">
        <f>IF(AND(AH40&lt;&gt;"",AG40&lt;&gt;"",AI40&gt;0,AH40&gt;0),MAX(AC$2:AC39)+1,"XX")</f>
        <v>XX</v>
      </c>
      <c r="AD40" s="428" t="str">
        <f>IF('Antal &amp; Längder (vikter)'!$C$8&lt;&gt;"",'Antal &amp; Längder (vikter)'!$C$8,"XX")</f>
        <v>XX</v>
      </c>
      <c r="AE40" s="404" t="str">
        <f>IF(AND('Antal &amp; Längder (vikter)'!D$10&lt;&gt;"",ISNUMBER($AH40)),'Antal &amp; Längder (vikter)'!D$10,"")</f>
        <v/>
      </c>
      <c r="AF40" s="425" t="str">
        <f t="shared" si="1"/>
        <v/>
      </c>
      <c r="AG40" s="426" t="str">
        <f t="shared" si="2"/>
        <v/>
      </c>
      <c r="AH40" s="409" t="str">
        <f>IF('Antal &amp; Längder (vikter)'!E$11="Längd (mm)",IF('Antal &amp; Längder (vikter)'!E19&lt;&gt;"",'Antal &amp; Längder (vikter)'!E19,"XX"),"XX")</f>
        <v>XX</v>
      </c>
      <c r="AI40" s="7">
        <v>-9</v>
      </c>
    </row>
    <row r="41" spans="1:35" x14ac:dyDescent="0.25">
      <c r="A41" s="569" t="s">
        <v>2098</v>
      </c>
      <c r="B41" s="570">
        <v>0.54</v>
      </c>
      <c r="C41" s="570">
        <v>0.79</v>
      </c>
      <c r="D41" s="570">
        <v>0.9</v>
      </c>
      <c r="E41" s="571"/>
      <c r="F41" s="560" t="str">
        <f>IF(H41&lt;&gt;"",IF(COUNTIF(AG$3:AG$1082,H41)&gt;0,0,MAX(F$37:F40)+1),"")</f>
        <v/>
      </c>
      <c r="G41" s="469" t="str">
        <f>IF(COUNT('Antal &amp; Längder (vikter)'!$R$11:$R$27)&gt;0,IF(G40=$G$37,IF(COUNTIF($G$37:$H40,'Antal &amp; Längder (vikter)'!$O14)=0,'Antal &amp; Längder (vikter)'!$O14,""),$G$37),"")</f>
        <v/>
      </c>
      <c r="H41" s="135" t="str">
        <f>IF(COUNT('Antal &amp; Längder (vikter)'!$R$11:$R$27)&gt;0,IF(H40=$G$37,IF(COUNTIF($G$37:$H40,'Antal &amp; Längder (vikter)'!$O14)=0,'Antal &amp; Längder (vikter)'!$O14,""),$G$37),"")</f>
        <v/>
      </c>
      <c r="J41" s="203" t="s">
        <v>642</v>
      </c>
      <c r="K41" s="493" t="str">
        <f>$N41</f>
        <v>RÖDING</v>
      </c>
      <c r="L41" s="203" t="s">
        <v>582</v>
      </c>
      <c r="M41" s="486" t="str">
        <f>IF(AND(COUNTIF('Antal &amp; Längder (vikter)'!$B$10:$T$141,N41)&gt;0,U41&lt;&gt;""),RANK(U41,U$2:U$60,1),IF(AND(Prot.Datum&lt;&gt;"",ProtokollLkoordX&lt;&gt;"",ProtokollLkoordY&lt;&gt;"",AND($N41="INGEN FÅNGST",SUM('Antal &amp; Längder (vikter)'!$R$11:$T$27)=0),SUM($AH$3:$AH$1082)=0),1,""))</f>
        <v/>
      </c>
      <c r="N41" s="1" t="s">
        <v>590</v>
      </c>
      <c r="O41" s="21" t="s">
        <v>600</v>
      </c>
      <c r="P41" s="537">
        <v>8</v>
      </c>
      <c r="Q41" s="533">
        <f t="shared" si="3"/>
        <v>0</v>
      </c>
      <c r="R41" s="534">
        <f>IF(ROUND(ROW()/2,0)=INT(ROW()/2),DSUM('Antal &amp; Längder (vikter)'!$O$10:$T$27,'Antal &amp; Längder (vikter)'!$R$10,L40:L41)+DSUM('Antal &amp; Längder (vikter)'!$O$10:$T$27,'Antal &amp; Längder (vikter)'!$S$10,L40:L41)+DSUM('Antal &amp; Längder (vikter)'!$O$10:$T$27,'Antal &amp; Längder (vikter)'!$T$10,L40:L41),DSUM('Antal &amp; Längder (vikter)'!$O$10:$T$27,'Antal &amp; Längder (vikter)'!$R$10,K40:K41)+DSUM('Antal &amp; Längder (vikter)'!$O$10:$T$27,'Antal &amp; Längder (vikter)'!$S$10,K40:K41)+DSUM('Antal &amp; Längder (vikter)'!$O$10:$T$27,'Antal &amp; Längder (vikter)'!$T$10,K40:K41))</f>
        <v>0</v>
      </c>
      <c r="S41" s="535" t="str">
        <f>IF(AND(COUNTIF('Antal &amp; Längder (vikter)'!$B$10:$M$141,N41)+COUNTIF('Antal &amp; Längder (vikter)'!$P$11:$P$27,N41)&gt;0,SUM(Q41:R41)&gt;0),SUM(Q41:R41)+1000*IF(P41&lt;&gt;"",P41,0),"")</f>
        <v/>
      </c>
      <c r="T41" s="536" t="str">
        <f>IF(S41&lt;&gt;"",IF(AND(COUNTIF('Antal &amp; Längder (vikter)'!$B$10:$M$141,N41)+COUNTIF('Antal &amp; Längder (vikter)'!$P$11:$P$27,N41)&gt;0,COUNTIF(S$1:S40,S41)&gt;0),COUNTIF(S$1:S40,S41),0)+RANK(S41,S$2:S$60,0),"")</f>
        <v/>
      </c>
      <c r="U41" s="536" t="str">
        <f>IF(AND(COUNTIF('Antal &amp; Längder (vikter)'!$B$10:$M$141,N41)&gt;0,T41&lt;&gt;"",COUNTIF(T$2:T$60,T41)&gt;1),COUNTIF(T$1:T40,T41)+T41,IF(COUNTIF('Antal &amp; Längder (vikter)'!$B$10:$M$141,N41)+COUNTIF('Antal &amp; Längder (vikter)'!$P$11:$P$27,N41)&gt;0,T41,""))</f>
        <v/>
      </c>
      <c r="V41" s="1">
        <v>0.5</v>
      </c>
      <c r="W41" s="21">
        <v>1.5</v>
      </c>
      <c r="X41" s="119"/>
      <c r="Y41" s="401" t="s">
        <v>1567</v>
      </c>
      <c r="Z41" s="401" t="s">
        <v>1568</v>
      </c>
      <c r="AB41" s="472" t="str">
        <f>IF(COUNT(AB33:AB40)&gt;0,MAX(AB33:AB40)+1,"")</f>
        <v/>
      </c>
      <c r="AC41" s="433" t="str">
        <f>IF(AND(AH41&lt;&gt;"",AG41&lt;&gt;"",AI41&gt;0,AH41&gt;0),MAX(AC$2:AC40)+1,"XX")</f>
        <v>XX</v>
      </c>
      <c r="AD41" s="428" t="str">
        <f>IF('Antal &amp; Längder (vikter)'!$C$8&lt;&gt;"",'Antal &amp; Längder (vikter)'!$C$8,"XX")</f>
        <v>XX</v>
      </c>
      <c r="AE41" s="404" t="str">
        <f>IF(AND('Antal &amp; Längder (vikter)'!D$10&lt;&gt;"",ISNUMBER($AH41)),'Antal &amp; Längder (vikter)'!D$10,"")</f>
        <v/>
      </c>
      <c r="AF41" s="425" t="str">
        <f t="shared" si="1"/>
        <v/>
      </c>
      <c r="AG41" s="426" t="str">
        <f t="shared" si="2"/>
        <v/>
      </c>
      <c r="AH41" s="409" t="str">
        <f>IF('Antal &amp; Längder (vikter)'!E$11="Längd (mm)",IF('Antal &amp; Längder (vikter)'!E20&lt;&gt;"",'Antal &amp; Längder (vikter)'!E20,"XX"),"XX")</f>
        <v>XX</v>
      </c>
      <c r="AI41" s="7">
        <v>-9</v>
      </c>
    </row>
    <row r="42" spans="1:35" x14ac:dyDescent="0.25">
      <c r="A42" s="569" t="s">
        <v>2099</v>
      </c>
      <c r="B42" s="570">
        <v>0.4</v>
      </c>
      <c r="C42" s="570">
        <v>0.64</v>
      </c>
      <c r="D42" s="570">
        <v>0.78</v>
      </c>
      <c r="E42" s="571"/>
      <c r="F42" s="434" t="str">
        <f>IF(G42&lt;&gt;"",IF(COUNTIF(AG$3:AG$1082,G42)&gt;0,0,MAX(F$37:F41)+1),"")</f>
        <v/>
      </c>
      <c r="G42" s="469" t="str">
        <f>IF(COUNT('Antal &amp; Längder (vikter)'!$R$11:$R$27)&gt;0,IF(G41=$G$37,IF(COUNTIF($G$37:$H41,'Antal &amp; Längder (vikter)'!$O15)=0,'Antal &amp; Längder (vikter)'!$O15,""),$G$37),"")</f>
        <v/>
      </c>
      <c r="H42" s="135" t="str">
        <f>IF(COUNT('Antal &amp; Längder (vikter)'!$R$11:$R$27)&gt;0,IF(H41=$G$37,IF(COUNTIF($G$37:$H41,'Antal &amp; Längder (vikter)'!$O15)=0,'Antal &amp; Längder (vikter)'!$O15,""),$G$37),"")</f>
        <v/>
      </c>
      <c r="J42" s="503">
        <v>0.78</v>
      </c>
      <c r="K42" s="203" t="s">
        <v>582</v>
      </c>
      <c r="L42" s="493" t="str">
        <f>$N42</f>
        <v>SANDKRYPARE</v>
      </c>
      <c r="M42" s="486" t="str">
        <f>IF(AND(COUNTIF('Antal &amp; Längder (vikter)'!$B$10:$T$141,N42)&gt;0,U42&lt;&gt;""),RANK(U42,U$2:U$60,1),IF(AND(Prot.Datum&lt;&gt;"",ProtokollLkoordX&lt;&gt;"",ProtokollLkoordY&lt;&gt;"",AND($N42="INGEN FÅNGST",SUM('Antal &amp; Längder (vikter)'!$R$11:$T$27)=0),SUM($AH$3:$AH$1082)=0),1,""))</f>
        <v/>
      </c>
      <c r="N42" s="1" t="s">
        <v>576</v>
      </c>
      <c r="O42" s="21" t="s">
        <v>601</v>
      </c>
      <c r="P42" s="99"/>
      <c r="Q42" s="533">
        <f t="shared" si="3"/>
        <v>0</v>
      </c>
      <c r="R42" s="534">
        <f>IF(ROUND(ROW()/2,0)=INT(ROW()/2),DSUM('Antal &amp; Längder (vikter)'!$O$10:$T$27,'Antal &amp; Längder (vikter)'!$R$10,L41:L42)+DSUM('Antal &amp; Längder (vikter)'!$O$10:$T$27,'Antal &amp; Längder (vikter)'!$S$10,L41:L42)+DSUM('Antal &amp; Längder (vikter)'!$O$10:$T$27,'Antal &amp; Längder (vikter)'!$T$10,L41:L42),DSUM('Antal &amp; Längder (vikter)'!$O$10:$T$27,'Antal &amp; Längder (vikter)'!$R$10,K41:K42)+DSUM('Antal &amp; Längder (vikter)'!$O$10:$T$27,'Antal &amp; Längder (vikter)'!$S$10,K41:K42)+DSUM('Antal &amp; Längder (vikter)'!$O$10:$T$27,'Antal &amp; Längder (vikter)'!$T$10,K41:K42))</f>
        <v>0</v>
      </c>
      <c r="S42" s="535" t="str">
        <f>IF(AND(COUNTIF('Antal &amp; Längder (vikter)'!$B$10:$M$141,N42)+COUNTIF('Antal &amp; Längder (vikter)'!$P$11:$P$27,N42)&gt;0,SUM(Q42:R42)&gt;0),SUM(Q42:R42)+1000*IF(P42&lt;&gt;"",P42,0),"")</f>
        <v/>
      </c>
      <c r="T42" s="536" t="str">
        <f>IF(S42&lt;&gt;"",IF(AND(COUNTIF('Antal &amp; Längder (vikter)'!$B$10:$M$141,N42)+COUNTIF('Antal &amp; Längder (vikter)'!$P$11:$P$27,N42)&gt;0,COUNTIF(S$1:S41,S42)&gt;0),COUNTIF(S$1:S41,S42),0)+RANK(S42,S$2:S$60,0),"")</f>
        <v/>
      </c>
      <c r="U42" s="536" t="str">
        <f>IF(AND(COUNTIF('Antal &amp; Längder (vikter)'!$B$10:$M$141,N42)&gt;0,T42&lt;&gt;"",COUNTIF(T$2:T$60,T42)&gt;1),COUNTIF(T$1:T41,T42)+T42,IF(COUNTIF('Antal &amp; Längder (vikter)'!$B$10:$M$141,N42)+COUNTIF('Antal &amp; Längder (vikter)'!$P$11:$P$27,N42)&gt;0,T42,""))</f>
        <v/>
      </c>
      <c r="V42" s="1">
        <v>0.4</v>
      </c>
      <c r="W42" s="21">
        <v>1.2</v>
      </c>
      <c r="X42" s="119"/>
      <c r="Y42" s="401" t="s">
        <v>1729</v>
      </c>
      <c r="Z42" s="401" t="s">
        <v>1730</v>
      </c>
      <c r="AB42" s="479" t="str">
        <f>IF(COUNT(AB33:AB41)&gt;0,MAX(AB33:AB41)+1,"")</f>
        <v/>
      </c>
      <c r="AC42" s="433" t="str">
        <f>IF(AND(AH42&lt;&gt;"",AG42&lt;&gt;"",AI42&gt;0,AH42&gt;0),MAX(AC$2:AC41)+1,"XX")</f>
        <v>XX</v>
      </c>
      <c r="AD42" s="428" t="str">
        <f>IF('Antal &amp; Längder (vikter)'!$C$8&lt;&gt;"",'Antal &amp; Längder (vikter)'!$C$8,"XX")</f>
        <v>XX</v>
      </c>
      <c r="AE42" s="404" t="str">
        <f>IF(AND('Antal &amp; Längder (vikter)'!D$10&lt;&gt;"",ISNUMBER($AH42)),'Antal &amp; Längder (vikter)'!D$10,"")</f>
        <v/>
      </c>
      <c r="AF42" s="425" t="str">
        <f t="shared" si="1"/>
        <v/>
      </c>
      <c r="AG42" s="426" t="str">
        <f t="shared" si="2"/>
        <v/>
      </c>
      <c r="AH42" s="409" t="str">
        <f>IF('Antal &amp; Längder (vikter)'!E$11="Längd (mm)",IF('Antal &amp; Längder (vikter)'!E21&lt;&gt;"",'Antal &amp; Längder (vikter)'!E21,"XX"),"XX")</f>
        <v>XX</v>
      </c>
      <c r="AI42" s="7">
        <v>-9</v>
      </c>
    </row>
    <row r="43" spans="1:35" x14ac:dyDescent="0.25">
      <c r="A43" s="561"/>
      <c r="B43" s="562"/>
      <c r="C43" s="562"/>
      <c r="D43" s="562"/>
      <c r="F43" s="482" t="str">
        <f>IF(H43&lt;&gt;"",IF(COUNTIF(AG$3:AG$1082,H43)&gt;0,0,MAX(F$37:F42)+1),"")</f>
        <v/>
      </c>
      <c r="G43" s="469" t="str">
        <f>IF(COUNT('Antal &amp; Längder (vikter)'!$R$11:$R$27)&gt;0,IF(G42=$G$37,IF(COUNTIF($G$37:$H42,'Antal &amp; Längder (vikter)'!$O16)=0,'Antal &amp; Längder (vikter)'!$O16,""),$G$37),"")</f>
        <v/>
      </c>
      <c r="H43" s="135" t="str">
        <f>IF(COUNT('Antal &amp; Längder (vikter)'!$R$11:$R$27)&gt;0,IF(H42=$G$37,IF(COUNTIF($G$37:$H42,'Antal &amp; Längder (vikter)'!$O16)=0,'Antal &amp; Längder (vikter)'!$O16,""),$G$37),"")</f>
        <v/>
      </c>
      <c r="J43" s="203" t="s">
        <v>591</v>
      </c>
      <c r="K43" s="493" t="str">
        <f>$N43</f>
        <v>SANDSTUBB</v>
      </c>
      <c r="L43" s="203" t="s">
        <v>582</v>
      </c>
      <c r="M43" s="486" t="str">
        <f>IF(AND(COUNTIF('Antal &amp; Längder (vikter)'!$B$10:$T$141,N43)&gt;0,U43&lt;&gt;""),RANK(U43,U$2:U$60,1),IF(AND(Prot.Datum&lt;&gt;"",ProtokollLkoordX&lt;&gt;"",ProtokollLkoordY&lt;&gt;"",AND($N43="INGEN FÅNGST",SUM('Antal &amp; Längder (vikter)'!$R$11:$T$27)=0),SUM($AH$3:$AH$1082)=0),1,""))</f>
        <v/>
      </c>
      <c r="N43" s="201" t="s">
        <v>1501</v>
      </c>
      <c r="O43" s="21" t="s">
        <v>1502</v>
      </c>
      <c r="P43" s="99"/>
      <c r="Q43" s="533">
        <f t="shared" si="3"/>
        <v>0</v>
      </c>
      <c r="R43" s="534">
        <f>IF(ROUND(ROW()/2,0)=INT(ROW()/2),DSUM('Antal &amp; Längder (vikter)'!$O$10:$T$27,'Antal &amp; Längder (vikter)'!$R$10,L42:L43)+DSUM('Antal &amp; Längder (vikter)'!$O$10:$T$27,'Antal &amp; Längder (vikter)'!$S$10,L42:L43)+DSUM('Antal &amp; Längder (vikter)'!$O$10:$T$27,'Antal &amp; Längder (vikter)'!$T$10,L42:L43),DSUM('Antal &amp; Längder (vikter)'!$O$10:$T$27,'Antal &amp; Längder (vikter)'!$R$10,K42:K43)+DSUM('Antal &amp; Längder (vikter)'!$O$10:$T$27,'Antal &amp; Längder (vikter)'!$S$10,K42:K43)+DSUM('Antal &amp; Längder (vikter)'!$O$10:$T$27,'Antal &amp; Längder (vikter)'!$T$10,K42:K43))</f>
        <v>0</v>
      </c>
      <c r="S43" s="535" t="str">
        <f>IF(AND(COUNTIF('Antal &amp; Längder (vikter)'!$B$10:$M$141,N43)+COUNTIF('Antal &amp; Längder (vikter)'!$P$11:$P$27,N43)&gt;0,SUM(Q43:R43)&gt;0),SUM(Q43:R43)+1000*IF(P43&lt;&gt;"",P43,0),"")</f>
        <v/>
      </c>
      <c r="T43" s="536" t="str">
        <f>IF(S43&lt;&gt;"",IF(AND(COUNTIF('Antal &amp; Längder (vikter)'!$B$10:$M$141,N43)+COUNTIF('Antal &amp; Längder (vikter)'!$P$11:$P$27,N43)&gt;0,COUNTIF(S$1:S42,S43)&gt;0),COUNTIF(S$1:S42,S43),0)+RANK(S43,S$2:S$60,0),"")</f>
        <v/>
      </c>
      <c r="U43" s="536" t="str">
        <f>IF(AND(COUNTIF('Antal &amp; Längder (vikter)'!$B$10:$M$141,N43)&gt;0,T43&lt;&gt;"",COUNTIF(T$2:T$60,T43)&gt;1),COUNTIF(T$1:T42,T43)+T43,IF(COUNTIF('Antal &amp; Längder (vikter)'!$B$10:$M$141,N43)+COUNTIF('Antal &amp; Längder (vikter)'!$P$11:$P$27,N43)&gt;0,T43,""))</f>
        <v/>
      </c>
      <c r="V43" s="1">
        <v>0.4</v>
      </c>
      <c r="W43" s="21">
        <v>1.4</v>
      </c>
      <c r="X43" s="119"/>
      <c r="Y43" s="401" t="s">
        <v>2370</v>
      </c>
      <c r="Z43" s="401" t="s">
        <v>2371</v>
      </c>
      <c r="AB43" s="480" t="str">
        <f>IF(AND(ISNUMBER(AH43),AH43&gt;0),IF(MAX(AB$3:AB42)&gt;0,MAX(AB$3:AB42)+1,10+COUNTIF(F$38:F$49,"&gt;0")*10+1),"")</f>
        <v/>
      </c>
      <c r="AC43" s="433" t="str">
        <f>IF(AND(AH43&lt;&gt;"",AG43&lt;&gt;"",AI43&gt;0,AH43&gt;0),MAX(AC$2:AC42)+1,"XX")</f>
        <v>XX</v>
      </c>
      <c r="AD43" s="428" t="str">
        <f>IF('Antal &amp; Längder (vikter)'!$C$8&lt;&gt;"",'Antal &amp; Längder (vikter)'!$C$8,"XX")</f>
        <v>XX</v>
      </c>
      <c r="AE43" s="405" t="str">
        <f>IF(AND('Antal &amp; Längder (vikter)'!F$10&lt;&gt;"",ISNUMBER($AH43)),'Antal &amp; Längder (vikter)'!F$10,"")</f>
        <v/>
      </c>
      <c r="AF43" s="425" t="str">
        <f t="shared" si="1"/>
        <v/>
      </c>
      <c r="AG43" s="426" t="str">
        <f t="shared" si="2"/>
        <v/>
      </c>
      <c r="AH43" s="407" t="str">
        <f>IF('Antal &amp; Längder (vikter)'!F12&lt;&gt;"",'Antal &amp; Längder (vikter)'!F12,"XX")</f>
        <v>XX</v>
      </c>
      <c r="AI43" s="436">
        <f>IF('Antal &amp; Längder (vikter)'!G$11="Vikt (g)",'Antal &amp; Längder (vikter)'!G12,-9)</f>
        <v>-9</v>
      </c>
    </row>
    <row r="44" spans="1:35" hidden="1" x14ac:dyDescent="0.25">
      <c r="F44" s="481" t="str">
        <f>IF(G44&lt;&gt;"",IF(COUNTIF(AG$3:AG$1082,G44)&gt;0,0,MAX(F$37:F43)+1),"")</f>
        <v/>
      </c>
      <c r="G44" s="469" t="str">
        <f>IF(COUNT('Antal &amp; Längder (vikter)'!$R$11:$R$27)&gt;0,IF(G43=$G$37,IF(COUNTIF($G$37:$H43,'Antal &amp; Längder (vikter)'!$O17)=0,'Antal &amp; Längder (vikter)'!$O17,""),$G$37),"")</f>
        <v/>
      </c>
      <c r="H44" s="135" t="str">
        <f>IF(COUNT('Antal &amp; Längder (vikter)'!$R$11:$R$27)&gt;0,IF(H43=$G$37,IF(COUNTIF($G$37:$H43,'Antal &amp; Längder (vikter)'!$O17)=0,'Antal &amp; Längder (vikter)'!$O17,""),$G$37),"")</f>
        <v/>
      </c>
      <c r="J44" s="503">
        <v>0.55000000000000004</v>
      </c>
      <c r="K44" s="203" t="s">
        <v>582</v>
      </c>
      <c r="L44" s="493" t="str">
        <f>$N44</f>
        <v>SARV</v>
      </c>
      <c r="M44" s="486" t="str">
        <f>IF(AND(COUNTIF('Antal &amp; Längder (vikter)'!$B$10:$T$141,N44)&gt;0,U44&lt;&gt;""),RANK(U44,U$2:U$60,1),IF(AND(Prot.Datum&lt;&gt;"",ProtokollLkoordX&lt;&gt;"",ProtokollLkoordY&lt;&gt;"",AND($N44="INGEN FÅNGST",SUM('Antal &amp; Längder (vikter)'!$R$11:$T$27)=0),SUM($AH$3:$AH$1082)=0),1,""))</f>
        <v/>
      </c>
      <c r="N44" s="1" t="s">
        <v>585</v>
      </c>
      <c r="O44" s="21" t="s">
        <v>585</v>
      </c>
      <c r="P44" s="99"/>
      <c r="Q44" s="533">
        <f t="shared" si="3"/>
        <v>0</v>
      </c>
      <c r="R44" s="534">
        <f>IF(ROUND(ROW()/2,0)=INT(ROW()/2),DSUM('Antal &amp; Längder (vikter)'!$O$10:$T$27,'Antal &amp; Längder (vikter)'!$R$10,L43:L44)+DSUM('Antal &amp; Längder (vikter)'!$O$10:$T$27,'Antal &amp; Längder (vikter)'!$S$10,L43:L44)+DSUM('Antal &amp; Längder (vikter)'!$O$10:$T$27,'Antal &amp; Längder (vikter)'!$T$10,L43:L44),DSUM('Antal &amp; Längder (vikter)'!$O$10:$T$27,'Antal &amp; Längder (vikter)'!$R$10,K43:K44)+DSUM('Antal &amp; Längder (vikter)'!$O$10:$T$27,'Antal &amp; Längder (vikter)'!$S$10,K43:K44)+DSUM('Antal &amp; Längder (vikter)'!$O$10:$T$27,'Antal &amp; Längder (vikter)'!$T$10,K43:K44))</f>
        <v>0</v>
      </c>
      <c r="S44" s="535" t="str">
        <f>IF(AND(COUNTIF('Antal &amp; Längder (vikter)'!$B$10:$M$141,N44)+COUNTIF('Antal &amp; Längder (vikter)'!$P$11:$P$27,N44)&gt;0,SUM(Q44:R44)&gt;0),SUM(Q44:R44)+1000*IF(P44&lt;&gt;"",P44,0),"")</f>
        <v/>
      </c>
      <c r="T44" s="536" t="str">
        <f>IF(S44&lt;&gt;"",IF(AND(COUNTIF('Antal &amp; Längder (vikter)'!$B$10:$M$141,N44)+COUNTIF('Antal &amp; Längder (vikter)'!$P$11:$P$27,N44)&gt;0,COUNTIF(S$1:S43,S44)&gt;0),COUNTIF(S$1:S43,S44),0)+RANK(S44,S$2:S$60,0),"")</f>
        <v/>
      </c>
      <c r="U44" s="536" t="str">
        <f>IF(AND(COUNTIF('Antal &amp; Längder (vikter)'!$B$10:$M$141,N44)&gt;0,T44&lt;&gt;"",COUNTIF(T$2:T$60,T44)&gt;1),COUNTIF(T$1:T43,T44)+T44,IF(COUNTIF('Antal &amp; Längder (vikter)'!$B$10:$M$141,N44)+COUNTIF('Antal &amp; Längder (vikter)'!$P$11:$P$27,N44)&gt;0,T44,""))</f>
        <v/>
      </c>
      <c r="V44" s="1">
        <v>0.6</v>
      </c>
      <c r="W44" s="21">
        <v>1.8</v>
      </c>
      <c r="X44" s="119"/>
      <c r="Y44" s="401" t="s">
        <v>2372</v>
      </c>
      <c r="Z44" s="401" t="s">
        <v>2373</v>
      </c>
      <c r="AB44" s="476" t="str">
        <f>IF(COUNT(AB43:AB43)&gt;0,MAX(AB43:AB43)+1,"")</f>
        <v/>
      </c>
      <c r="AC44" s="433" t="str">
        <f>IF(AND(AH44&lt;&gt;"",AG44&lt;&gt;"",AI44&gt;0,AH44&gt;0),MAX(AC$2:AC43)+1,"XX")</f>
        <v>XX</v>
      </c>
      <c r="AD44" s="428" t="str">
        <f>IF('Antal &amp; Längder (vikter)'!$C$8&lt;&gt;"",'Antal &amp; Längder (vikter)'!$C$8,"XX")</f>
        <v>XX</v>
      </c>
      <c r="AE44" s="405" t="str">
        <f>IF(AND('Antal &amp; Längder (vikter)'!F$10&lt;&gt;"",ISNUMBER($AH44)),'Antal &amp; Längder (vikter)'!F$10,"")</f>
        <v/>
      </c>
      <c r="AF44" s="425" t="str">
        <f t="shared" si="1"/>
        <v/>
      </c>
      <c r="AG44" s="426" t="str">
        <f t="shared" si="2"/>
        <v/>
      </c>
      <c r="AH44" s="407" t="str">
        <f>IF('Antal &amp; Längder (vikter)'!F13&lt;&gt;"",'Antal &amp; Längder (vikter)'!F13,"XX")</f>
        <v>XX</v>
      </c>
      <c r="AI44" s="436">
        <f>IF('Antal &amp; Längder (vikter)'!G$11="Vikt (g)",'Antal &amp; Längder (vikter)'!G13,-9)</f>
        <v>-9</v>
      </c>
    </row>
    <row r="45" spans="1:35" hidden="1" x14ac:dyDescent="0.25">
      <c r="A45" s="134" t="s">
        <v>897</v>
      </c>
      <c r="B45" s="101"/>
      <c r="C45" s="101"/>
      <c r="D45" s="106"/>
      <c r="F45" s="482" t="str">
        <f>IF(H45&lt;&gt;"",IF(COUNTIF(AG$3:AG$1082,H45)&gt;0,0,MAX(F$37:F44)+1),"")</f>
        <v/>
      </c>
      <c r="G45" s="469" t="str">
        <f>IF(COUNT('Antal &amp; Längder (vikter)'!$R$11:$R$27)&gt;0,IF(G44=$G$37,IF(COUNTIF($G$37:$H44,'Antal &amp; Längder (vikter)'!$O18)=0,'Antal &amp; Längder (vikter)'!$O18,""),$G$37),"")</f>
        <v/>
      </c>
      <c r="H45" s="135" t="str">
        <f>IF(COUNT('Antal &amp; Längder (vikter)'!$R$11:$R$27)&gt;0,IF(H44=$G$37,IF(COUNTIF($G$37:$H44,'Antal &amp; Längder (vikter)'!$O18)=0,'Antal &amp; Längder (vikter)'!$O18,""),$G$37),"")</f>
        <v/>
      </c>
      <c r="J45" s="353" t="s">
        <v>2013</v>
      </c>
      <c r="K45" s="493" t="str">
        <f>$N45</f>
        <v>SIGNALKRÄFTA</v>
      </c>
      <c r="L45" s="203" t="s">
        <v>582</v>
      </c>
      <c r="M45" s="486" t="str">
        <f>IF(AND(COUNTIF('Antal &amp; Längder (vikter)'!$B$10:$T$141,N45)&gt;0,U45&lt;&gt;""),RANK(U45,U$2:U$60,1),IF(AND(Prot.Datum&lt;&gt;"",ProtokollLkoordX&lt;&gt;"",ProtokollLkoordY&lt;&gt;"",AND($N45="INGEN FÅNGST",SUM('Antal &amp; Längder (vikter)'!$R$11:$T$27)=0),SUM($AH$3:$AH$1082)=0),1,""))</f>
        <v/>
      </c>
      <c r="N45" s="1" t="s">
        <v>577</v>
      </c>
      <c r="O45" s="21" t="s">
        <v>602</v>
      </c>
      <c r="P45" s="99"/>
      <c r="Q45" s="533">
        <f t="shared" si="3"/>
        <v>0</v>
      </c>
      <c r="R45" s="534">
        <f>IF(ROUND(ROW()/2,0)=INT(ROW()/2),DSUM('Antal &amp; Längder (vikter)'!$O$10:$T$27,'Antal &amp; Längder (vikter)'!$R$10,L44:L45)+DSUM('Antal &amp; Längder (vikter)'!$O$10:$T$27,'Antal &amp; Längder (vikter)'!$S$10,L44:L45)+DSUM('Antal &amp; Längder (vikter)'!$O$10:$T$27,'Antal &amp; Längder (vikter)'!$T$10,L44:L45),DSUM('Antal &amp; Längder (vikter)'!$O$10:$T$27,'Antal &amp; Längder (vikter)'!$R$10,K44:K45)+DSUM('Antal &amp; Längder (vikter)'!$O$10:$T$27,'Antal &amp; Längder (vikter)'!$S$10,K44:K45)+DSUM('Antal &amp; Längder (vikter)'!$O$10:$T$27,'Antal &amp; Längder (vikter)'!$T$10,K44:K45))</f>
        <v>0</v>
      </c>
      <c r="S45" s="535" t="str">
        <f>IF(AND(COUNTIF('Antal &amp; Längder (vikter)'!$B$10:$M$141,N45)+COUNTIF('Antal &amp; Längder (vikter)'!$P$11:$P$27,N45)&gt;0,SUM(Q45:R45)&gt;0),SUM(Q45:R45)+1000*IF(P45&lt;&gt;"",P45,0),"")</f>
        <v/>
      </c>
      <c r="T45" s="536" t="str">
        <f>IF(S45&lt;&gt;"",IF(AND(COUNTIF('Antal &amp; Längder (vikter)'!$B$10:$M$141,N45)+COUNTIF('Antal &amp; Längder (vikter)'!$P$11:$P$27,N45)&gt;0,COUNTIF(S$1:S44,S45)&gt;0),COUNTIF(S$1:S44,S45),0)+RANK(S45,S$2:S$60,0),"")</f>
        <v/>
      </c>
      <c r="U45" s="536" t="str">
        <f>IF(AND(COUNTIF('Antal &amp; Längder (vikter)'!$B$10:$M$141,N45)&gt;0,T45&lt;&gt;"",COUNTIF(T$2:T$60,T45)&gt;1),COUNTIF(T$1:T44,T45)+T45,IF(COUNTIF('Antal &amp; Längder (vikter)'!$B$10:$M$141,N45)+COUNTIF('Antal &amp; Längder (vikter)'!$P$11:$P$27,N45)&gt;0,T45,""))</f>
        <v/>
      </c>
      <c r="V45" s="1">
        <v>0.05</v>
      </c>
      <c r="W45" s="21">
        <v>7</v>
      </c>
      <c r="X45" s="119"/>
      <c r="Y45" s="401" t="s">
        <v>1559</v>
      </c>
      <c r="Z45" s="401" t="s">
        <v>1560</v>
      </c>
      <c r="AB45" s="477" t="str">
        <f>IF(COUNT(AB43:AB44)&gt;0,MAX(AB43:AB44)+1,"")</f>
        <v/>
      </c>
      <c r="AC45" s="433" t="str">
        <f>IF(AND(AH45&lt;&gt;"",AG45&lt;&gt;"",AI45&gt;0,AH45&gt;0),MAX(AC$2:AC44)+1,"XX")</f>
        <v>XX</v>
      </c>
      <c r="AD45" s="428" t="str">
        <f>IF('Antal &amp; Längder (vikter)'!$C$8&lt;&gt;"",'Antal &amp; Längder (vikter)'!$C$8,"XX")</f>
        <v>XX</v>
      </c>
      <c r="AE45" s="405" t="str">
        <f>IF(AND('Antal &amp; Längder (vikter)'!F$10&lt;&gt;"",ISNUMBER($AH45)),'Antal &amp; Längder (vikter)'!F$10,"")</f>
        <v/>
      </c>
      <c r="AF45" s="425" t="str">
        <f t="shared" si="1"/>
        <v/>
      </c>
      <c r="AG45" s="426" t="str">
        <f t="shared" si="2"/>
        <v/>
      </c>
      <c r="AH45" s="407" t="str">
        <f>IF('Antal &amp; Längder (vikter)'!F14&lt;&gt;"",'Antal &amp; Längder (vikter)'!F14,"XX")</f>
        <v>XX</v>
      </c>
      <c r="AI45" s="436">
        <f>IF('Antal &amp; Längder (vikter)'!G$11="Vikt (g)",'Antal &amp; Längder (vikter)'!G14,-9)</f>
        <v>-9</v>
      </c>
    </row>
    <row r="46" spans="1:35" hidden="1" x14ac:dyDescent="0.25">
      <c r="A46" s="107" t="s">
        <v>546</v>
      </c>
      <c r="B46" s="3" t="s">
        <v>546</v>
      </c>
      <c r="C46" s="3" t="s">
        <v>546</v>
      </c>
      <c r="D46" s="21"/>
      <c r="F46" s="481" t="str">
        <f>IF(G46&lt;&gt;"",IF(COUNTIF(AG$3:AG$1082,G46)&gt;0,0,MAX(F$37:F45)+1),"")</f>
        <v/>
      </c>
      <c r="G46" s="469" t="str">
        <f>IF(COUNT('Antal &amp; Längder (vikter)'!$R$11:$R$27)&gt;0,IF(G45=$G$37,IF(COUNTIF($G$37:$H45,'Antal &amp; Längder (vikter)'!$O19)=0,'Antal &amp; Längder (vikter)'!$O19,""),$G$37),"")</f>
        <v/>
      </c>
      <c r="H46" s="135" t="str">
        <f>IF(COUNT('Antal &amp; Längder (vikter)'!$R$11:$R$27)&gt;0,IF(H45=$G$37,IF(COUNTIF($G$37:$H45,'Antal &amp; Längder (vikter)'!$O19)=0,'Antal &amp; Längder (vikter)'!$O19,""),$G$37),"")</f>
        <v/>
      </c>
      <c r="J46" s="446">
        <f>2*J44-J44^2</f>
        <v>0.7975000000000001</v>
      </c>
      <c r="K46" s="203" t="s">
        <v>582</v>
      </c>
      <c r="L46" s="493" t="str">
        <f>$N46</f>
        <v>SIK</v>
      </c>
      <c r="M46" s="486" t="str">
        <f>IF(AND(COUNTIF('Antal &amp; Längder (vikter)'!$B$10:$T$141,N46)&gt;0,U46&lt;&gt;""),RANK(U46,U$2:U$60,1),IF(AND(Prot.Datum&lt;&gt;"",ProtokollLkoordX&lt;&gt;"",ProtokollLkoordY&lt;&gt;"",AND($N46="INGEN FÅNGST",SUM('Antal &amp; Längder (vikter)'!$R$11:$T$27)=0),SUM($AH$3:$AH$1082)=0),1,""))</f>
        <v/>
      </c>
      <c r="N46" s="1" t="s">
        <v>634</v>
      </c>
      <c r="O46" s="21" t="s">
        <v>634</v>
      </c>
      <c r="P46" s="99">
        <v>7</v>
      </c>
      <c r="Q46" s="533">
        <f t="shared" si="3"/>
        <v>0</v>
      </c>
      <c r="R46" s="534">
        <f>IF(ROUND(ROW()/2,0)=INT(ROW()/2),DSUM('Antal &amp; Längder (vikter)'!$O$10:$T$27,'Antal &amp; Längder (vikter)'!$R$10,L45:L46)+DSUM('Antal &amp; Längder (vikter)'!$O$10:$T$27,'Antal &amp; Längder (vikter)'!$S$10,L45:L46)+DSUM('Antal &amp; Längder (vikter)'!$O$10:$T$27,'Antal &amp; Längder (vikter)'!$T$10,L45:L46),DSUM('Antal &amp; Längder (vikter)'!$O$10:$T$27,'Antal &amp; Längder (vikter)'!$R$10,K45:K46)+DSUM('Antal &amp; Längder (vikter)'!$O$10:$T$27,'Antal &amp; Längder (vikter)'!$S$10,K45:K46)+DSUM('Antal &amp; Längder (vikter)'!$O$10:$T$27,'Antal &amp; Längder (vikter)'!$T$10,K45:K46))</f>
        <v>0</v>
      </c>
      <c r="S46" s="535" t="str">
        <f>IF(AND(COUNTIF('Antal &amp; Längder (vikter)'!$B$10:$M$141,N46)+COUNTIF('Antal &amp; Längder (vikter)'!$P$11:$P$27,N46)&gt;0,SUM(Q46:R46)&gt;0),SUM(Q46:R46)+1000*IF(P46&lt;&gt;"",P46,0),"")</f>
        <v/>
      </c>
      <c r="T46" s="536" t="str">
        <f>IF(S46&lt;&gt;"",IF(AND(COUNTIF('Antal &amp; Längder (vikter)'!$B$10:$M$141,N46)+COUNTIF('Antal &amp; Längder (vikter)'!$P$11:$P$27,N46)&gt;0,COUNTIF(S$1:S45,S46)&gt;0),COUNTIF(S$1:S45,S46),0)+RANK(S46,S$2:S$60,0),"")</f>
        <v/>
      </c>
      <c r="U46" s="536" t="str">
        <f>IF(AND(COUNTIF('Antal &amp; Längder (vikter)'!$B$10:$M$141,N46)&gt;0,T46&lt;&gt;"",COUNTIF(T$2:T$60,T46)&gt;1),COUNTIF(T$1:T45,T46)+T46,IF(COUNTIF('Antal &amp; Längder (vikter)'!$B$10:$M$141,N46)+COUNTIF('Antal &amp; Längder (vikter)'!$P$11:$P$27,N46)&gt;0,T46,""))</f>
        <v/>
      </c>
      <c r="V46" s="1">
        <v>0.4</v>
      </c>
      <c r="W46" s="21">
        <v>1.6</v>
      </c>
      <c r="X46" s="119"/>
      <c r="Y46" s="401" t="s">
        <v>2130</v>
      </c>
      <c r="Z46" s="401" t="s">
        <v>2131</v>
      </c>
      <c r="AB46" s="434" t="str">
        <f>IF(COUNT(AB43:AB45)&gt;0,MAX(AB43:AB45)+1,"")</f>
        <v/>
      </c>
      <c r="AC46" s="433" t="str">
        <f>IF(AND(AH46&lt;&gt;"",AG46&lt;&gt;"",AI46&gt;0,AH46&gt;0),MAX(AC$2:AC45)+1,"XX")</f>
        <v>XX</v>
      </c>
      <c r="AD46" s="428" t="str">
        <f>IF('Antal &amp; Längder (vikter)'!$C$8&lt;&gt;"",'Antal &amp; Längder (vikter)'!$C$8,"XX")</f>
        <v>XX</v>
      </c>
      <c r="AE46" s="405" t="str">
        <f>IF(AND('Antal &amp; Längder (vikter)'!F$10&lt;&gt;"",ISNUMBER($AH46)),'Antal &amp; Längder (vikter)'!F$10,"")</f>
        <v/>
      </c>
      <c r="AF46" s="425" t="str">
        <f t="shared" si="1"/>
        <v/>
      </c>
      <c r="AG46" s="426" t="str">
        <f t="shared" si="2"/>
        <v/>
      </c>
      <c r="AH46" s="407" t="str">
        <f>IF('Antal &amp; Längder (vikter)'!F15&lt;&gt;"",'Antal &amp; Längder (vikter)'!F15,"XX")</f>
        <v>XX</v>
      </c>
      <c r="AI46" s="436">
        <f>IF('Antal &amp; Längder (vikter)'!G$11="Vikt (g)",'Antal &amp; Längder (vikter)'!G15,-9)</f>
        <v>-9</v>
      </c>
    </row>
    <row r="47" spans="1:35" hidden="1" x14ac:dyDescent="0.25">
      <c r="A47" s="99">
        <v>1</v>
      </c>
      <c r="B47" s="5">
        <v>2</v>
      </c>
      <c r="C47" s="5">
        <v>3</v>
      </c>
      <c r="D47" s="21"/>
      <c r="F47" s="482" t="str">
        <f>IF(H47&lt;&gt;"",IF(COUNTIF(AG$3:AG$1082,H47)&gt;0,0,MAX(F$37:F46)+1),"")</f>
        <v/>
      </c>
      <c r="G47" s="469" t="str">
        <f>IF(COUNT('Antal &amp; Längder (vikter)'!$R$11:$R$27)&gt;0,IF(G46=$G$37,IF(COUNTIF($G$37:$H46,'Antal &amp; Längder (vikter)'!$O20)=0,'Antal &amp; Längder (vikter)'!$O20,""),$G$37),"")</f>
        <v/>
      </c>
      <c r="H47" s="135" t="str">
        <f>IF(COUNT('Antal &amp; Längder (vikter)'!$R$11:$R$27)&gt;0,IF(H46=$G$37,IF(COUNTIF($G$37:$H46,'Antal &amp; Längder (vikter)'!$O20)=0,'Antal &amp; Längder (vikter)'!$O20,""),$G$37),"")</f>
        <v/>
      </c>
      <c r="J47" s="353" t="s">
        <v>2015</v>
      </c>
      <c r="K47" s="493" t="str">
        <f>$N47</f>
        <v>SIKLÖJA</v>
      </c>
      <c r="L47" s="203" t="s">
        <v>582</v>
      </c>
      <c r="M47" s="486" t="str">
        <f>IF(AND(COUNTIF('Antal &amp; Längder (vikter)'!$B$10:$T$141,N47)&gt;0,U47&lt;&gt;""),RANK(U47,U$2:U$60,1),IF(AND(Prot.Datum&lt;&gt;"",ProtokollLkoordX&lt;&gt;"",ProtokollLkoordY&lt;&gt;"",AND($N47="INGEN FÅNGST",SUM('Antal &amp; Längder (vikter)'!$R$11:$T$27)=0),SUM($AH$3:$AH$1082)=0),1,""))</f>
        <v/>
      </c>
      <c r="N47" s="1" t="s">
        <v>635</v>
      </c>
      <c r="O47" s="21" t="s">
        <v>636</v>
      </c>
      <c r="P47" s="99">
        <v>7</v>
      </c>
      <c r="Q47" s="533">
        <f t="shared" si="3"/>
        <v>0</v>
      </c>
      <c r="R47" s="534">
        <f>IF(ROUND(ROW()/2,0)=INT(ROW()/2),DSUM('Antal &amp; Längder (vikter)'!$O$10:$T$27,'Antal &amp; Längder (vikter)'!$R$10,L46:L47)+DSUM('Antal &amp; Längder (vikter)'!$O$10:$T$27,'Antal &amp; Längder (vikter)'!$S$10,L46:L47)+DSUM('Antal &amp; Längder (vikter)'!$O$10:$T$27,'Antal &amp; Längder (vikter)'!$T$10,L46:L47),DSUM('Antal &amp; Längder (vikter)'!$O$10:$T$27,'Antal &amp; Längder (vikter)'!$R$10,K46:K47)+DSUM('Antal &amp; Längder (vikter)'!$O$10:$T$27,'Antal &amp; Längder (vikter)'!$S$10,K46:K47)+DSUM('Antal &amp; Längder (vikter)'!$O$10:$T$27,'Antal &amp; Längder (vikter)'!$T$10,K46:K47))</f>
        <v>0</v>
      </c>
      <c r="S47" s="535" t="str">
        <f>IF(AND(COUNTIF('Antal &amp; Längder (vikter)'!$B$10:$M$141,N47)+COUNTIF('Antal &amp; Längder (vikter)'!$P$11:$P$27,N47)&gt;0,SUM(Q47:R47)&gt;0),SUM(Q47:R47)+1000*IF(P47&lt;&gt;"",P47,0),"")</f>
        <v/>
      </c>
      <c r="T47" s="536" t="str">
        <f>IF(S47&lt;&gt;"",IF(AND(COUNTIF('Antal &amp; Längder (vikter)'!$B$10:$M$141,N47)+COUNTIF('Antal &amp; Längder (vikter)'!$P$11:$P$27,N47)&gt;0,COUNTIF(S$1:S46,S47)&gt;0),COUNTIF(S$1:S46,S47),0)+RANK(S47,S$2:S$60,0),"")</f>
        <v/>
      </c>
      <c r="U47" s="536" t="str">
        <f>IF(AND(COUNTIF('Antal &amp; Längder (vikter)'!$B$10:$M$141,N47)&gt;0,T47&lt;&gt;"",COUNTIF(T$2:T$60,T47)&gt;1),COUNTIF(T$1:T46,T47)+T47,IF(COUNTIF('Antal &amp; Längder (vikter)'!$B$10:$M$141,N47)+COUNTIF('Antal &amp; Längder (vikter)'!$P$11:$P$27,N47)&gt;0,T47,""))</f>
        <v/>
      </c>
      <c r="V47" s="1">
        <v>0.4</v>
      </c>
      <c r="W47" s="21">
        <v>1</v>
      </c>
      <c r="X47" s="119"/>
      <c r="Y47" s="401" t="s">
        <v>2128</v>
      </c>
      <c r="Z47" s="401" t="s">
        <v>2129</v>
      </c>
      <c r="AB47" s="475" t="str">
        <f>IF(COUNT(AB43:AB46)&gt;0,MAX(AB43:AB46)+1,"")</f>
        <v/>
      </c>
      <c r="AC47" s="433" t="str">
        <f>IF(AND(AH47&lt;&gt;"",AG47&lt;&gt;"",AI47&gt;0,AH47&gt;0),MAX(AC$2:AC46)+1,"XX")</f>
        <v>XX</v>
      </c>
      <c r="AD47" s="428" t="str">
        <f>IF('Antal &amp; Längder (vikter)'!$C$8&lt;&gt;"",'Antal &amp; Längder (vikter)'!$C$8,"XX")</f>
        <v>XX</v>
      </c>
      <c r="AE47" s="405" t="str">
        <f>IF(AND('Antal &amp; Längder (vikter)'!F$10&lt;&gt;"",ISNUMBER($AH47)),'Antal &amp; Längder (vikter)'!F$10,"")</f>
        <v/>
      </c>
      <c r="AF47" s="425" t="str">
        <f t="shared" si="1"/>
        <v/>
      </c>
      <c r="AG47" s="426" t="str">
        <f t="shared" si="2"/>
        <v/>
      </c>
      <c r="AH47" s="407" t="str">
        <f>IF('Antal &amp; Längder (vikter)'!F16&lt;&gt;"",'Antal &amp; Längder (vikter)'!F16,"XX")</f>
        <v>XX</v>
      </c>
      <c r="AI47" s="436">
        <f>IF('Antal &amp; Längder (vikter)'!G$11="Vikt (g)",'Antal &amp; Längder (vikter)'!G16,-9)</f>
        <v>-9</v>
      </c>
    </row>
    <row r="48" spans="1:35" hidden="1" x14ac:dyDescent="0.25">
      <c r="A48" s="105"/>
      <c r="B48" s="1"/>
      <c r="C48" s="1"/>
      <c r="D48" s="21"/>
      <c r="F48" s="481" t="str">
        <f>IF(G48&lt;&gt;"",IF(COUNTIF(AG$3:AG$1082,G48)&gt;0,0,MAX(F$37:F47)+1),"")</f>
        <v/>
      </c>
      <c r="G48" s="469" t="str">
        <f>IF(COUNT('Antal &amp; Längder (vikter)'!$R$11:$R$27)&gt;0,IF(G47=$G$37,IF(COUNTIF($G$37:$H47,'Antal &amp; Längder (vikter)'!$O21)=0,'Antal &amp; Längder (vikter)'!$O21,""),$G$37),"")</f>
        <v/>
      </c>
      <c r="H48" s="135" t="str">
        <f>IF(COUNT('Antal &amp; Längder (vikter)'!$R$11:$R$27)&gt;0,IF(H47=$G$37,IF(COUNTIF($G$37:$H47,'Antal &amp; Längder (vikter)'!$O21)=0,'Antal &amp; Längder (vikter)'!$O21,""),$G$37),"")</f>
        <v/>
      </c>
      <c r="J48" s="462">
        <f>J44^3-3*(J44^2)+3*J44</f>
        <v>0.90887499999999999</v>
      </c>
      <c r="K48" s="203" t="s">
        <v>582</v>
      </c>
      <c r="L48" s="493" t="str">
        <f>$N48</f>
        <v>SIMPA</v>
      </c>
      <c r="M48" s="486" t="str">
        <f>IF(AND(COUNTIF('Antal &amp; Längder (vikter)'!$B$10:$T$141,N48)&gt;0,U48&lt;&gt;""),RANK(U48,U$2:U$60,1),IF(AND(Prot.Datum&lt;&gt;"",ProtokollLkoordX&lt;&gt;"",ProtokollLkoordY&lt;&gt;"",AND($N48="INGEN FÅNGST",SUM('Antal &amp; Längder (vikter)'!$R$11:$T$27)=0),SUM($AH$3:$AH$1082)=0),1,""))</f>
        <v/>
      </c>
      <c r="N48" s="1" t="s">
        <v>637</v>
      </c>
      <c r="O48" s="21" t="s">
        <v>637</v>
      </c>
      <c r="P48" s="99"/>
      <c r="Q48" s="533">
        <f t="shared" si="3"/>
        <v>0</v>
      </c>
      <c r="R48" s="534">
        <f>IF(ROUND(ROW()/2,0)=INT(ROW()/2),DSUM('Antal &amp; Längder (vikter)'!$O$10:$T$27,'Antal &amp; Längder (vikter)'!$R$10,L47:L48)+DSUM('Antal &amp; Längder (vikter)'!$O$10:$T$27,'Antal &amp; Längder (vikter)'!$S$10,L47:L48)+DSUM('Antal &amp; Längder (vikter)'!$O$10:$T$27,'Antal &amp; Längder (vikter)'!$T$10,L47:L48),DSUM('Antal &amp; Längder (vikter)'!$O$10:$T$27,'Antal &amp; Längder (vikter)'!$R$10,K47:K48)+DSUM('Antal &amp; Längder (vikter)'!$O$10:$T$27,'Antal &amp; Längder (vikter)'!$S$10,K47:K48)+DSUM('Antal &amp; Längder (vikter)'!$O$10:$T$27,'Antal &amp; Längder (vikter)'!$T$10,K47:K48))</f>
        <v>0</v>
      </c>
      <c r="S48" s="535" t="str">
        <f>IF(AND(COUNTIF('Antal &amp; Längder (vikter)'!$B$10:$M$141,N48)+COUNTIF('Antal &amp; Längder (vikter)'!$P$11:$P$27,N48)&gt;0,SUM(Q48:R48)&gt;0),SUM(Q48:R48)+1000*IF(P48&lt;&gt;"",P48,0),"")</f>
        <v/>
      </c>
      <c r="T48" s="536" t="str">
        <f>IF(S48&lt;&gt;"",IF(AND(COUNTIF('Antal &amp; Längder (vikter)'!$B$10:$M$141,N48)+COUNTIF('Antal &amp; Längder (vikter)'!$P$11:$P$27,N48)&gt;0,COUNTIF(S$1:S47,S48)&gt;0),COUNTIF(S$1:S47,S48),0)+RANK(S48,S$2:S$60,0),"")</f>
        <v/>
      </c>
      <c r="U48" s="536" t="str">
        <f>IF(AND(COUNTIF('Antal &amp; Längder (vikter)'!$B$10:$M$141,N48)&gt;0,T48&lt;&gt;"",COUNTIF(T$2:T$60,T48)&gt;1),COUNTIF(T$1:T47,T48)+T48,IF(COUNTIF('Antal &amp; Längder (vikter)'!$B$10:$M$141,N48)+COUNTIF('Antal &amp; Längder (vikter)'!$P$11:$P$27,N48)&gt;0,T48,""))</f>
        <v/>
      </c>
      <c r="V48" s="1">
        <v>0.2</v>
      </c>
      <c r="W48" s="21">
        <v>2</v>
      </c>
      <c r="X48" s="119"/>
      <c r="Y48" s="401" t="s">
        <v>1695</v>
      </c>
      <c r="Z48" s="401" t="s">
        <v>1696</v>
      </c>
      <c r="AB48" s="471" t="str">
        <f>IF(COUNT(AB43:AB47)&gt;0,MAX(AB43:AB47)+1,"")</f>
        <v/>
      </c>
      <c r="AC48" s="433" t="str">
        <f>IF(AND(AH48&lt;&gt;"",AG48&lt;&gt;"",AI48&gt;0,AH48&gt;0),MAX(AC$2:AC47)+1,"XX")</f>
        <v>XX</v>
      </c>
      <c r="AD48" s="428" t="str">
        <f>IF('Antal &amp; Längder (vikter)'!$C$8&lt;&gt;"",'Antal &amp; Längder (vikter)'!$C$8,"XX")</f>
        <v>XX</v>
      </c>
      <c r="AE48" s="405" t="str">
        <f>IF(AND('Antal &amp; Längder (vikter)'!F$10&lt;&gt;"",ISNUMBER($AH48)),'Antal &amp; Längder (vikter)'!F$10,"")</f>
        <v/>
      </c>
      <c r="AF48" s="425" t="str">
        <f t="shared" si="1"/>
        <v/>
      </c>
      <c r="AG48" s="426" t="str">
        <f t="shared" si="2"/>
        <v/>
      </c>
      <c r="AH48" s="407" t="str">
        <f>IF('Antal &amp; Längder (vikter)'!F17&lt;&gt;"",'Antal &amp; Längder (vikter)'!F17,"XX")</f>
        <v>XX</v>
      </c>
      <c r="AI48" s="436">
        <f>IF('Antal &amp; Längder (vikter)'!G$11="Vikt (g)",'Antal &amp; Längder (vikter)'!G17,-9)</f>
        <v>-9</v>
      </c>
    </row>
    <row r="49" spans="1:35" hidden="1" x14ac:dyDescent="0.25">
      <c r="A49" s="107" t="s">
        <v>835</v>
      </c>
      <c r="B49" s="3" t="s">
        <v>836</v>
      </c>
      <c r="C49" s="3" t="s">
        <v>581</v>
      </c>
      <c r="D49" s="108" t="s">
        <v>546</v>
      </c>
      <c r="F49" s="482" t="str">
        <f>IF(H49&lt;&gt;"",IF(COUNTIF(AG$3:AG$1082,H49)&gt;0,0,MAX(F$37:F48)+1),"")</f>
        <v/>
      </c>
      <c r="G49" s="469" t="str">
        <f>IF(COUNT('Antal &amp; Längder (vikter)'!$R$11:$R$27)&gt;0,IF(G48=$G$37,IF(COUNTIF($G$37:$H48,'Antal &amp; Längder (vikter)'!$O22)=0,'Antal &amp; Längder (vikter)'!$O22,""),$G$37),"")</f>
        <v/>
      </c>
      <c r="H49" s="135" t="str">
        <f>IF(COUNT('Antal &amp; Längder (vikter)'!$R$11:$R$27)&gt;0,IF(H48=$G$37,IF(COUNTIF($G$37:$H48,'Antal &amp; Längder (vikter)'!$O22)=0,'Antal &amp; Längder (vikter)'!$O22,""),$G$37),"")</f>
        <v/>
      </c>
      <c r="J49"/>
      <c r="K49" s="493" t="str">
        <f>$N49</f>
        <v>SKRUBBA</v>
      </c>
      <c r="L49" s="203" t="s">
        <v>582</v>
      </c>
      <c r="M49" s="486" t="str">
        <f>IF(AND(COUNTIF('Antal &amp; Längder (vikter)'!$B$10:$T$141,N49)&gt;0,U49&lt;&gt;""),RANK(U49,U$2:U$60,1),IF(AND(Prot.Datum&lt;&gt;"",ProtokollLkoordX&lt;&gt;"",ProtokollLkoordY&lt;&gt;"",AND($N49="INGEN FÅNGST",SUM('Antal &amp; Längder (vikter)'!$R$11:$T$27)=0),SUM($AH$3:$AH$1082)=0),1,""))</f>
        <v/>
      </c>
      <c r="N49" s="1" t="s">
        <v>586</v>
      </c>
      <c r="O49" s="21" t="s">
        <v>603</v>
      </c>
      <c r="P49" s="99"/>
      <c r="Q49" s="533">
        <f t="shared" si="3"/>
        <v>0</v>
      </c>
      <c r="R49" s="534">
        <f>IF(ROUND(ROW()/2,0)=INT(ROW()/2),DSUM('Antal &amp; Längder (vikter)'!$O$10:$T$27,'Antal &amp; Längder (vikter)'!$R$10,L48:L49)+DSUM('Antal &amp; Längder (vikter)'!$O$10:$T$27,'Antal &amp; Längder (vikter)'!$S$10,L48:L49)+DSUM('Antal &amp; Längder (vikter)'!$O$10:$T$27,'Antal &amp; Längder (vikter)'!$T$10,L48:L49),DSUM('Antal &amp; Längder (vikter)'!$O$10:$T$27,'Antal &amp; Längder (vikter)'!$R$10,K48:K49)+DSUM('Antal &amp; Längder (vikter)'!$O$10:$T$27,'Antal &amp; Längder (vikter)'!$S$10,K48:K49)+DSUM('Antal &amp; Längder (vikter)'!$O$10:$T$27,'Antal &amp; Längder (vikter)'!$T$10,K48:K49))</f>
        <v>0</v>
      </c>
      <c r="S49" s="535" t="str">
        <f>IF(AND(COUNTIF('Antal &amp; Längder (vikter)'!$B$10:$M$141,N49)+COUNTIF('Antal &amp; Längder (vikter)'!$P$11:$P$27,N49)&gt;0,SUM(Q49:R49)&gt;0),SUM(Q49:R49)+1000*IF(P49&lt;&gt;"",P49,0),"")</f>
        <v/>
      </c>
      <c r="T49" s="536" t="str">
        <f>IF(S49&lt;&gt;"",IF(AND(COUNTIF('Antal &amp; Längder (vikter)'!$B$10:$M$141,N49)+COUNTIF('Antal &amp; Längder (vikter)'!$P$11:$P$27,N49)&gt;0,COUNTIF(S$1:S48,S49)&gt;0),COUNTIF(S$1:S48,S49),0)+RANK(S49,S$2:S$60,0),"")</f>
        <v/>
      </c>
      <c r="U49" s="536" t="str">
        <f>IF(AND(COUNTIF('Antal &amp; Längder (vikter)'!$B$10:$M$141,N49)&gt;0,T49&lt;&gt;"",COUNTIF(T$2:T$60,T49)&gt;1),COUNTIF(T$1:T48,T49)+T49,IF(COUNTIF('Antal &amp; Längder (vikter)'!$B$10:$M$141,N49)+COUNTIF('Antal &amp; Längder (vikter)'!$P$11:$P$27,N49)&gt;0,T49,""))</f>
        <v/>
      </c>
      <c r="V49" s="1">
        <v>0.05</v>
      </c>
      <c r="W49" s="21">
        <v>1.4</v>
      </c>
      <c r="X49" s="119"/>
      <c r="Y49" s="401" t="s">
        <v>1711</v>
      </c>
      <c r="Z49" s="401" t="s">
        <v>1712</v>
      </c>
      <c r="AB49" s="474" t="str">
        <f>IF(COUNT(AB43:AB48)&gt;0,MAX(AB43:AB48)+1,"")</f>
        <v/>
      </c>
      <c r="AC49" s="433" t="str">
        <f>IF(AND(AH49&lt;&gt;"",AG49&lt;&gt;"",AI49&gt;0,AH49&gt;0),MAX(AC$2:AC48)+1,"XX")</f>
        <v>XX</v>
      </c>
      <c r="AD49" s="428" t="str">
        <f>IF('Antal &amp; Längder (vikter)'!$C$8&lt;&gt;"",'Antal &amp; Längder (vikter)'!$C$8,"XX")</f>
        <v>XX</v>
      </c>
      <c r="AE49" s="405" t="str">
        <f>IF(AND('Antal &amp; Längder (vikter)'!F$10&lt;&gt;"",ISNUMBER($AH49)),'Antal &amp; Längder (vikter)'!F$10,"")</f>
        <v/>
      </c>
      <c r="AF49" s="425" t="str">
        <f t="shared" si="1"/>
        <v/>
      </c>
      <c r="AG49" s="426" t="str">
        <f t="shared" si="2"/>
        <v/>
      </c>
      <c r="AH49" s="407" t="str">
        <f>IF('Antal &amp; Längder (vikter)'!F18&lt;&gt;"",'Antal &amp; Längder (vikter)'!F18,"XX")</f>
        <v>XX</v>
      </c>
      <c r="AI49" s="436">
        <f>IF('Antal &amp; Längder (vikter)'!G$11="Vikt (g)",'Antal &amp; Längder (vikter)'!G18,-9)</f>
        <v>-9</v>
      </c>
    </row>
    <row r="50" spans="1:35" hidden="1" x14ac:dyDescent="0.25">
      <c r="A50" s="105" t="s">
        <v>811</v>
      </c>
      <c r="B50" s="368" t="str">
        <f>IF(Protokoll!AA64&lt;&gt;"",Protokoll!AA64,"")</f>
        <v/>
      </c>
      <c r="C50" s="1" t="s">
        <v>833</v>
      </c>
      <c r="D50" s="370" t="str">
        <f>IF(B50="X",IF(COUNTIF(B$49:B49,"X")+COUNT(B$50:B$89)&lt;3,COUNT(B$50:B$89)+COUNTIF(B$49:B49,"X")+1,""),IF(AND(B50&lt;&gt;"",B50=MAX(B$50:B$89)),IF(COUNTIF(B$49:B49,MAX(B$50:B$89))&gt;0,IF(COUNTIF(B$49:B49,MAX(B$50:B$89))&lt;3,COUNTIF(B$49:B49,MAX(B$50:B$89))+1,""),1),IF(AND(B50&gt;=1,B50=MAX(B$50:B$89)-1),IF(COUNTIF(B$49:B49,MAX(B$50:B$89))+COUNTIF(B$49:B49,MAX(B$50:B$89)-1)&lt;3,COUNTIF(B$49:B$89,MAX(B$50:B$89))+COUNTIF(B$49:B49,MAX(B$50:B$89)-1)+1,""),IF(B50=1,IF(COUNTIF(B$49:B49,3)+COUNTIF(B$49:B$89,2)+COUNTIF(B$49:B49,1)&lt;3,COUNTIF(B$49:B$89,2)+COUNTIF(B$49:B$89,3)+COUNTIF(B$49:B49,1)+1,""),""))))</f>
        <v/>
      </c>
      <c r="F50" s="481" t="str">
        <f>IF(G50&lt;&gt;"",IF(COUNTIF(AG$3:AG$1082,G50)&gt;0,0,MAX(F$37:F49)+1),"")</f>
        <v/>
      </c>
      <c r="G50" s="469" t="str">
        <f>IF(COUNT('Antal &amp; Längder (vikter)'!$R$11:$R$27)&gt;0,IF(G49=$G$37,IF(COUNTIF($G$37:$H49,'Antal &amp; Längder (vikter)'!$O23)=0,'Antal &amp; Längder (vikter)'!$O23,""),$G$37),"")</f>
        <v/>
      </c>
      <c r="H50" s="135" t="str">
        <f>IF(COUNT('Antal &amp; Längder (vikter)'!$R$11:$R$27)&gt;0,IF(H49=$G$37,IF(COUNTIF($G$37:$H49,'Antal &amp; Längder (vikter)'!$O23)=0,'Antal &amp; Längder (vikter)'!$O23,""),$G$37),"")</f>
        <v/>
      </c>
      <c r="J50" t="s">
        <v>2012</v>
      </c>
      <c r="K50" s="203" t="s">
        <v>582</v>
      </c>
      <c r="L50" s="493" t="str">
        <f>$N50</f>
        <v>SMÅSPIGG</v>
      </c>
      <c r="M50" s="486" t="str">
        <f>IF(AND(COUNTIF('Antal &amp; Längder (vikter)'!$B$10:$T$141,N50)&gt;0,U50&lt;&gt;""),RANK(U50,U$2:U$60,1),IF(AND(Prot.Datum&lt;&gt;"",ProtokollLkoordX&lt;&gt;"",ProtokollLkoordY&lt;&gt;"",AND($N50="INGEN FÅNGST",SUM('Antal &amp; Längder (vikter)'!$R$11:$T$27)=0),SUM($AH$3:$AH$1082)=0),1,""))</f>
        <v/>
      </c>
      <c r="N50" s="1" t="s">
        <v>578</v>
      </c>
      <c r="O50" s="21" t="s">
        <v>604</v>
      </c>
      <c r="P50" s="99"/>
      <c r="Q50" s="533">
        <f t="shared" si="3"/>
        <v>0</v>
      </c>
      <c r="R50" s="534">
        <f>IF(ROUND(ROW()/2,0)=INT(ROW()/2),DSUM('Antal &amp; Längder (vikter)'!$O$10:$T$27,'Antal &amp; Längder (vikter)'!$R$10,L49:L50)+DSUM('Antal &amp; Längder (vikter)'!$O$10:$T$27,'Antal &amp; Längder (vikter)'!$S$10,L49:L50)+DSUM('Antal &amp; Längder (vikter)'!$O$10:$T$27,'Antal &amp; Längder (vikter)'!$T$10,L49:L50),DSUM('Antal &amp; Längder (vikter)'!$O$10:$T$27,'Antal &amp; Längder (vikter)'!$R$10,K49:K50)+DSUM('Antal &amp; Längder (vikter)'!$O$10:$T$27,'Antal &amp; Längder (vikter)'!$S$10,K49:K50)+DSUM('Antal &amp; Längder (vikter)'!$O$10:$T$27,'Antal &amp; Längder (vikter)'!$T$10,K49:K50))</f>
        <v>0</v>
      </c>
      <c r="S50" s="535" t="str">
        <f>IF(AND(COUNTIF('Antal &amp; Längder (vikter)'!$B$10:$M$141,N50)+COUNTIF('Antal &amp; Längder (vikter)'!$P$11:$P$27,N50)&gt;0,SUM(Q50:R50)&gt;0),SUM(Q50:R50)+1000*IF(P50&lt;&gt;"",P50,0),"")</f>
        <v/>
      </c>
      <c r="T50" s="536" t="str">
        <f>IF(S50&lt;&gt;"",IF(AND(COUNTIF('Antal &amp; Längder (vikter)'!$B$10:$M$141,N50)+COUNTIF('Antal &amp; Längder (vikter)'!$P$11:$P$27,N50)&gt;0,COUNTIF(S$1:S49,S50)&gt;0),COUNTIF(S$1:S49,S50),0)+RANK(S50,S$2:S$60,0),"")</f>
        <v/>
      </c>
      <c r="U50" s="536" t="str">
        <f>IF(AND(COUNTIF('Antal &amp; Längder (vikter)'!$B$10:$M$141,N50)&gt;0,T50&lt;&gt;"",COUNTIF(T$2:T$60,T50)&gt;1),COUNTIF(T$1:T49,T50)+T50,IF(COUNTIF('Antal &amp; Längder (vikter)'!$B$10:$M$141,N50)+COUNTIF('Antal &amp; Längder (vikter)'!$P$11:$P$27,N50)&gt;0,T50,""))</f>
        <v/>
      </c>
      <c r="V50" s="1">
        <v>0.3</v>
      </c>
      <c r="W50" s="21">
        <v>1.4</v>
      </c>
      <c r="X50" s="119"/>
      <c r="Y50" s="401" t="s">
        <v>1960</v>
      </c>
      <c r="Z50" s="401" t="s">
        <v>1961</v>
      </c>
      <c r="AB50" s="478" t="str">
        <f>IF(COUNT(AB43:AB49)&gt;0,MAX(AB43:AB49)+1,"")</f>
        <v/>
      </c>
      <c r="AC50" s="433" t="str">
        <f>IF(AND(AH50&lt;&gt;"",AG50&lt;&gt;"",AI50&gt;0,AH50&gt;0),MAX(AC$2:AC49)+1,"XX")</f>
        <v>XX</v>
      </c>
      <c r="AD50" s="428" t="str">
        <f>IF('Antal &amp; Längder (vikter)'!$C$8&lt;&gt;"",'Antal &amp; Längder (vikter)'!$C$8,"XX")</f>
        <v>XX</v>
      </c>
      <c r="AE50" s="405" t="str">
        <f>IF(AND('Antal &amp; Längder (vikter)'!F$10&lt;&gt;"",ISNUMBER($AH50)),'Antal &amp; Längder (vikter)'!F$10,"")</f>
        <v/>
      </c>
      <c r="AF50" s="425" t="str">
        <f t="shared" si="1"/>
        <v/>
      </c>
      <c r="AG50" s="426" t="str">
        <f t="shared" si="2"/>
        <v/>
      </c>
      <c r="AH50" s="407" t="str">
        <f>IF('Antal &amp; Längder (vikter)'!F19&lt;&gt;"",'Antal &amp; Längder (vikter)'!F19,"XX")</f>
        <v>XX</v>
      </c>
      <c r="AI50" s="436">
        <f>IF('Antal &amp; Längder (vikter)'!G$11="Vikt (g)",'Antal &amp; Längder (vikter)'!G19,-9)</f>
        <v>-9</v>
      </c>
    </row>
    <row r="51" spans="1:35" hidden="1" x14ac:dyDescent="0.25">
      <c r="A51" s="105" t="s">
        <v>844</v>
      </c>
      <c r="B51" s="368" t="str">
        <f>IF(Protokoll!M67&lt;&gt;"",Protokoll!M67,"")</f>
        <v/>
      </c>
      <c r="C51" s="1" t="s">
        <v>827</v>
      </c>
      <c r="D51" s="370" t="str">
        <f>IF(B51="X",IF(COUNTIF(B$49:B50,"X")+COUNT(B$50:B$89)&lt;3,COUNT(B$50:B$89)+COUNTIF(B$49:B50,"X")+1,""),IF(AND(B51&lt;&gt;"",B51=MAX(B$50:B$89)),IF(COUNTIF(B$49:B50,MAX(B$50:B$89))&gt;0,IF(COUNTIF(B$49:B50,MAX(B$50:B$89))&lt;3,COUNTIF(B$49:B50,MAX(B$50:B$89))+1,""),1),IF(AND(B51&gt;=1,B51=MAX(B$50:B$89)-1),IF(COUNTIF(B$49:B50,MAX(B$50:B$89))+COUNTIF(B$49:B50,MAX(B$50:B$89)-1)&lt;3,COUNTIF(B$49:B$89,MAX(B$50:B$89))+COUNTIF(B$49:B50,MAX(B$50:B$89)-1)+1,""),IF(B51=1,IF(COUNTIF(B$49:B50,3)+COUNTIF(B$49:B$89,2)+COUNTIF(B$49:B50,1)&lt;3,COUNTIF(B$49:B$89,2)+COUNTIF(B$49:B$89,3)+COUNTIF(B$49:B50,1)+1,""),""))))</f>
        <v/>
      </c>
      <c r="F51" s="482" t="str">
        <f>IF(H51&lt;&gt;"",IF(COUNTIF(AG$3:AG$1082,H51)&gt;0,0,MAX(F$37:F50)+1),"")</f>
        <v/>
      </c>
      <c r="G51" s="469" t="str">
        <f>IF(COUNT('Antal &amp; Längder (vikter)'!$R$11:$R$27)&gt;0,IF(G50=$G$37,IF(COUNTIF($G$37:$H50,'Antal &amp; Längder (vikter)'!$O24)=0,'Antal &amp; Längder (vikter)'!$O24,""),$G$37),"")</f>
        <v/>
      </c>
      <c r="H51" s="135" t="str">
        <f>IF(COUNT('Antal &amp; Längder (vikter)'!$R$11:$R$27)&gt;0,IF(H50=$G$37,IF(COUNTIF($G$37:$H50,'Antal &amp; Längder (vikter)'!$O24)=0,'Antal &amp; Längder (vikter)'!$O24,""),$G$37),"")</f>
        <v/>
      </c>
      <c r="J51" s="437">
        <f>1-(1-J42)^0.5</f>
        <v>0.53095842401765703</v>
      </c>
      <c r="K51" s="493" t="str">
        <f>$N51</f>
        <v>SPIGG</v>
      </c>
      <c r="L51" s="203" t="s">
        <v>582</v>
      </c>
      <c r="M51" s="486" t="str">
        <f>IF(AND(COUNTIF('Antal &amp; Längder (vikter)'!$B$10:$T$141,N51)&gt;0,U51&lt;&gt;""),RANK(U51,U$2:U$60,1),IF(AND(Prot.Datum&lt;&gt;"",ProtokollLkoordX&lt;&gt;"",ProtokollLkoordY&lt;&gt;"",AND($N51="INGEN FÅNGST",SUM('Antal &amp; Längder (vikter)'!$R$11:$T$27)=0),SUM($AH$3:$AH$1082)=0),1,""))</f>
        <v/>
      </c>
      <c r="N51" s="1" t="s">
        <v>638</v>
      </c>
      <c r="O51" s="21" t="s">
        <v>638</v>
      </c>
      <c r="P51" s="99"/>
      <c r="Q51" s="533">
        <f t="shared" si="3"/>
        <v>0</v>
      </c>
      <c r="R51" s="534">
        <f>IF(ROUND(ROW()/2,0)=INT(ROW()/2),DSUM('Antal &amp; Längder (vikter)'!$O$10:$T$27,'Antal &amp; Längder (vikter)'!$R$10,L50:L51)+DSUM('Antal &amp; Längder (vikter)'!$O$10:$T$27,'Antal &amp; Längder (vikter)'!$S$10,L50:L51)+DSUM('Antal &amp; Längder (vikter)'!$O$10:$T$27,'Antal &amp; Längder (vikter)'!$T$10,L50:L51),DSUM('Antal &amp; Längder (vikter)'!$O$10:$T$27,'Antal &amp; Längder (vikter)'!$R$10,K50:K51)+DSUM('Antal &amp; Längder (vikter)'!$O$10:$T$27,'Antal &amp; Längder (vikter)'!$S$10,K50:K51)+DSUM('Antal &amp; Längder (vikter)'!$O$10:$T$27,'Antal &amp; Längder (vikter)'!$T$10,K50:K51))</f>
        <v>0</v>
      </c>
      <c r="S51" s="535" t="str">
        <f>IF(AND(COUNTIF('Antal &amp; Längder (vikter)'!$B$10:$M$141,N51)+COUNTIF('Antal &amp; Längder (vikter)'!$P$11:$P$27,N51)&gt;0,SUM(Q51:R51)&gt;0),SUM(Q51:R51)+1000*IF(P51&lt;&gt;"",P51,0),"")</f>
        <v/>
      </c>
      <c r="T51" s="536" t="str">
        <f>IF(S51&lt;&gt;"",IF(AND(COUNTIF('Antal &amp; Längder (vikter)'!$B$10:$M$141,N51)+COUNTIF('Antal &amp; Längder (vikter)'!$P$11:$P$27,N51)&gt;0,COUNTIF(S$1:S50,S51)&gt;0),COUNTIF(S$1:S50,S51),0)+RANK(S51,S$2:S$60,0),"")</f>
        <v/>
      </c>
      <c r="U51" s="536" t="str">
        <f>IF(AND(COUNTIF('Antal &amp; Längder (vikter)'!$B$10:$M$141,N51)&gt;0,T51&lt;&gt;"",COUNTIF(T$2:T$60,T51)&gt;1),COUNTIF(T$1:T50,T51)+T51,IF(COUNTIF('Antal &amp; Längder (vikter)'!$B$10:$M$141,N51)+COUNTIF('Antal &amp; Längder (vikter)'!$P$11:$P$27,N51)&gt;0,T51,""))</f>
        <v/>
      </c>
      <c r="V51" s="1">
        <v>0.3</v>
      </c>
      <c r="W51" s="21">
        <v>1.4</v>
      </c>
      <c r="X51" s="119"/>
      <c r="Y51" s="401" t="s">
        <v>2132</v>
      </c>
      <c r="Z51" s="401" t="s">
        <v>2133</v>
      </c>
      <c r="AB51" s="472" t="str">
        <f>IF(COUNT(AB43:AB50)&gt;0,MAX(AB43:AB50)+1,"")</f>
        <v/>
      </c>
      <c r="AC51" s="433" t="str">
        <f>IF(AND(AH51&lt;&gt;"",AG51&lt;&gt;"",AI51&gt;0,AH51&gt;0),MAX(AC$2:AC50)+1,"XX")</f>
        <v>XX</v>
      </c>
      <c r="AD51" s="428" t="str">
        <f>IF('Antal &amp; Längder (vikter)'!$C$8&lt;&gt;"",'Antal &amp; Längder (vikter)'!$C$8,"XX")</f>
        <v>XX</v>
      </c>
      <c r="AE51" s="405" t="str">
        <f>IF(AND('Antal &amp; Längder (vikter)'!F$10&lt;&gt;"",ISNUMBER($AH51)),'Antal &amp; Längder (vikter)'!F$10,"")</f>
        <v/>
      </c>
      <c r="AF51" s="425" t="str">
        <f t="shared" si="1"/>
        <v/>
      </c>
      <c r="AG51" s="426" t="str">
        <f t="shared" si="2"/>
        <v/>
      </c>
      <c r="AH51" s="407" t="str">
        <f>IF('Antal &amp; Längder (vikter)'!F20&lt;&gt;"",'Antal &amp; Längder (vikter)'!F20,"XX")</f>
        <v>XX</v>
      </c>
      <c r="AI51" s="436">
        <f>IF('Antal &amp; Längder (vikter)'!G$11="Vikt (g)",'Antal &amp; Längder (vikter)'!G20,-9)</f>
        <v>-9</v>
      </c>
    </row>
    <row r="52" spans="1:35" hidden="1" x14ac:dyDescent="0.25">
      <c r="A52" s="105" t="s">
        <v>808</v>
      </c>
      <c r="B52" s="368" t="str">
        <f>IF(Protokoll!P63&lt;&gt;"",Protokoll!P63,"")</f>
        <v/>
      </c>
      <c r="C52" s="1" t="s">
        <v>788</v>
      </c>
      <c r="D52" s="370" t="str">
        <f>IF(B52="X",IF(COUNTIF(B$49:B51,"X")+COUNT(B$50:B$89)&lt;3,COUNT(B$50:B$89)+COUNTIF(B$49:B51,"X")+1,""),IF(AND(B52&lt;&gt;"",B52=MAX(B$50:B$89)),IF(COUNTIF(B$49:B51,MAX(B$50:B$89))&gt;0,IF(COUNTIF(B$49:B51,MAX(B$50:B$89))&lt;3,COUNTIF(B$49:B51,MAX(B$50:B$89))+1,""),1),IF(AND(B52&gt;=1,B52=MAX(B$50:B$89)-1),IF(COUNTIF(B$49:B51,MAX(B$50:B$89))+COUNTIF(B$49:B51,MAX(B$50:B$89)-1)&lt;3,COUNTIF(B$49:B$89,MAX(B$50:B$89))+COUNTIF(B$49:B51,MAX(B$50:B$89)-1)+1,""),IF(B52=1,IF(COUNTIF(B$49:B51,3)+COUNTIF(B$49:B$89,2)+COUNTIF(B$49:B51,1)&lt;3,COUNTIF(B$49:B$89,2)+COUNTIF(B$49:B$89,3)+COUNTIF(B$49:B51,1)+1,""),""))))</f>
        <v/>
      </c>
      <c r="F52" s="481" t="str">
        <f>IF(G52&lt;&gt;"",IF(COUNTIF(AG$3:AG$1082,G52)&gt;0,0,MAX(F$37:F51)+1),"")</f>
        <v/>
      </c>
      <c r="G52" s="469" t="str">
        <f>IF(COUNT('Antal &amp; Längder (vikter)'!$R$11:$R$27)&gt;0,IF(G51=$G$37,IF(COUNTIF($G$37:$H51,'Antal &amp; Längder (vikter)'!$O25)=0,'Antal &amp; Längder (vikter)'!$O25,""),$G$37),"")</f>
        <v/>
      </c>
      <c r="H52" s="135" t="str">
        <f>IF(COUNT('Antal &amp; Längder (vikter)'!$R$11:$R$27)&gt;0,IF(H51=$G$37,IF(COUNTIF($G$37:$H51,'Antal &amp; Längder (vikter)'!$O25)=0,'Antal &amp; Längder (vikter)'!$O25,""),$G$37),"")</f>
        <v/>
      </c>
      <c r="J52" s="353" t="s">
        <v>2014</v>
      </c>
      <c r="K52" s="203" t="s">
        <v>582</v>
      </c>
      <c r="L52" s="493" t="str">
        <f>$N52</f>
        <v>STENSIMPA</v>
      </c>
      <c r="M52" s="486" t="str">
        <f>IF(AND(COUNTIF('Antal &amp; Längder (vikter)'!$B$10:$T$141,N52)&gt;0,U52&lt;&gt;""),RANK(U52,U$2:U$60,1),IF(AND(Prot.Datum&lt;&gt;"",ProtokollLkoordX&lt;&gt;"",ProtokollLkoordY&lt;&gt;"",AND($N52="INGEN FÅNGST",SUM('Antal &amp; Längder (vikter)'!$R$11:$T$27)=0),SUM($AH$3:$AH$1082)=0),1,""))</f>
        <v/>
      </c>
      <c r="N52" s="1" t="s">
        <v>562</v>
      </c>
      <c r="O52" s="21" t="s">
        <v>605</v>
      </c>
      <c r="P52" s="99"/>
      <c r="Q52" s="533">
        <f t="shared" si="3"/>
        <v>0</v>
      </c>
      <c r="R52" s="534">
        <f>IF(ROUND(ROW()/2,0)=INT(ROW()/2),DSUM('Antal &amp; Längder (vikter)'!$O$10:$T$27,'Antal &amp; Längder (vikter)'!$R$10,L51:L52)+DSUM('Antal &amp; Längder (vikter)'!$O$10:$T$27,'Antal &amp; Längder (vikter)'!$S$10,L51:L52)+DSUM('Antal &amp; Längder (vikter)'!$O$10:$T$27,'Antal &amp; Längder (vikter)'!$T$10,L51:L52),DSUM('Antal &amp; Längder (vikter)'!$O$10:$T$27,'Antal &amp; Längder (vikter)'!$R$10,K51:K52)+DSUM('Antal &amp; Längder (vikter)'!$O$10:$T$27,'Antal &amp; Längder (vikter)'!$S$10,K51:K52)+DSUM('Antal &amp; Längder (vikter)'!$O$10:$T$27,'Antal &amp; Längder (vikter)'!$T$10,K51:K52))</f>
        <v>0</v>
      </c>
      <c r="S52" s="535" t="str">
        <f>IF(AND(COUNTIF('Antal &amp; Längder (vikter)'!$B$10:$M$141,N52)+COUNTIF('Antal &amp; Längder (vikter)'!$P$11:$P$27,N52)&gt;0,SUM(Q52:R52)&gt;0),SUM(Q52:R52)+1000*IF(P52&lt;&gt;"",P52,0),"")</f>
        <v/>
      </c>
      <c r="T52" s="536" t="str">
        <f>IF(S52&lt;&gt;"",IF(AND(COUNTIF('Antal &amp; Längder (vikter)'!$B$10:$M$141,N52)+COUNTIF('Antal &amp; Längder (vikter)'!$P$11:$P$27,N52)&gt;0,COUNTIF(S$1:S51,S52)&gt;0),COUNTIF(S$1:S51,S52),0)+RANK(S52,S$2:S$60,0),"")</f>
        <v/>
      </c>
      <c r="U52" s="536" t="str">
        <f>IF(AND(COUNTIF('Antal &amp; Längder (vikter)'!$B$10:$M$141,N52)&gt;0,T52&lt;&gt;"",COUNTIF(T$2:T$60,T52)&gt;1),COUNTIF(T$1:T51,T52)+T52,IF(COUNTIF('Antal &amp; Längder (vikter)'!$B$10:$M$141,N52)+COUNTIF('Antal &amp; Längder (vikter)'!$P$11:$P$27,N52)&gt;0,T52,""))</f>
        <v/>
      </c>
      <c r="V52" s="1">
        <v>0.2</v>
      </c>
      <c r="W52" s="21">
        <v>2</v>
      </c>
      <c r="X52" s="119"/>
      <c r="Y52" s="401" t="s">
        <v>1561</v>
      </c>
      <c r="Z52" s="401" t="s">
        <v>1562</v>
      </c>
      <c r="AB52" s="479" t="str">
        <f>IF(COUNT(AB43:AB51)&gt;0,MAX(AB43:AB51)+1,"")</f>
        <v/>
      </c>
      <c r="AC52" s="433" t="str">
        <f>IF(AND(AH52&lt;&gt;"",AG52&lt;&gt;"",AI52&gt;0,AH52&gt;0),MAX(AC$2:AC51)+1,"XX")</f>
        <v>XX</v>
      </c>
      <c r="AD52" s="428" t="str">
        <f>IF('Antal &amp; Längder (vikter)'!$C$8&lt;&gt;"",'Antal &amp; Längder (vikter)'!$C$8,"XX")</f>
        <v>XX</v>
      </c>
      <c r="AE52" s="405" t="str">
        <f>IF(AND('Antal &amp; Längder (vikter)'!F$10&lt;&gt;"",ISNUMBER($AH52)),'Antal &amp; Längder (vikter)'!F$10,"")</f>
        <v/>
      </c>
      <c r="AF52" s="425" t="str">
        <f t="shared" si="1"/>
        <v/>
      </c>
      <c r="AG52" s="426" t="str">
        <f t="shared" si="2"/>
        <v/>
      </c>
      <c r="AH52" s="407" t="str">
        <f>IF('Antal &amp; Längder (vikter)'!F21&lt;&gt;"",'Antal &amp; Längder (vikter)'!F21,"XX")</f>
        <v>XX</v>
      </c>
      <c r="AI52" s="436">
        <f>IF('Antal &amp; Längder (vikter)'!G$11="Vikt (g)",'Antal &amp; Längder (vikter)'!G21,-9)</f>
        <v>-9</v>
      </c>
    </row>
    <row r="53" spans="1:35" hidden="1" x14ac:dyDescent="0.25">
      <c r="A53" s="105" t="s">
        <v>845</v>
      </c>
      <c r="B53" s="368" t="str">
        <f>IF(Protokoll!P64&lt;&gt;"",Protokoll!P64,"")</f>
        <v/>
      </c>
      <c r="C53" s="1" t="s">
        <v>790</v>
      </c>
      <c r="D53" s="370" t="str">
        <f>IF(B53="X",IF(COUNTIF(B$49:B52,"X")+COUNT(B$50:B$89)&lt;3,COUNT(B$50:B$89)+COUNTIF(B$49:B52,"X")+1,""),IF(AND(B53&lt;&gt;"",B53=MAX(B$50:B$89)),IF(COUNTIF(B$49:B52,MAX(B$50:B$89))&gt;0,IF(COUNTIF(B$49:B52,MAX(B$50:B$89))&lt;3,COUNTIF(B$49:B52,MAX(B$50:B$89))+1,""),1),IF(AND(B53&gt;=1,B53=MAX(B$50:B$89)-1),IF(COUNTIF(B$49:B52,MAX(B$50:B$89))+COUNTIF(B$49:B52,MAX(B$50:B$89)-1)&lt;3,COUNTIF(B$49:B$89,MAX(B$50:B$89))+COUNTIF(B$49:B52,MAX(B$50:B$89)-1)+1,""),IF(B53=1,IF(COUNTIF(B$49:B52,3)+COUNTIF(B$49:B$89,2)+COUNTIF(B$49:B52,1)&lt;3,COUNTIF(B$49:B$89,2)+COUNTIF(B$49:B$89,3)+COUNTIF(B$49:B52,1)+1,""),""))))</f>
        <v/>
      </c>
      <c r="F53" s="482" t="str">
        <f>IF(H53&lt;&gt;"",IF(COUNTIF(AG$3:AG$1082,H53)&gt;0,0,MAX(F$37:F52)+1),"")</f>
        <v/>
      </c>
      <c r="G53" s="469" t="str">
        <f>IF(COUNT('Antal &amp; Längder (vikter)'!$R$11:$R$27)&gt;0,IF(G52=$G$37,IF(COUNTIF($G$37:$H52,'Antal &amp; Längder (vikter)'!$O26)=0,'Antal &amp; Längder (vikter)'!$O26,""),$G$37),"")</f>
        <v/>
      </c>
      <c r="H53" s="135" t="str">
        <f>IF(COUNT('Antal &amp; Längder (vikter)'!$R$11:$R$27)&gt;0,IF(H52=$G$37,IF(COUNTIF($G$37:$H52,'Antal &amp; Längder (vikter)'!$O26)=0,'Antal &amp; Längder (vikter)'!$O26,""),$G$37),"")</f>
        <v/>
      </c>
      <c r="J53" s="463">
        <f>1-(1-J40)^(1/3)</f>
        <v>3.4510615394370281E-2</v>
      </c>
      <c r="K53" s="493" t="str">
        <f>$N53</f>
        <v>STORSPIGG</v>
      </c>
      <c r="L53" s="203" t="s">
        <v>582</v>
      </c>
      <c r="M53" s="486" t="str">
        <f>IF(AND(COUNTIF('Antal &amp; Längder (vikter)'!$B$10:$T$141,N53)&gt;0,U53&lt;&gt;""),RANK(U53,U$2:U$60,1),IF(AND(Prot.Datum&lt;&gt;"",ProtokollLkoordX&lt;&gt;"",ProtokollLkoordY&lt;&gt;"",AND($N53="INGEN FÅNGST",SUM('Antal &amp; Längder (vikter)'!$R$11:$T$27)=0),SUM($AH$3:$AH$1082)=0),1,""))</f>
        <v/>
      </c>
      <c r="N53" s="1" t="s">
        <v>579</v>
      </c>
      <c r="O53" s="21" t="s">
        <v>606</v>
      </c>
      <c r="P53" s="99"/>
      <c r="Q53" s="533">
        <f t="shared" si="3"/>
        <v>0</v>
      </c>
      <c r="R53" s="534">
        <f>IF(ROUND(ROW()/2,0)=INT(ROW()/2),DSUM('Antal &amp; Längder (vikter)'!$O$10:$T$27,'Antal &amp; Längder (vikter)'!$R$10,L52:L53)+DSUM('Antal &amp; Längder (vikter)'!$O$10:$T$27,'Antal &amp; Längder (vikter)'!$S$10,L52:L53)+DSUM('Antal &amp; Längder (vikter)'!$O$10:$T$27,'Antal &amp; Längder (vikter)'!$T$10,L52:L53),DSUM('Antal &amp; Längder (vikter)'!$O$10:$T$27,'Antal &amp; Längder (vikter)'!$R$10,K52:K53)+DSUM('Antal &amp; Längder (vikter)'!$O$10:$T$27,'Antal &amp; Längder (vikter)'!$S$10,K52:K53)+DSUM('Antal &amp; Längder (vikter)'!$O$10:$T$27,'Antal &amp; Längder (vikter)'!$T$10,K52:K53))</f>
        <v>0</v>
      </c>
      <c r="S53" s="535" t="str">
        <f>IF(AND(COUNTIF('Antal &amp; Längder (vikter)'!$B$10:$M$141,N53)+COUNTIF('Antal &amp; Längder (vikter)'!$P$11:$P$27,N53)&gt;0,SUM(Q53:R53)&gt;0),SUM(Q53:R53)+1000*IF(P53&lt;&gt;"",P53,0),"")</f>
        <v/>
      </c>
      <c r="T53" s="536" t="str">
        <f>IF(S53&lt;&gt;"",IF(AND(COUNTIF('Antal &amp; Längder (vikter)'!$B$10:$M$141,N53)+COUNTIF('Antal &amp; Längder (vikter)'!$P$11:$P$27,N53)&gt;0,COUNTIF(S$1:S52,S53)&gt;0),COUNTIF(S$1:S52,S53),0)+RANK(S53,S$2:S$60,0),"")</f>
        <v/>
      </c>
      <c r="U53" s="536" t="str">
        <f>IF(AND(COUNTIF('Antal &amp; Längder (vikter)'!$B$10:$M$141,N53)&gt;0,T53&lt;&gt;"",COUNTIF(T$2:T$60,T53)&gt;1),COUNTIF(T$1:T52,T53)+T53,IF(COUNTIF('Antal &amp; Längder (vikter)'!$B$10:$M$141,N53)+COUNTIF('Antal &amp; Längder (vikter)'!$P$11:$P$27,N53)&gt;0,T53,""))</f>
        <v/>
      </c>
      <c r="V53" s="1">
        <v>0.3</v>
      </c>
      <c r="W53" s="21">
        <v>1.4</v>
      </c>
      <c r="X53" s="119"/>
      <c r="Y53" s="401" t="s">
        <v>1563</v>
      </c>
      <c r="Z53" s="401" t="s">
        <v>1564</v>
      </c>
      <c r="AB53" s="480" t="str">
        <f>IF(AND(ISNUMBER(AH53),AH53&gt;0),IF(MAX(AB$3:AB52)&gt;0,MAX(AB$3:AB52)+1,10+COUNTIF(F$38:F$49,"&gt;0")*10+1),"")</f>
        <v/>
      </c>
      <c r="AC53" s="433" t="str">
        <f>IF(AND(AH53&lt;&gt;"",AG53&lt;&gt;"",AI53&gt;0,AH53&gt;0),MAX(AC$2:AC52)+1,"XX")</f>
        <v>XX</v>
      </c>
      <c r="AD53" s="428" t="str">
        <f>IF('Antal &amp; Längder (vikter)'!$C$8&lt;&gt;"",'Antal &amp; Längder (vikter)'!$C$8,"XX")</f>
        <v>XX</v>
      </c>
      <c r="AE53" s="405" t="str">
        <f>IF(AND('Antal &amp; Längder (vikter)'!F$10&lt;&gt;"",ISNUMBER($AH53)),'Antal &amp; Längder (vikter)'!F$10,"")</f>
        <v/>
      </c>
      <c r="AF53" s="425" t="str">
        <f t="shared" si="1"/>
        <v/>
      </c>
      <c r="AG53" s="426" t="str">
        <f t="shared" si="2"/>
        <v/>
      </c>
      <c r="AH53" s="409" t="str">
        <f>IF('Antal &amp; Längder (vikter)'!G$11="Längd (mm)",IF('Antal &amp; Längder (vikter)'!G12&lt;&gt;"",'Antal &amp; Längder (vikter)'!G12,"XX"),"XX")</f>
        <v>XX</v>
      </c>
      <c r="AI53" s="7">
        <v>-9</v>
      </c>
    </row>
    <row r="54" spans="1:35" hidden="1" x14ac:dyDescent="0.25">
      <c r="A54" s="105" t="s">
        <v>862</v>
      </c>
      <c r="B54" s="368" t="str">
        <f>IF(Protokoll!E64&lt;&gt;"",Protokoll!E64,"")</f>
        <v/>
      </c>
      <c r="C54" s="1" t="s">
        <v>820</v>
      </c>
      <c r="D54" s="370" t="str">
        <f>IF(B54="X",IF(COUNTIF(B$49:B53,"X")+COUNT(B$50:B$89)&lt;3,COUNT(B$50:B$89)+COUNTIF(B$49:B53,"X")+1,""),IF(AND(B54&lt;&gt;"",B54=MAX(B$50:B$89)),IF(COUNTIF(B$49:B53,MAX(B$50:B$89))&gt;0,IF(COUNTIF(B$49:B53,MAX(B$50:B$89))&lt;3,COUNTIF(B$49:B53,MAX(B$50:B$89))+1,""),1),IF(AND(B54&gt;=1,B54=MAX(B$50:B$89)-1),IF(COUNTIF(B$49:B53,MAX(B$50:B$89))+COUNTIF(B$49:B53,MAX(B$50:B$89)-1)&lt;3,COUNTIF(B$49:B$89,MAX(B$50:B$89))+COUNTIF(B$49:B53,MAX(B$50:B$89)-1)+1,""),IF(B54=1,IF(COUNTIF(B$49:B53,3)+COUNTIF(B$49:B$89,2)+COUNTIF(B$49:B53,1)&lt;3,COUNTIF(B$49:B$89,2)+COUNTIF(B$49:B$89,3)+COUNTIF(B$49:B53,1)+1,""),""))))</f>
        <v/>
      </c>
      <c r="F54" s="494" t="str">
        <f>IF(G54&lt;&gt;"",IF(COUNTIF(AG$3:AG$1082,G54)&gt;0,0,MAX(F$37:F53)+1),"")</f>
        <v/>
      </c>
      <c r="G54" s="470" t="str">
        <f>IF(COUNT('Antal &amp; Längder (vikter)'!$R$11:$R$27)&gt;0,IF(G53=$G$37,IF(COUNTIF($G$37:$H53,'Antal &amp; Längder (vikter)'!$O27)=0,'Antal &amp; Längder (vikter)'!$O27,""),$G$37),"")</f>
        <v/>
      </c>
      <c r="H54" s="321" t="str">
        <f>IF(COUNT('Antal &amp; Längder (vikter)'!$R$11:$R$27)&gt;0,IF(H53=$G$37,IF(COUNTIF($G$37:$H53,'Antal &amp; Längder (vikter)'!$O27)=0,'Antal &amp; Längder (vikter)'!$O27,""),$G$37),"")</f>
        <v/>
      </c>
      <c r="K54" s="203" t="s">
        <v>582</v>
      </c>
      <c r="L54" s="493" t="str">
        <f>$N54</f>
        <v>STÄM</v>
      </c>
      <c r="M54" s="486" t="str">
        <f>IF(AND(COUNTIF('Antal &amp; Längder (vikter)'!$B$10:$T$141,N54)&gt;0,U54&lt;&gt;""),RANK(U54,U$2:U$60,1),IF(AND(Prot.Datum&lt;&gt;"",ProtokollLkoordX&lt;&gt;"",ProtokollLkoordY&lt;&gt;"",AND($N54="INGEN FÅNGST",SUM('Antal &amp; Längder (vikter)'!$R$11:$T$27)=0),SUM($AH$3:$AH$1082)=0),1,""))</f>
        <v/>
      </c>
      <c r="N54" s="1" t="s">
        <v>639</v>
      </c>
      <c r="O54" s="21" t="s">
        <v>639</v>
      </c>
      <c r="P54" s="99"/>
      <c r="Q54" s="533">
        <f t="shared" si="3"/>
        <v>0</v>
      </c>
      <c r="R54" s="534">
        <f>IF(ROUND(ROW()/2,0)=INT(ROW()/2),DSUM('Antal &amp; Längder (vikter)'!$O$10:$T$27,'Antal &amp; Längder (vikter)'!$R$10,L53:L54)+DSUM('Antal &amp; Längder (vikter)'!$O$10:$T$27,'Antal &amp; Längder (vikter)'!$S$10,L53:L54)+DSUM('Antal &amp; Längder (vikter)'!$O$10:$T$27,'Antal &amp; Längder (vikter)'!$T$10,L53:L54),DSUM('Antal &amp; Längder (vikter)'!$O$10:$T$27,'Antal &amp; Längder (vikter)'!$R$10,K53:K54)+DSUM('Antal &amp; Längder (vikter)'!$O$10:$T$27,'Antal &amp; Längder (vikter)'!$S$10,K53:K54)+DSUM('Antal &amp; Längder (vikter)'!$O$10:$T$27,'Antal &amp; Längder (vikter)'!$T$10,K53:K54))</f>
        <v>0</v>
      </c>
      <c r="S54" s="535" t="str">
        <f>IF(AND(COUNTIF('Antal &amp; Längder (vikter)'!$B$10:$M$141,N54)+COUNTIF('Antal &amp; Längder (vikter)'!$P$11:$P$27,N54)&gt;0,SUM(Q54:R54)&gt;0),SUM(Q54:R54)+1000*IF(P54&lt;&gt;"",P54,0),"")</f>
        <v/>
      </c>
      <c r="T54" s="536" t="str">
        <f>IF(S54&lt;&gt;"",IF(AND(COUNTIF('Antal &amp; Längder (vikter)'!$B$10:$M$141,N54)+COUNTIF('Antal &amp; Längder (vikter)'!$P$11:$P$27,N54)&gt;0,COUNTIF(S$1:S53,S54)&gt;0),COUNTIF(S$1:S53,S54),0)+RANK(S54,S$2:S$60,0),"")</f>
        <v/>
      </c>
      <c r="U54" s="536" t="str">
        <f>IF(AND(COUNTIF('Antal &amp; Längder (vikter)'!$B$10:$M$141,N54)&gt;0,T54&lt;&gt;"",COUNTIF(T$2:T$60,T54)&gt;1),COUNTIF(T$1:T53,T54)+T54,IF(COUNTIF('Antal &amp; Längder (vikter)'!$B$10:$M$141,N54)+COUNTIF('Antal &amp; Längder (vikter)'!$P$11:$P$27,N54)&gt;0,T54,""))</f>
        <v/>
      </c>
      <c r="V54" s="1">
        <v>0.4</v>
      </c>
      <c r="W54" s="21">
        <v>1.4</v>
      </c>
      <c r="X54" s="119"/>
      <c r="Y54" s="401" t="s">
        <v>2374</v>
      </c>
      <c r="Z54" s="401" t="s">
        <v>2375</v>
      </c>
      <c r="AB54" s="476" t="str">
        <f>IF(COUNT(AB53:AB53)&gt;0,MAX(AB53:AB53)+1,"")</f>
        <v/>
      </c>
      <c r="AC54" s="433" t="str">
        <f>IF(AND(AH54&lt;&gt;"",AG54&lt;&gt;"",AI54&gt;0,AH54&gt;0),MAX(AC$2:AC53)+1,"XX")</f>
        <v>XX</v>
      </c>
      <c r="AD54" s="428" t="str">
        <f>IF('Antal &amp; Längder (vikter)'!$C$8&lt;&gt;"",'Antal &amp; Längder (vikter)'!$C$8,"XX")</f>
        <v>XX</v>
      </c>
      <c r="AE54" s="405" t="str">
        <f>IF(AND('Antal &amp; Längder (vikter)'!F$10&lt;&gt;"",ISNUMBER($AH54)),'Antal &amp; Längder (vikter)'!F$10,"")</f>
        <v/>
      </c>
      <c r="AF54" s="425" t="str">
        <f t="shared" si="1"/>
        <v/>
      </c>
      <c r="AG54" s="426" t="str">
        <f t="shared" si="2"/>
        <v/>
      </c>
      <c r="AH54" s="409" t="str">
        <f>IF('Antal &amp; Längder (vikter)'!G$11="Längd (mm)",IF('Antal &amp; Längder (vikter)'!G13&lt;&gt;"",'Antal &amp; Längder (vikter)'!G13,"XX"),"XX")</f>
        <v>XX</v>
      </c>
      <c r="AI54" s="7">
        <v>-9</v>
      </c>
    </row>
    <row r="55" spans="1:35" hidden="1" x14ac:dyDescent="0.25">
      <c r="A55" s="105" t="s">
        <v>846</v>
      </c>
      <c r="B55" s="368" t="str">
        <f>IF(Protokoll!S65&lt;&gt;"",Protokoll!S65,"")</f>
        <v/>
      </c>
      <c r="C55" s="1" t="s">
        <v>832</v>
      </c>
      <c r="D55" s="370" t="str">
        <f>IF(B55="X",IF(COUNTIF(B$49:B54,"X")+COUNT(B$50:B$89)&lt;3,COUNT(B$50:B$89)+COUNTIF(B$49:B54,"X")+1,""),IF(AND(B55&lt;&gt;"",B55=MAX(B$50:B$89)),IF(COUNTIF(B$49:B54,MAX(B$50:B$89))&gt;0,IF(COUNTIF(B$49:B54,MAX(B$50:B$89))&lt;3,COUNTIF(B$49:B54,MAX(B$50:B$89))+1,""),1),IF(AND(B55&gt;=1,B55=MAX(B$50:B$89)-1),IF(COUNTIF(B$49:B54,MAX(B$50:B$89))+COUNTIF(B$49:B54,MAX(B$50:B$89)-1)&lt;3,COUNTIF(B$49:B$89,MAX(B$50:B$89))+COUNTIF(B$49:B54,MAX(B$50:B$89)-1)+1,""),IF(B55=1,IF(COUNTIF(B$49:B54,3)+COUNTIF(B$49:B$89,2)+COUNTIF(B$49:B54,1)&lt;3,COUNTIF(B$49:B$89,2)+COUNTIF(B$49:B$89,3)+COUNTIF(B$49:B54,1)+1,""),""))))</f>
        <v/>
      </c>
      <c r="K55" s="493" t="str">
        <f>$N55</f>
        <v>SUTARE</v>
      </c>
      <c r="L55" s="203" t="s">
        <v>582</v>
      </c>
      <c r="M55" s="486" t="str">
        <f>IF(AND(COUNTIF('Antal &amp; Längder (vikter)'!$B$10:$T$141,N55)&gt;0,U55&lt;&gt;""),RANK(U55,U$2:U$60,1),IF(AND(Prot.Datum&lt;&gt;"",ProtokollLkoordX&lt;&gt;"",ProtokollLkoordY&lt;&gt;"",AND($N55="INGEN FÅNGST",SUM('Antal &amp; Längder (vikter)'!$R$11:$T$27)=0),SUM($AH$3:$AH$1082)=0),1,""))</f>
        <v/>
      </c>
      <c r="N55" s="1" t="s">
        <v>608</v>
      </c>
      <c r="O55" s="21" t="s">
        <v>607</v>
      </c>
      <c r="P55" s="99"/>
      <c r="Q55" s="533">
        <f t="shared" si="3"/>
        <v>0</v>
      </c>
      <c r="R55" s="534">
        <f>IF(ROUND(ROW()/2,0)=INT(ROW()/2),DSUM('Antal &amp; Längder (vikter)'!$O$10:$T$27,'Antal &amp; Längder (vikter)'!$R$10,L54:L55)+DSUM('Antal &amp; Längder (vikter)'!$O$10:$T$27,'Antal &amp; Längder (vikter)'!$S$10,L54:L55)+DSUM('Antal &amp; Längder (vikter)'!$O$10:$T$27,'Antal &amp; Längder (vikter)'!$T$10,L54:L55),DSUM('Antal &amp; Längder (vikter)'!$O$10:$T$27,'Antal &amp; Längder (vikter)'!$R$10,K54:K55)+DSUM('Antal &amp; Längder (vikter)'!$O$10:$T$27,'Antal &amp; Längder (vikter)'!$S$10,K54:K55)+DSUM('Antal &amp; Längder (vikter)'!$O$10:$T$27,'Antal &amp; Längder (vikter)'!$T$10,K54:K55))</f>
        <v>0</v>
      </c>
      <c r="S55" s="535" t="str">
        <f>IF(AND(COUNTIF('Antal &amp; Längder (vikter)'!$B$10:$M$141,N55)+COUNTIF('Antal &amp; Längder (vikter)'!$P$11:$P$27,N55)&gt;0,SUM(Q55:R55)&gt;0),SUM(Q55:R55)+1000*IF(P55&lt;&gt;"",P55,0),"")</f>
        <v/>
      </c>
      <c r="T55" s="536" t="str">
        <f>IF(S55&lt;&gt;"",IF(AND(COUNTIF('Antal &amp; Längder (vikter)'!$B$10:$M$141,N55)+COUNTIF('Antal &amp; Längder (vikter)'!$P$11:$P$27,N55)&gt;0,COUNTIF(S$1:S54,S55)&gt;0),COUNTIF(S$1:S54,S55),0)+RANK(S55,S$2:S$60,0),"")</f>
        <v/>
      </c>
      <c r="U55" s="536" t="str">
        <f>IF(AND(COUNTIF('Antal &amp; Längder (vikter)'!$B$10:$M$141,N55)&gt;0,T55&lt;&gt;"",COUNTIF(T$2:T$60,T55)&gt;1),COUNTIF(T$1:T54,T55)+T55,IF(COUNTIF('Antal &amp; Längder (vikter)'!$B$10:$M$141,N55)+COUNTIF('Antal &amp; Längder (vikter)'!$P$11:$P$27,N55)&gt;0,T55,""))</f>
        <v/>
      </c>
      <c r="V55" s="1">
        <v>0.6</v>
      </c>
      <c r="W55" s="21">
        <v>2</v>
      </c>
      <c r="X55" s="119"/>
      <c r="Y55" s="401" t="s">
        <v>1565</v>
      </c>
      <c r="Z55" s="401" t="s">
        <v>1566</v>
      </c>
      <c r="AB55" s="477" t="str">
        <f>IF(COUNT(AB53:AB54)&gt;0,MAX(AB53:AB54)+1,"")</f>
        <v/>
      </c>
      <c r="AC55" s="433" t="str">
        <f>IF(AND(AH55&lt;&gt;"",AG55&lt;&gt;"",AI55&gt;0,AH55&gt;0),MAX(AC$2:AC54)+1,"XX")</f>
        <v>XX</v>
      </c>
      <c r="AD55" s="428" t="str">
        <f>IF('Antal &amp; Längder (vikter)'!$C$8&lt;&gt;"",'Antal &amp; Längder (vikter)'!$C$8,"XX")</f>
        <v>XX</v>
      </c>
      <c r="AE55" s="405" t="str">
        <f>IF(AND('Antal &amp; Längder (vikter)'!F$10&lt;&gt;"",ISNUMBER($AH55)),'Antal &amp; Längder (vikter)'!F$10,"")</f>
        <v/>
      </c>
      <c r="AF55" s="425" t="str">
        <f t="shared" si="1"/>
        <v/>
      </c>
      <c r="AG55" s="426" t="str">
        <f t="shared" si="2"/>
        <v/>
      </c>
      <c r="AH55" s="409" t="str">
        <f>IF('Antal &amp; Längder (vikter)'!G$11="Längd (mm)",IF('Antal &amp; Längder (vikter)'!G14&lt;&gt;"",'Antal &amp; Längder (vikter)'!G14,"XX"),"XX")</f>
        <v>XX</v>
      </c>
      <c r="AI55" s="7">
        <v>-9</v>
      </c>
    </row>
    <row r="56" spans="1:35" hidden="1" x14ac:dyDescent="0.25">
      <c r="A56" s="105" t="s">
        <v>812</v>
      </c>
      <c r="B56" s="368" t="str">
        <f>IF(Protokoll!S63&lt;&gt;"",Protokoll!S63,"")</f>
        <v/>
      </c>
      <c r="C56" s="1" t="s">
        <v>866</v>
      </c>
      <c r="D56" s="370" t="str">
        <f>IF(B56="X",IF(COUNTIF(B$49:B55,"X")+COUNT(B$50:B$89)&lt;3,COUNT(B$50:B$89)+COUNTIF(B$49:B55,"X")+1,""),IF(AND(B56&lt;&gt;"",B56=MAX(B$50:B$89)),IF(COUNTIF(B$49:B55,MAX(B$50:B$89))&gt;0,IF(COUNTIF(B$49:B55,MAX(B$50:B$89))&lt;3,COUNTIF(B$49:B55,MAX(B$50:B$89))+1,""),1),IF(AND(B56&gt;=1,B56=MAX(B$50:B$89)-1),IF(COUNTIF(B$49:B55,MAX(B$50:B$89))+COUNTIF(B$49:B55,MAX(B$50:B$89)-1)&lt;3,COUNTIF(B$49:B$89,MAX(B$50:B$89))+COUNTIF(B$49:B55,MAX(B$50:B$89)-1)+1,""),IF(B56=1,IF(COUNTIF(B$49:B55,3)+COUNTIF(B$49:B$89,2)+COUNTIF(B$49:B55,1)&lt;3,COUNTIF(B$49:B$89,2)+COUNTIF(B$49:B$89,3)+COUNTIF(B$49:B55,1)+1,""),""))))</f>
        <v/>
      </c>
      <c r="K56" s="203" t="s">
        <v>582</v>
      </c>
      <c r="L56" s="493" t="str">
        <f>$N56</f>
        <v>VIMMA</v>
      </c>
      <c r="M56" s="486" t="str">
        <f>IF(AND(COUNTIF('Antal &amp; Längder (vikter)'!$B$10:$T$141,N56)&gt;0,U56&lt;&gt;""),RANK(U56,U$2:U$60,1),IF(AND(Prot.Datum&lt;&gt;"",ProtokollLkoordX&lt;&gt;"",ProtokollLkoordY&lt;&gt;"",AND($N56="INGEN FÅNGST",SUM('Antal &amp; Längder (vikter)'!$R$11:$T$27)=0),SUM($AH$3:$AH$1082)=0),1,""))</f>
        <v/>
      </c>
      <c r="N56" s="1" t="s">
        <v>640</v>
      </c>
      <c r="O56" s="21" t="s">
        <v>640</v>
      </c>
      <c r="P56" s="99"/>
      <c r="Q56" s="533">
        <f t="shared" si="3"/>
        <v>0</v>
      </c>
      <c r="R56" s="534">
        <f>IF(ROUND(ROW()/2,0)=INT(ROW()/2),DSUM('Antal &amp; Längder (vikter)'!$O$10:$T$27,'Antal &amp; Längder (vikter)'!$R$10,L55:L56)+DSUM('Antal &amp; Längder (vikter)'!$O$10:$T$27,'Antal &amp; Längder (vikter)'!$S$10,L55:L56)+DSUM('Antal &amp; Längder (vikter)'!$O$10:$T$27,'Antal &amp; Längder (vikter)'!$T$10,L55:L56),DSUM('Antal &amp; Längder (vikter)'!$O$10:$T$27,'Antal &amp; Längder (vikter)'!$R$10,K55:K56)+DSUM('Antal &amp; Längder (vikter)'!$O$10:$T$27,'Antal &amp; Längder (vikter)'!$S$10,K55:K56)+DSUM('Antal &amp; Längder (vikter)'!$O$10:$T$27,'Antal &amp; Längder (vikter)'!$T$10,K55:K56))</f>
        <v>0</v>
      </c>
      <c r="S56" s="535" t="str">
        <f>IF(AND(COUNTIF('Antal &amp; Längder (vikter)'!$B$10:$M$141,N56)+COUNTIF('Antal &amp; Längder (vikter)'!$P$11:$P$27,N56)&gt;0,SUM(Q56:R56)&gt;0),SUM(Q56:R56)+1000*IF(P56&lt;&gt;"",P56,0),"")</f>
        <v/>
      </c>
      <c r="T56" s="536" t="str">
        <f>IF(S56&lt;&gt;"",IF(AND(COUNTIF('Antal &amp; Längder (vikter)'!$B$10:$M$141,N56)+COUNTIF('Antal &amp; Längder (vikter)'!$P$11:$P$27,N56)&gt;0,COUNTIF(S$1:S55,S56)&gt;0),COUNTIF(S$1:S55,S56),0)+RANK(S56,S$2:S$60,0),"")</f>
        <v/>
      </c>
      <c r="U56" s="536" t="str">
        <f>IF(AND(COUNTIF('Antal &amp; Längder (vikter)'!$B$10:$M$141,N56)&gt;0,T56&lt;&gt;"",COUNTIF(T$2:T$60,T56)&gt;1),COUNTIF(T$1:T55,T56)+T56,IF(COUNTIF('Antal &amp; Längder (vikter)'!$B$10:$M$141,N56)+COUNTIF('Antal &amp; Längder (vikter)'!$P$11:$P$27,N56)&gt;0,T56,""))</f>
        <v/>
      </c>
      <c r="V56" s="1">
        <v>0.6</v>
      </c>
      <c r="W56" s="21">
        <v>1.6</v>
      </c>
      <c r="X56" s="119"/>
      <c r="Y56" s="401" t="s">
        <v>1569</v>
      </c>
      <c r="Z56" s="401" t="s">
        <v>1570</v>
      </c>
      <c r="AB56" s="434" t="str">
        <f>IF(COUNT(AB53:AB55)&gt;0,MAX(AB53:AB55)+1,"")</f>
        <v/>
      </c>
      <c r="AC56" s="433" t="str">
        <f>IF(AND(AH56&lt;&gt;"",AG56&lt;&gt;"",AI56&gt;0,AH56&gt;0),MAX(AC$2:AC55)+1,"XX")</f>
        <v>XX</v>
      </c>
      <c r="AD56" s="428" t="str">
        <f>IF('Antal &amp; Längder (vikter)'!$C$8&lt;&gt;"",'Antal &amp; Längder (vikter)'!$C$8,"XX")</f>
        <v>XX</v>
      </c>
      <c r="AE56" s="405" t="str">
        <f>IF(AND('Antal &amp; Längder (vikter)'!F$10&lt;&gt;"",ISNUMBER($AH56)),'Antal &amp; Längder (vikter)'!F$10,"")</f>
        <v/>
      </c>
      <c r="AF56" s="425" t="str">
        <f t="shared" si="1"/>
        <v/>
      </c>
      <c r="AG56" s="426" t="str">
        <f t="shared" si="2"/>
        <v/>
      </c>
      <c r="AH56" s="409" t="str">
        <f>IF('Antal &amp; Längder (vikter)'!G$11="Längd (mm)",IF('Antal &amp; Längder (vikter)'!G15&lt;&gt;"",'Antal &amp; Längder (vikter)'!G15,"XX"),"XX")</f>
        <v>XX</v>
      </c>
      <c r="AI56" s="7">
        <v>-9</v>
      </c>
    </row>
    <row r="57" spans="1:35" hidden="1" x14ac:dyDescent="0.25">
      <c r="A57" s="105" t="s">
        <v>804</v>
      </c>
      <c r="B57" s="368" t="str">
        <f>IF(Protokoll!S64&lt;&gt;"",Protokoll!S64,"")</f>
        <v/>
      </c>
      <c r="C57" s="1" t="s">
        <v>789</v>
      </c>
      <c r="D57" s="370" t="str">
        <f>IF(B57="X",IF(COUNTIF(B$49:B56,"X")+COUNT(B$50:B$89)&lt;3,COUNT(B$50:B$89)+COUNTIF(B$49:B56,"X")+1,""),IF(AND(B57&lt;&gt;"",B57=MAX(B$50:B$89)),IF(COUNTIF(B$49:B56,MAX(B$50:B$89))&gt;0,IF(COUNTIF(B$49:B56,MAX(B$50:B$89))&lt;3,COUNTIF(B$49:B56,MAX(B$50:B$89))+1,""),1),IF(AND(B57&gt;=1,B57=MAX(B$50:B$89)-1),IF(COUNTIF(B$49:B56,MAX(B$50:B$89))+COUNTIF(B$49:B56,MAX(B$50:B$89)-1)&lt;3,COUNTIF(B$49:B$89,MAX(B$50:B$89))+COUNTIF(B$49:B56,MAX(B$50:B$89)-1)+1,""),IF(B57=1,IF(COUNTIF(B$49:B56,3)+COUNTIF(B$49:B$89,2)+COUNTIF(B$49:B56,1)&lt;3,COUNTIF(B$49:B$89,2)+COUNTIF(B$49:B$89,3)+COUNTIF(B$49:B56,1)+1,""),""))))</f>
        <v/>
      </c>
      <c r="K57" s="493" t="str">
        <f>$N57</f>
        <v>ÅL</v>
      </c>
      <c r="L57" s="203" t="s">
        <v>582</v>
      </c>
      <c r="M57" s="486" t="str">
        <f>IF(AND(COUNTIF('Antal &amp; Längder (vikter)'!$B$10:$T$141,N57)&gt;0,U57&lt;&gt;""),RANK(U57,U$2:U$60,1),IF(AND(Prot.Datum&lt;&gt;"",ProtokollLkoordX&lt;&gt;"",ProtokollLkoordY&lt;&gt;"",AND($N57="INGEN FÅNGST",SUM('Antal &amp; Längder (vikter)'!$R$11:$T$27)=0),SUM($AH$3:$AH$1082)=0),1,""))</f>
        <v/>
      </c>
      <c r="N57" s="1" t="s">
        <v>580</v>
      </c>
      <c r="O57" s="21" t="s">
        <v>580</v>
      </c>
      <c r="P57" s="99"/>
      <c r="Q57" s="533">
        <f t="shared" si="3"/>
        <v>0</v>
      </c>
      <c r="R57" s="534">
        <f>IF(ROUND(ROW()/2,0)=INT(ROW()/2),DSUM('Antal &amp; Längder (vikter)'!$O$10:$T$27,'Antal &amp; Längder (vikter)'!$R$10,L56:L57)+DSUM('Antal &amp; Längder (vikter)'!$O$10:$T$27,'Antal &amp; Längder (vikter)'!$S$10,L56:L57)+DSUM('Antal &amp; Längder (vikter)'!$O$10:$T$27,'Antal &amp; Längder (vikter)'!$T$10,L56:L57),DSUM('Antal &amp; Längder (vikter)'!$O$10:$T$27,'Antal &amp; Längder (vikter)'!$R$10,K56:K57)+DSUM('Antal &amp; Längder (vikter)'!$O$10:$T$27,'Antal &amp; Längder (vikter)'!$S$10,K56:K57)+DSUM('Antal &amp; Längder (vikter)'!$O$10:$T$27,'Antal &amp; Längder (vikter)'!$T$10,K56:K57))</f>
        <v>0</v>
      </c>
      <c r="S57" s="535" t="str">
        <f>IF(AND(COUNTIF('Antal &amp; Längder (vikter)'!$B$10:$M$141,N57)+COUNTIF('Antal &amp; Längder (vikter)'!$P$11:$P$27,N57)&gt;0,SUM(Q57:R57)&gt;0),SUM(Q57:R57)+1000*IF(P57&lt;&gt;"",P57,0),"")</f>
        <v/>
      </c>
      <c r="T57" s="536" t="str">
        <f>IF(S57&lt;&gt;"",IF(AND(COUNTIF('Antal &amp; Längder (vikter)'!$B$10:$M$141,N57)+COUNTIF('Antal &amp; Längder (vikter)'!$P$11:$P$27,N57)&gt;0,COUNTIF(S$1:S56,S57)&gt;0),COUNTIF(S$1:S56,S57),0)+RANK(S57,S$2:S$60,0),"")</f>
        <v/>
      </c>
      <c r="U57" s="536" t="str">
        <f>IF(AND(COUNTIF('Antal &amp; Längder (vikter)'!$B$10:$M$141,N57)&gt;0,T57&lt;&gt;"",COUNTIF(T$2:T$60,T57)&gt;1),COUNTIF(T$1:T56,T57)+T57,IF(COUNTIF('Antal &amp; Längder (vikter)'!$B$10:$M$141,N57)+COUNTIF('Antal &amp; Längder (vikter)'!$P$11:$P$27,N57)&gt;0,T57,""))</f>
        <v/>
      </c>
      <c r="V57" s="1">
        <v>0.05</v>
      </c>
      <c r="W57" s="21">
        <v>0.3</v>
      </c>
      <c r="X57" s="119"/>
      <c r="Y57" s="401" t="s">
        <v>1897</v>
      </c>
      <c r="Z57" s="401" t="s">
        <v>1898</v>
      </c>
      <c r="AB57" s="475" t="str">
        <f>IF(COUNT(AB53:AB56)&gt;0,MAX(AB53:AB56)+1,"")</f>
        <v/>
      </c>
      <c r="AC57" s="433" t="str">
        <f>IF(AND(AH57&lt;&gt;"",AG57&lt;&gt;"",AI57&gt;0,AH57&gt;0),MAX(AC$2:AC56)+1,"XX")</f>
        <v>XX</v>
      </c>
      <c r="AD57" s="428" t="str">
        <f>IF('Antal &amp; Längder (vikter)'!$C$8&lt;&gt;"",'Antal &amp; Längder (vikter)'!$C$8,"XX")</f>
        <v>XX</v>
      </c>
      <c r="AE57" s="405" t="str">
        <f>IF(AND('Antal &amp; Längder (vikter)'!F$10&lt;&gt;"",ISNUMBER($AH57)),'Antal &amp; Längder (vikter)'!F$10,"")</f>
        <v/>
      </c>
      <c r="AF57" s="425" t="str">
        <f t="shared" si="1"/>
        <v/>
      </c>
      <c r="AG57" s="426" t="str">
        <f t="shared" si="2"/>
        <v/>
      </c>
      <c r="AH57" s="409" t="str">
        <f>IF('Antal &amp; Längder (vikter)'!G$11="Längd (mm)",IF('Antal &amp; Längder (vikter)'!G16&lt;&gt;"",'Antal &amp; Längder (vikter)'!G16,"XX"),"XX")</f>
        <v>XX</v>
      </c>
      <c r="AI57" s="7">
        <v>-9</v>
      </c>
    </row>
    <row r="58" spans="1:35" hidden="1" x14ac:dyDescent="0.25">
      <c r="A58" s="105" t="s">
        <v>810</v>
      </c>
      <c r="B58" s="368" t="str">
        <f>IF(Protokoll!P65&lt;&gt;"",Protokoll!P65,"")</f>
        <v/>
      </c>
      <c r="C58" s="1" t="s">
        <v>830</v>
      </c>
      <c r="D58" s="370" t="str">
        <f>IF(B58="X",IF(COUNTIF(B$49:B57,"X")+COUNT(B$50:B$89)&lt;3,COUNT(B$50:B$89)+COUNTIF(B$49:B57,"X")+1,""),IF(AND(B58&lt;&gt;"",B58=MAX(B$50:B$89)),IF(COUNTIF(B$49:B57,MAX(B$50:B$89))&gt;0,IF(COUNTIF(B$49:B57,MAX(B$50:B$89))&lt;3,COUNTIF(B$49:B57,MAX(B$50:B$89))+1,""),1),IF(AND(B58&gt;=1,B58=MAX(B$50:B$89)-1),IF(COUNTIF(B$49:B57,MAX(B$50:B$89))+COUNTIF(B$49:B57,MAX(B$50:B$89)-1)&lt;3,COUNTIF(B$49:B$89,MAX(B$50:B$89))+COUNTIF(B$49:B57,MAX(B$50:B$89)-1)+1,""),IF(B58=1,IF(COUNTIF(B$49:B57,3)+COUNTIF(B$49:B$89,2)+COUNTIF(B$49:B57,1)&lt;3,COUNTIF(B$49:B$89,2)+COUNTIF(B$49:B$89,3)+COUNTIF(B$49:B57,1)+1,""),""))))</f>
        <v/>
      </c>
      <c r="F58" s="501" t="s">
        <v>2520</v>
      </c>
      <c r="K58" s="203" t="s">
        <v>582</v>
      </c>
      <c r="L58" s="493" t="str">
        <f>$N58</f>
        <v>ÖRING</v>
      </c>
      <c r="M58" s="486" t="str">
        <f>IF(AND(COUNTIF('Antal &amp; Längder (vikter)'!$B$10:$T$141,N58)&gt;0,U58&lt;&gt;""),RANK(U58,U$2:U$60,1),IF(AND(Prot.Datum&lt;&gt;"",ProtokollLkoordX&lt;&gt;"",ProtokollLkoordY&lt;&gt;"",AND($N58="INGEN FÅNGST",SUM('Antal &amp; Längder (vikter)'!$R$11:$T$27)=0),SUM($AH$3:$AH$1082)=0),1,""))</f>
        <v/>
      </c>
      <c r="N58" t="s">
        <v>561</v>
      </c>
      <c r="O58" s="21" t="s">
        <v>561</v>
      </c>
      <c r="P58" s="537">
        <v>10</v>
      </c>
      <c r="Q58" s="533">
        <f t="shared" si="3"/>
        <v>0</v>
      </c>
      <c r="R58" s="534">
        <f>IF(ROUND(ROW()/2,0)=INT(ROW()/2),DSUM('Antal &amp; Längder (vikter)'!$O$10:$T$27,'Antal &amp; Längder (vikter)'!$R$10,L57:L58)+DSUM('Antal &amp; Längder (vikter)'!$O$10:$T$27,'Antal &amp; Längder (vikter)'!$S$10,L57:L58)+DSUM('Antal &amp; Längder (vikter)'!$O$10:$T$27,'Antal &amp; Längder (vikter)'!$T$10,L57:L58),DSUM('Antal &amp; Längder (vikter)'!$O$10:$T$27,'Antal &amp; Längder (vikter)'!$R$10,K57:K58)+DSUM('Antal &amp; Längder (vikter)'!$O$10:$T$27,'Antal &amp; Längder (vikter)'!$S$10,K57:K58)+DSUM('Antal &amp; Längder (vikter)'!$O$10:$T$27,'Antal &amp; Längder (vikter)'!$T$10,K57:K58))</f>
        <v>0</v>
      </c>
      <c r="S58" s="535" t="str">
        <f>IF(AND(COUNTIF('Antal &amp; Längder (vikter)'!$B$10:$M$141,N58)+COUNTIF('Antal &amp; Längder (vikter)'!$P$11:$P$27,N58)&gt;0,SUM(Q58:R58)&gt;0),SUM(Q58:R58)+1000*IF(P58&lt;&gt;"",P58,0),"")</f>
        <v/>
      </c>
      <c r="T58" s="536" t="str">
        <f>IF(S58&lt;&gt;"",IF(AND(COUNTIF('Antal &amp; Längder (vikter)'!$B$10:$M$141,N58)+COUNTIF('Antal &amp; Längder (vikter)'!$P$11:$P$27,N58)&gt;0,COUNTIF(S$1:S57,S58)&gt;0),COUNTIF(S$1:S57,S58),0)+RANK(S58,S$2:S$60,0),"")</f>
        <v/>
      </c>
      <c r="U58" s="536" t="str">
        <f>IF(AND(COUNTIF('Antal &amp; Längder (vikter)'!$B$10:$M$141,N58)&gt;0,T58&lt;&gt;"",COUNTIF(T$2:T$60,T58)&gt;1),COUNTIF(T$1:T57,T58)+T58,IF(COUNTIF('Antal &amp; Längder (vikter)'!$B$10:$M$141,N58)+COUNTIF('Antal &amp; Längder (vikter)'!$P$11:$P$27,N58)&gt;0,T58,""))</f>
        <v/>
      </c>
      <c r="V58" s="1">
        <v>0.6</v>
      </c>
      <c r="W58" s="21">
        <v>1.6</v>
      </c>
      <c r="X58" s="119"/>
      <c r="Y58" s="401" t="s">
        <v>2165</v>
      </c>
      <c r="Z58" s="401" t="s">
        <v>2166</v>
      </c>
      <c r="AB58" s="471" t="str">
        <f>IF(COUNT(AB53:AB57)&gt;0,MAX(AB53:AB57)+1,"")</f>
        <v/>
      </c>
      <c r="AC58" s="433" t="str">
        <f>IF(AND(AH58&lt;&gt;"",AG58&lt;&gt;"",AI58&gt;0,AH58&gt;0),MAX(AC$2:AC57)+1,"XX")</f>
        <v>XX</v>
      </c>
      <c r="AD58" s="428" t="str">
        <f>IF('Antal &amp; Längder (vikter)'!$C$8&lt;&gt;"",'Antal &amp; Längder (vikter)'!$C$8,"XX")</f>
        <v>XX</v>
      </c>
      <c r="AE58" s="405" t="str">
        <f>IF(AND('Antal &amp; Längder (vikter)'!F$10&lt;&gt;"",ISNUMBER($AH58)),'Antal &amp; Längder (vikter)'!F$10,"")</f>
        <v/>
      </c>
      <c r="AF58" s="425" t="str">
        <f t="shared" si="1"/>
        <v/>
      </c>
      <c r="AG58" s="426" t="str">
        <f t="shared" si="2"/>
        <v/>
      </c>
      <c r="AH58" s="409" t="str">
        <f>IF('Antal &amp; Längder (vikter)'!G$11="Längd (mm)",IF('Antal &amp; Längder (vikter)'!G17&lt;&gt;"",'Antal &amp; Längder (vikter)'!G17,"XX"),"XX")</f>
        <v>XX</v>
      </c>
      <c r="AI58" s="7">
        <v>-9</v>
      </c>
    </row>
    <row r="59" spans="1:35" hidden="1" x14ac:dyDescent="0.25">
      <c r="A59" s="105" t="s">
        <v>847</v>
      </c>
      <c r="B59" s="368">
        <f>IF(Protokoll!W66&lt;&gt;"",Protokoll!W66,"")</f>
        <v>3</v>
      </c>
      <c r="C59" s="1" t="s">
        <v>831</v>
      </c>
      <c r="D59" s="370">
        <f>IF(B59="X",IF(COUNTIF(B$49:B58,"X")+COUNT(B$50:B$89)&lt;3,COUNT(B$50:B$89)+COUNTIF(B$49:B58,"X")+1,""),IF(AND(B59&lt;&gt;"",B59=MAX(B$50:B$89)),IF(COUNTIF(B$49:B58,MAX(B$50:B$89))&gt;0,IF(COUNTIF(B$49:B58,MAX(B$50:B$89))&lt;3,COUNTIF(B$49:B58,MAX(B$50:B$89))+1,""),1),IF(AND(B59&gt;=1,B59=MAX(B$50:B$89)-1),IF(COUNTIF(B$49:B58,MAX(B$50:B$89))+COUNTIF(B$49:B58,MAX(B$50:B$89)-1)&lt;3,COUNTIF(B$49:B$89,MAX(B$50:B$89))+COUNTIF(B$49:B58,MAX(B$50:B$89)-1)+1,""),IF(B59=1,IF(COUNTIF(B$49:B58,3)+COUNTIF(B$49:B$89,2)+COUNTIF(B$49:B58,1)&lt;3,COUNTIF(B$49:B$89,2)+COUNTIF(B$49:B$89,3)+COUNTIF(B$49:B58,1)+1,""),""))))</f>
        <v>1</v>
      </c>
      <c r="F59" s="576" t="s">
        <v>81</v>
      </c>
      <c r="H59" s="20"/>
      <c r="J59"/>
      <c r="K59" s="493">
        <f>$N59</f>
        <v>0</v>
      </c>
      <c r="L59" s="203" t="s">
        <v>582</v>
      </c>
      <c r="M59" s="486" t="str">
        <f>IF(AND(COUNTIF('Antal &amp; Längder (vikter)'!$B$10:$T$141,N59)&gt;0,U59&lt;&gt;""),RANK(U59,U$2:U$60,1),IF(AND(Prot.Datum&lt;&gt;"",ProtokollLkoordX&lt;&gt;"",ProtokollLkoordY&lt;&gt;"",AND($N59="INGEN FÅNGST",SUM('Antal &amp; Längder (vikter)'!$R$11:$T$27)=0),SUM($AH$3:$AH$1082)=0),1,""))</f>
        <v/>
      </c>
      <c r="N59" s="544"/>
      <c r="O59" s="545"/>
      <c r="P59" s="546"/>
      <c r="Q59" s="533">
        <f t="shared" si="3"/>
        <v>0</v>
      </c>
      <c r="R59" s="534">
        <f>IF(ROUND(ROW()/2,0)=INT(ROW()/2),DSUM('Antal &amp; Längder (vikter)'!$O$10:$T$27,'Antal &amp; Längder (vikter)'!$R$10,L58:L59)+DSUM('Antal &amp; Längder (vikter)'!$O$10:$T$27,'Antal &amp; Längder (vikter)'!$S$10,L58:L59)+DSUM('Antal &amp; Längder (vikter)'!$O$10:$T$27,'Antal &amp; Längder (vikter)'!$T$10,L58:L59),DSUM('Antal &amp; Längder (vikter)'!$O$10:$T$27,'Antal &amp; Längder (vikter)'!$R$10,K58:K59)+DSUM('Antal &amp; Längder (vikter)'!$O$10:$T$27,'Antal &amp; Längder (vikter)'!$S$10,K58:K59)+DSUM('Antal &amp; Längder (vikter)'!$O$10:$T$27,'Antal &amp; Längder (vikter)'!$T$10,K58:K59))</f>
        <v>0</v>
      </c>
      <c r="S59" s="535" t="str">
        <f>IF(AND(COUNTIF('Antal &amp; Längder (vikter)'!$B$10:$M$141,N59)+COUNTIF('Antal &amp; Längder (vikter)'!$P$11:$P$27,N59)&gt;0,SUM(Q59:R59)&gt;0),SUM(Q59:R59)+1000*IF(P59&lt;&gt;"",P59,0),"")</f>
        <v/>
      </c>
      <c r="T59" s="536" t="str">
        <f>IF(S59&lt;&gt;"",IF(AND(COUNTIF('Antal &amp; Längder (vikter)'!$B$10:$M$141,N59)+COUNTIF('Antal &amp; Längder (vikter)'!$P$11:$P$27,N59)&gt;0,COUNTIF(S$1:S58,S59)&gt;0),COUNTIF(S$1:S58,S59),0)+RANK(S59,S$2:S$60,0),"")</f>
        <v/>
      </c>
      <c r="U59" s="536" t="str">
        <f>IF(AND(COUNTIF('Antal &amp; Längder (vikter)'!$B$10:$M$141,N59)&gt;0,T59&lt;&gt;"",COUNTIF(T$2:T$60,T59)&gt;1),COUNTIF(T$1:T58,T59)+T59,IF(COUNTIF('Antal &amp; Längder (vikter)'!$B$10:$M$141,N59)+COUNTIF('Antal &amp; Längder (vikter)'!$P$11:$P$27,N59)&gt;0,T59,""))</f>
        <v/>
      </c>
      <c r="V59" s="1">
        <v>0.6</v>
      </c>
      <c r="W59" s="21">
        <v>1.6</v>
      </c>
      <c r="X59" s="119"/>
      <c r="Y59" s="401" t="s">
        <v>1571</v>
      </c>
      <c r="Z59" s="401" t="s">
        <v>1572</v>
      </c>
      <c r="AB59" s="474" t="str">
        <f>IF(COUNT(AB53:AB58)&gt;0,MAX(AB53:AB58)+1,"")</f>
        <v/>
      </c>
      <c r="AC59" s="433" t="str">
        <f>IF(AND(AH59&lt;&gt;"",AG59&lt;&gt;"",AI59&gt;0,AH59&gt;0),MAX(AC$2:AC58)+1,"XX")</f>
        <v>XX</v>
      </c>
      <c r="AD59" s="428" t="str">
        <f>IF('Antal &amp; Längder (vikter)'!$C$8&lt;&gt;"",'Antal &amp; Längder (vikter)'!$C$8,"XX")</f>
        <v>XX</v>
      </c>
      <c r="AE59" s="405" t="str">
        <f>IF(AND('Antal &amp; Längder (vikter)'!F$10&lt;&gt;"",ISNUMBER($AH59)),'Antal &amp; Längder (vikter)'!F$10,"")</f>
        <v/>
      </c>
      <c r="AF59" s="425" t="str">
        <f t="shared" si="1"/>
        <v/>
      </c>
      <c r="AG59" s="426" t="str">
        <f t="shared" si="2"/>
        <v/>
      </c>
      <c r="AH59" s="409" t="str">
        <f>IF('Antal &amp; Längder (vikter)'!G$11="Längd (mm)",IF('Antal &amp; Längder (vikter)'!G18&lt;&gt;"",'Antal &amp; Längder (vikter)'!G18,"XX"),"XX")</f>
        <v>XX</v>
      </c>
      <c r="AI59" s="7">
        <v>-9</v>
      </c>
    </row>
    <row r="60" spans="1:35" hidden="1" x14ac:dyDescent="0.25">
      <c r="A60" s="105" t="s">
        <v>807</v>
      </c>
      <c r="B60" s="368" t="str">
        <f>IF(Protokoll!M65&lt;&gt;"",Protokoll!M65,"")</f>
        <v/>
      </c>
      <c r="C60" s="1" t="s">
        <v>775</v>
      </c>
      <c r="D60" s="370" t="str">
        <f>IF(B60="X",IF(COUNTIF(B$49:B59,"X")+COUNT(B$50:B$89)&lt;3,COUNT(B$50:B$89)+COUNTIF(B$49:B59,"X")+1,""),IF(AND(B60&lt;&gt;"",B60=MAX(B$50:B$89)),IF(COUNTIF(B$49:B59,MAX(B$50:B$89))&gt;0,IF(COUNTIF(B$49:B59,MAX(B$50:B$89))&lt;3,COUNTIF(B$49:B59,MAX(B$50:B$89))+1,""),1),IF(AND(B60&gt;=1,B60=MAX(B$50:B$89)-1),IF(COUNTIF(B$49:B59,MAX(B$50:B$89))+COUNTIF(B$49:B59,MAX(B$50:B$89)-1)&lt;3,COUNTIF(B$49:B$89,MAX(B$50:B$89))+COUNTIF(B$49:B59,MAX(B$50:B$89)-1)+1,""),IF(B60=1,IF(COUNTIF(B$49:B59,3)+COUNTIF(B$49:B$89,2)+COUNTIF(B$49:B59,1)&lt;3,COUNTIF(B$49:B$89,2)+COUNTIF(B$49:B$89,3)+COUNTIF(B$49:B59,1)+1,""),""))))</f>
        <v/>
      </c>
      <c r="F60" s="577" t="s">
        <v>82</v>
      </c>
      <c r="I60" s="143"/>
      <c r="J60" s="2"/>
      <c r="K60" s="203" t="s">
        <v>582</v>
      </c>
      <c r="L60" s="493">
        <f>$N60</f>
        <v>0</v>
      </c>
      <c r="M60" s="486" t="str">
        <f>IF(AND(COUNTIF('Antal &amp; Längder (vikter)'!$B$10:$T$141,N60)&gt;0,U60&lt;&gt;""),RANK(U60,U$2:U$60,1),IF(AND(Prot.Datum&lt;&gt;"",ProtokollLkoordX&lt;&gt;"",ProtokollLkoordY&lt;&gt;"",AND($N60="INGEN FÅNGST",SUM('Antal &amp; Längder (vikter)'!$R$11:$T$27)=0),SUM($AH$3:$AH$1082)=0),1,""))</f>
        <v/>
      </c>
      <c r="N60" s="547"/>
      <c r="O60" s="548"/>
      <c r="P60" s="549"/>
      <c r="Q60" s="540">
        <f t="shared" si="3"/>
        <v>0</v>
      </c>
      <c r="R60" s="541">
        <f>IF(ROUND(ROW()/2,0)=INT(ROW()/2),DSUM('Antal &amp; Längder (vikter)'!$O$10:$T$27,'Antal &amp; Längder (vikter)'!$R$10,L59:L60)+DSUM('Antal &amp; Längder (vikter)'!$O$10:$T$27,'Antal &amp; Längder (vikter)'!$S$10,L59:L60)+DSUM('Antal &amp; Längder (vikter)'!$O$10:$T$27,'Antal &amp; Längder (vikter)'!$T$10,L59:L60),DSUM('Antal &amp; Längder (vikter)'!$O$10:$T$27,'Antal &amp; Längder (vikter)'!$R$10,K59:K60)+DSUM('Antal &amp; Längder (vikter)'!$O$10:$T$27,'Antal &amp; Längder (vikter)'!$S$10,K59:K60)+DSUM('Antal &amp; Längder (vikter)'!$O$10:$T$27,'Antal &amp; Längder (vikter)'!$T$10,K59:K60))</f>
        <v>0</v>
      </c>
      <c r="S60" s="542" t="str">
        <f>IF(AND(COUNTIF('Antal &amp; Längder (vikter)'!$B$10:$M$141,N60)+COUNTIF('Antal &amp; Längder (vikter)'!$P$11:$P$27,N60)&gt;0,SUM(Q60:R60)&gt;0),SUM(Q60:R60)+1000*IF(P60&lt;&gt;"",P60,0),"")</f>
        <v/>
      </c>
      <c r="T60" s="543" t="str">
        <f>IF(S60&lt;&gt;"",IF(AND(COUNTIF('Antal &amp; Längder (vikter)'!$B$10:$M$141,N60)+COUNTIF('Antal &amp; Längder (vikter)'!$P$11:$P$27,N60)&gt;0,COUNTIF(S$1:S59,S60)&gt;0),COUNTIF(S$1:S59,S60),0)+RANK(S60,S$2:S$60,0),"")</f>
        <v/>
      </c>
      <c r="U60" s="543" t="str">
        <f>IF(AND(COUNTIF('Antal &amp; Längder (vikter)'!$B$10:$M$141,N60)&gt;0,T60&lt;&gt;"",COUNTIF(T$2:T$60,T60)&gt;1),COUNTIF(T$1:T59,T60)+T60,IF(COUNTIF('Antal &amp; Längder (vikter)'!$B$10:$M$141,N60)+COUNTIF('Antal &amp; Längder (vikter)'!$P$11:$P$27,N60)&gt;0,T60,""))</f>
        <v/>
      </c>
      <c r="V60" s="102">
        <v>0.6</v>
      </c>
      <c r="W60" s="4">
        <v>1.6</v>
      </c>
      <c r="X60" s="119"/>
      <c r="Y60" s="401" t="s">
        <v>1575</v>
      </c>
      <c r="Z60" s="401" t="s">
        <v>1576</v>
      </c>
      <c r="AB60" s="478" t="str">
        <f>IF(COUNT(AB53:AB59)&gt;0,MAX(AB53:AB59)+1,"")</f>
        <v/>
      </c>
      <c r="AC60" s="433" t="str">
        <f>IF(AND(AH60&lt;&gt;"",AG60&lt;&gt;"",AI60&gt;0,AH60&gt;0),MAX(AC$2:AC59)+1,"XX")</f>
        <v>XX</v>
      </c>
      <c r="AD60" s="428" t="str">
        <f>IF('Antal &amp; Längder (vikter)'!$C$8&lt;&gt;"",'Antal &amp; Längder (vikter)'!$C$8,"XX")</f>
        <v>XX</v>
      </c>
      <c r="AE60" s="405" t="str">
        <f>IF(AND('Antal &amp; Längder (vikter)'!F$10&lt;&gt;"",ISNUMBER($AH60)),'Antal &amp; Längder (vikter)'!F$10,"")</f>
        <v/>
      </c>
      <c r="AF60" s="425" t="str">
        <f t="shared" si="1"/>
        <v/>
      </c>
      <c r="AG60" s="426" t="str">
        <f t="shared" si="2"/>
        <v/>
      </c>
      <c r="AH60" s="409" t="str">
        <f>IF('Antal &amp; Längder (vikter)'!G$11="Längd (mm)",IF('Antal &amp; Längder (vikter)'!G19&lt;&gt;"",'Antal &amp; Längder (vikter)'!G19,"XX"),"XX")</f>
        <v>XX</v>
      </c>
      <c r="AI60" s="7">
        <v>-9</v>
      </c>
    </row>
    <row r="61" spans="1:35" hidden="1" x14ac:dyDescent="0.25">
      <c r="A61" s="105" t="s">
        <v>848</v>
      </c>
      <c r="B61" s="368" t="str">
        <f>IF(Protokoll!S66&lt;&gt;"",Protokoll!S66,"")</f>
        <v/>
      </c>
      <c r="C61" s="1" t="s">
        <v>829</v>
      </c>
      <c r="D61" s="370" t="str">
        <f>IF(B61="X",IF(COUNTIF(B$49:B60,"X")+COUNT(B$50:B$89)&lt;3,COUNT(B$50:B$89)+COUNTIF(B$49:B60,"X")+1,""),IF(AND(B61&lt;&gt;"",B61=MAX(B$50:B$89)),IF(COUNTIF(B$49:B60,MAX(B$50:B$89))&gt;0,IF(COUNTIF(B$49:B60,MAX(B$50:B$89))&lt;3,COUNTIF(B$49:B60,MAX(B$50:B$89))+1,""),1),IF(AND(B61&gt;=1,B61=MAX(B$50:B$89)-1),IF(COUNTIF(B$49:B60,MAX(B$50:B$89))+COUNTIF(B$49:B60,MAX(B$50:B$89)-1)&lt;3,COUNTIF(B$49:B$89,MAX(B$50:B$89))+COUNTIF(B$49:B60,MAX(B$50:B$89)-1)+1,""),IF(B61=1,IF(COUNTIF(B$49:B60,3)+COUNTIF(B$49:B$89,2)+COUNTIF(B$49:B60,1)&lt;3,COUNTIF(B$49:B$89,2)+COUNTIF(B$49:B$89,3)+COUNTIF(B$49:B60,1)+1,""),""))))</f>
        <v/>
      </c>
      <c r="F61" s="577" t="s">
        <v>2518</v>
      </c>
      <c r="I61" s="143"/>
      <c r="J61" s="143"/>
      <c r="K61" s="143"/>
      <c r="L61" s="143"/>
      <c r="P61" s="203"/>
      <c r="Q61" s="203"/>
      <c r="R61" s="203"/>
      <c r="S61" s="203"/>
      <c r="Y61" s="401" t="s">
        <v>2376</v>
      </c>
      <c r="Z61" s="401" t="s">
        <v>2377</v>
      </c>
      <c r="AB61" s="472" t="str">
        <f>IF(COUNT(AB53:AB60)&gt;0,MAX(AB53:AB60)+1,"")</f>
        <v/>
      </c>
      <c r="AC61" s="433" t="str">
        <f>IF(AND(AH61&lt;&gt;"",AG61&lt;&gt;"",AI61&gt;0,AH61&gt;0),MAX(AC$2:AC60)+1,"XX")</f>
        <v>XX</v>
      </c>
      <c r="AD61" s="428" t="str">
        <f>IF('Antal &amp; Längder (vikter)'!$C$8&lt;&gt;"",'Antal &amp; Längder (vikter)'!$C$8,"XX")</f>
        <v>XX</v>
      </c>
      <c r="AE61" s="405" t="str">
        <f>IF(AND('Antal &amp; Längder (vikter)'!F$10&lt;&gt;"",ISNUMBER($AH61)),'Antal &amp; Längder (vikter)'!F$10,"")</f>
        <v/>
      </c>
      <c r="AF61" s="425" t="str">
        <f t="shared" si="1"/>
        <v/>
      </c>
      <c r="AG61" s="426" t="str">
        <f t="shared" si="2"/>
        <v/>
      </c>
      <c r="AH61" s="409" t="str">
        <f>IF('Antal &amp; Längder (vikter)'!G$11="Längd (mm)",IF('Antal &amp; Längder (vikter)'!G20&lt;&gt;"",'Antal &amp; Längder (vikter)'!G20,"XX"),"XX")</f>
        <v>XX</v>
      </c>
      <c r="AI61" s="7">
        <v>-9</v>
      </c>
    </row>
    <row r="62" spans="1:35" hidden="1" x14ac:dyDescent="0.25">
      <c r="A62" s="105" t="s">
        <v>849</v>
      </c>
      <c r="B62" s="368" t="str">
        <f>IF(Protokoll!P66&lt;&gt;"",Protokoll!P66,"")</f>
        <v/>
      </c>
      <c r="C62" s="1" t="s">
        <v>792</v>
      </c>
      <c r="D62" s="370" t="str">
        <f>IF(B62="X",IF(COUNTIF(B$49:B61,"X")+COUNT(B$50:B$89)&lt;3,COUNT(B$50:B$89)+COUNTIF(B$49:B61,"X")+1,""),IF(AND(B62&lt;&gt;"",B62=MAX(B$50:B$89)),IF(COUNTIF(B$49:B61,MAX(B$50:B$89))&gt;0,IF(COUNTIF(B$49:B61,MAX(B$50:B$89))&lt;3,COUNTIF(B$49:B61,MAX(B$50:B$89))+1,""),1),IF(AND(B62&gt;=1,B62=MAX(B$50:B$89)-1),IF(COUNTIF(B$49:B61,MAX(B$50:B$89))+COUNTIF(B$49:B61,MAX(B$50:B$89)-1)&lt;3,COUNTIF(B$49:B$89,MAX(B$50:B$89))+COUNTIF(B$49:B61,MAX(B$50:B$89)-1)+1,""),IF(B62=1,IF(COUNTIF(B$49:B61,3)+COUNTIF(B$49:B$89,2)+COUNTIF(B$49:B61,1)&lt;3,COUNTIF(B$49:B$89,2)+COUNTIF(B$49:B$89,3)+COUNTIF(B$49:B61,1)+1,""),""))))</f>
        <v/>
      </c>
      <c r="F62" s="578"/>
      <c r="I62" s="220" t="str">
        <f>$J$113</f>
        <v>LN_NAMN</v>
      </c>
      <c r="J62" s="220" t="str">
        <f>$I$113</f>
        <v>LAN</v>
      </c>
      <c r="L62" s="204"/>
      <c r="M62"/>
      <c r="N62" s="6" t="s">
        <v>9</v>
      </c>
      <c r="O62" s="6" t="s">
        <v>10</v>
      </c>
      <c r="Q62" s="203"/>
      <c r="R62" s="203"/>
      <c r="S62" s="203"/>
      <c r="Y62" s="401" t="s">
        <v>1741</v>
      </c>
      <c r="Z62" s="401" t="s">
        <v>1742</v>
      </c>
      <c r="AB62" s="479" t="str">
        <f>IF(COUNT(AB53:AB61)&gt;0,MAX(AB53:AB61)+1,"")</f>
        <v/>
      </c>
      <c r="AC62" s="433" t="str">
        <f>IF(AND(AH62&lt;&gt;"",AG62&lt;&gt;"",AI62&gt;0,AH62&gt;0),MAX(AC$2:AC61)+1,"XX")</f>
        <v>XX</v>
      </c>
      <c r="AD62" s="428" t="str">
        <f>IF('Antal &amp; Längder (vikter)'!$C$8&lt;&gt;"",'Antal &amp; Längder (vikter)'!$C$8,"XX")</f>
        <v>XX</v>
      </c>
      <c r="AE62" s="405" t="str">
        <f>IF(AND('Antal &amp; Längder (vikter)'!F$10&lt;&gt;"",ISNUMBER($AH62)),'Antal &amp; Längder (vikter)'!F$10,"")</f>
        <v/>
      </c>
      <c r="AF62" s="425" t="str">
        <f t="shared" si="1"/>
        <v/>
      </c>
      <c r="AG62" s="426" t="str">
        <f t="shared" si="2"/>
        <v/>
      </c>
      <c r="AH62" s="409" t="str">
        <f>IF('Antal &amp; Längder (vikter)'!G$11="Längd (mm)",IF('Antal &amp; Längder (vikter)'!G21&lt;&gt;"",'Antal &amp; Längder (vikter)'!G21,"XX"),"XX")</f>
        <v>XX</v>
      </c>
      <c r="AI62" s="7">
        <v>-9</v>
      </c>
    </row>
    <row r="63" spans="1:35" hidden="1" x14ac:dyDescent="0.25">
      <c r="A63" s="105" t="s">
        <v>850</v>
      </c>
      <c r="B63" s="368" t="str">
        <f>IF(Protokoll!E63&lt;&gt;"",Protokoll!E63,"")</f>
        <v/>
      </c>
      <c r="C63" s="1" t="s">
        <v>768</v>
      </c>
      <c r="D63" s="370" t="str">
        <f>IF(B63="X",IF(COUNTIF(B$49:B62,"X")+COUNT(B$50:B$89)&lt;3,COUNT(B$50:B$89)+COUNTIF(B$49:B62,"X")+1,""),IF(AND(B63&lt;&gt;"",B63=MAX(B$50:B$89)),IF(COUNTIF(B$49:B62,MAX(B$50:B$89))&gt;0,IF(COUNTIF(B$49:B62,MAX(B$50:B$89))&lt;3,COUNTIF(B$49:B62,MAX(B$50:B$89))+1,""),1),IF(AND(B63&gt;=1,B63=MAX(B$50:B$89)-1),IF(COUNTIF(B$49:B62,MAX(B$50:B$89))+COUNTIF(B$49:B62,MAX(B$50:B$89)-1)&lt;3,COUNTIF(B$49:B$89,MAX(B$50:B$89))+COUNTIF(B$49:B62,MAX(B$50:B$89)-1)+1,""),IF(B63=1,IF(COUNTIF(B$49:B62,3)+COUNTIF(B$49:B$89,2)+COUNTIF(B$49:B62,1)&lt;3,COUNTIF(B$49:B$89,2)+COUNTIF(B$49:B$89,3)+COUNTIF(B$49:B62,1)+1,""),""))))</f>
        <v/>
      </c>
      <c r="I63" t="s">
        <v>110</v>
      </c>
      <c r="J63" s="145">
        <v>10</v>
      </c>
      <c r="M63" s="210" t="s">
        <v>0</v>
      </c>
      <c r="N63" s="210" t="s">
        <v>7</v>
      </c>
      <c r="O63" s="210" t="s">
        <v>8</v>
      </c>
      <c r="Q63" s="6" t="s">
        <v>2331</v>
      </c>
      <c r="T63" s="6" t="s">
        <v>998</v>
      </c>
      <c r="U63" s="6"/>
      <c r="V63" s="6"/>
      <c r="Y63" s="401" t="s">
        <v>2134</v>
      </c>
      <c r="Z63" s="401" t="s">
        <v>2135</v>
      </c>
      <c r="AB63" s="480" t="str">
        <f>IF(AND(ISNUMBER(AH63),AH63&gt;0),IF(MAX(AB$3:AB62)&gt;0,MAX(AB$3:AB62)+1,10+COUNTIF(F$38:F$49,"&gt;0")*10+1),"")</f>
        <v/>
      </c>
      <c r="AC63" s="433" t="str">
        <f>IF(AND(AH63&lt;&gt;"",AG63&lt;&gt;"",AI63&gt;0,AH63&gt;0),MAX(AC$2:AC62)+1,"XX")</f>
        <v>XX</v>
      </c>
      <c r="AD63" s="428" t="str">
        <f>IF('Antal &amp; Längder (vikter)'!$C$8&lt;&gt;"",'Antal &amp; Längder (vikter)'!$C$8,"XX")</f>
        <v>XX</v>
      </c>
      <c r="AE63" s="407" t="str">
        <f>IF(AND('Antal &amp; Längder (vikter)'!H$10&lt;&gt;"",ISNUMBER($AH63)),'Antal &amp; Längder (vikter)'!H$10,"")</f>
        <v/>
      </c>
      <c r="AF63" s="425" t="str">
        <f t="shared" si="1"/>
        <v/>
      </c>
      <c r="AG63" s="426" t="str">
        <f t="shared" si="2"/>
        <v/>
      </c>
      <c r="AH63" s="407" t="str">
        <f>IF('Antal &amp; Längder (vikter)'!H12&lt;&gt;"",'Antal &amp; Längder (vikter)'!H12,"XX")</f>
        <v>XX</v>
      </c>
      <c r="AI63" s="436">
        <f>IF('Antal &amp; Längder (vikter)'!I$11="Vikt (g)",'Antal &amp; Längder (vikter)'!I12,-9)</f>
        <v>-9</v>
      </c>
    </row>
    <row r="64" spans="1:35" hidden="1" x14ac:dyDescent="0.25">
      <c r="A64" s="105" t="s">
        <v>779</v>
      </c>
      <c r="B64" s="368" t="str">
        <f>IF(Protokoll!AA63&lt;&gt;"",Protokoll!AA63,"")</f>
        <v/>
      </c>
      <c r="C64" s="1" t="s">
        <v>797</v>
      </c>
      <c r="D64" s="370" t="str">
        <f>IF(B64="X",IF(COUNTIF(B$49:B63,"X")+COUNT(B$50:B$89)&lt;3,COUNT(B$50:B$89)+COUNTIF(B$49:B63,"X")+1,""),IF(AND(B64&lt;&gt;"",B64=MAX(B$50:B$89)),IF(COUNTIF(B$49:B63,MAX(B$50:B$89))&gt;0,IF(COUNTIF(B$49:B63,MAX(B$50:B$89))&lt;3,COUNTIF(B$49:B63,MAX(B$50:B$89))+1,""),1),IF(AND(B64&gt;=1,B64=MAX(B$50:B$89)-1),IF(COUNTIF(B$49:B63,MAX(B$50:B$89))+COUNTIF(B$49:B63,MAX(B$50:B$89)-1)&lt;3,COUNTIF(B$49:B$89,MAX(B$50:B$89))+COUNTIF(B$49:B63,MAX(B$50:B$89)-1)+1,""),IF(B64=1,IF(COUNTIF(B$49:B63,3)+COUNTIF(B$49:B$89,2)+COUNTIF(B$49:B63,1)&lt;3,COUNTIF(B$49:B$89,2)+COUNTIF(B$49:B$89,3)+COUNTIF(B$49:B63,1)+1,""),""))))</f>
        <v/>
      </c>
      <c r="I64" t="s">
        <v>112</v>
      </c>
      <c r="J64" s="145">
        <v>20</v>
      </c>
      <c r="L64" s="204"/>
      <c r="M64" s="319" t="str">
        <f>IF(Protokoll!AI38&lt;&gt;"",Protokoll!AI38,"")</f>
        <v/>
      </c>
      <c r="N64" s="199" t="str">
        <f>IF(AND(Protokoll!$AB$38&lt;&gt;"",Protokoll!$AB$38=$M64),"",$M64)</f>
        <v/>
      </c>
      <c r="O64" s="199" t="str">
        <f>IF(AND(Protokoll!$R$38&lt;&gt;"",Protokoll!$R$38=$M64),"",$M64)</f>
        <v/>
      </c>
      <c r="Q64" s="495"/>
      <c r="T64" s="210" t="s">
        <v>1020</v>
      </c>
      <c r="U64" s="210" t="s">
        <v>1020</v>
      </c>
      <c r="V64" s="210" t="s">
        <v>1019</v>
      </c>
      <c r="Y64" s="401" t="s">
        <v>1605</v>
      </c>
      <c r="Z64" s="401" t="s">
        <v>1606</v>
      </c>
      <c r="AB64" s="476" t="str">
        <f>IF(COUNT(AB63:AB63)&gt;0,MAX(AB63:AB63)+1,"")</f>
        <v/>
      </c>
      <c r="AC64" s="433" t="str">
        <f>IF(AND(AH64&lt;&gt;"",AG64&lt;&gt;"",AI64&gt;0,AH64&gt;0),MAX(AC$2:AC63)+1,"XX")</f>
        <v>XX</v>
      </c>
      <c r="AD64" s="428" t="str">
        <f>IF('Antal &amp; Längder (vikter)'!$C$8&lt;&gt;"",'Antal &amp; Längder (vikter)'!$C$8,"XX")</f>
        <v>XX</v>
      </c>
      <c r="AE64" s="407" t="str">
        <f>IF(AND('Antal &amp; Längder (vikter)'!H$10&lt;&gt;"",ISNUMBER($AH64)),'Antal &amp; Längder (vikter)'!H$10,"")</f>
        <v/>
      </c>
      <c r="AF64" s="425" t="str">
        <f t="shared" si="1"/>
        <v/>
      </c>
      <c r="AG64" s="426" t="str">
        <f t="shared" si="2"/>
        <v/>
      </c>
      <c r="AH64" s="407" t="str">
        <f>IF('Antal &amp; Längder (vikter)'!H13&lt;&gt;"",'Antal &amp; Längder (vikter)'!H13,"XX")</f>
        <v>XX</v>
      </c>
      <c r="AI64" s="436">
        <f>IF('Antal &amp; Längder (vikter)'!I$11="Vikt (g)",'Antal &amp; Längder (vikter)'!I13,-9)</f>
        <v>-9</v>
      </c>
    </row>
    <row r="65" spans="1:35" hidden="1" x14ac:dyDescent="0.25">
      <c r="A65" s="105" t="s">
        <v>803</v>
      </c>
      <c r="B65" s="368" t="str">
        <f>IF(Protokoll!M66&lt;&gt;"",Protokoll!M66,"")</f>
        <v/>
      </c>
      <c r="C65" s="1" t="s">
        <v>826</v>
      </c>
      <c r="D65" s="370" t="str">
        <f>IF(B65="X",IF(COUNTIF(B$49:B64,"X")+COUNT(B$50:B$89)&lt;3,COUNT(B$50:B$89)+COUNTIF(B$49:B64,"X")+1,""),IF(AND(B65&lt;&gt;"",B65=MAX(B$50:B$89)),IF(COUNTIF(B$49:B64,MAX(B$50:B$89))&gt;0,IF(COUNTIF(B$49:B64,MAX(B$50:B$89))&lt;3,COUNTIF(B$49:B64,MAX(B$50:B$89))+1,""),1),IF(AND(B65&gt;=1,B65=MAX(B$50:B$89)-1),IF(COUNTIF(B$49:B64,MAX(B$50:B$89))+COUNTIF(B$49:B64,MAX(B$50:B$89)-1)&lt;3,COUNTIF(B$49:B$89,MAX(B$50:B$89))+COUNTIF(B$49:B64,MAX(B$50:B$89)-1)+1,""),IF(B65=1,IF(COUNTIF(B$49:B64,3)+COUNTIF(B$49:B$89,2)+COUNTIF(B$49:B64,1)&lt;3,COUNTIF(B$49:B$89,2)+COUNTIF(B$49:B$89,3)+COUNTIF(B$49:B64,1)+1,""),""))))</f>
        <v/>
      </c>
      <c r="I65" t="s">
        <v>115</v>
      </c>
      <c r="J65" s="145">
        <v>9</v>
      </c>
      <c r="L65" s="204"/>
      <c r="M65" t="s">
        <v>1</v>
      </c>
      <c r="N65" s="199" t="str">
        <f>IF(AND(Protokoll!$AB$38&lt;&gt;"",Protokoll!$AB$38=$M65),"",$M65)</f>
        <v>Al</v>
      </c>
      <c r="O65" s="199" t="str">
        <f>IF(AND(Protokoll!$R$38&lt;&gt;"",Protokoll!$R$38=$M65),"",$M65)</f>
        <v/>
      </c>
      <c r="Q65" s="372" t="s">
        <v>2341</v>
      </c>
      <c r="T65" s="359" t="str">
        <f>IF(Protokoll!$X$5&lt;&gt;"",IF(COUNTIF(U65:U526,Protokoll!$X$5)=1,Protokoll!$X$5,U65),IF(Lokalbeskrivn!$M$4&lt;&gt;"",IF(COUNTIF(U65:U526,Lokalbeskrivn!$M$4)=1,Lokalbeskrivn!$M$4,U65),U65))</f>
        <v>103/104 Kustområde</v>
      </c>
      <c r="U65" s="330" t="s">
        <v>1022</v>
      </c>
      <c r="V65" s="360" t="s">
        <v>1021</v>
      </c>
      <c r="W65" s="2"/>
      <c r="Y65" s="401" t="s">
        <v>1583</v>
      </c>
      <c r="Z65" s="401" t="s">
        <v>1584</v>
      </c>
      <c r="AB65" s="477" t="str">
        <f>IF(COUNT(AB63:AB64)&gt;0,MAX(AB63:AB64)+1,"")</f>
        <v/>
      </c>
      <c r="AC65" s="433" t="str">
        <f>IF(AND(AH65&lt;&gt;"",AG65&lt;&gt;"",AI65&gt;0,AH65&gt;0),MAX(AC$2:AC64)+1,"XX")</f>
        <v>XX</v>
      </c>
      <c r="AD65" s="428" t="str">
        <f>IF('Antal &amp; Längder (vikter)'!$C$8&lt;&gt;"",'Antal &amp; Längder (vikter)'!$C$8,"XX")</f>
        <v>XX</v>
      </c>
      <c r="AE65" s="407" t="str">
        <f>IF(AND('Antal &amp; Längder (vikter)'!H$10&lt;&gt;"",ISNUMBER($AH65)),'Antal &amp; Längder (vikter)'!H$10,"")</f>
        <v/>
      </c>
      <c r="AF65" s="425" t="str">
        <f t="shared" si="1"/>
        <v/>
      </c>
      <c r="AG65" s="426" t="str">
        <f t="shared" si="2"/>
        <v/>
      </c>
      <c r="AH65" s="407" t="str">
        <f>IF('Antal &amp; Längder (vikter)'!H14&lt;&gt;"",'Antal &amp; Längder (vikter)'!H14,"XX")</f>
        <v>XX</v>
      </c>
      <c r="AI65" s="436">
        <f>IF('Antal &amp; Längder (vikter)'!I$11="Vikt (g)",'Antal &amp; Längder (vikter)'!I14,-9)</f>
        <v>-9</v>
      </c>
    </row>
    <row r="66" spans="1:35" hidden="1" x14ac:dyDescent="0.25">
      <c r="A66" s="105" t="s">
        <v>805</v>
      </c>
      <c r="B66" s="368" t="str">
        <f>IF(Protokoll!W65&lt;&gt;"",Protokoll!W65,"")</f>
        <v/>
      </c>
      <c r="C66" s="1" t="s">
        <v>791</v>
      </c>
      <c r="D66" s="370" t="str">
        <f>IF(B66="X",IF(COUNTIF(B$49:B65,"X")+COUNT(B$50:B$89)&lt;3,COUNT(B$50:B$89)+COUNTIF(B$49:B65,"X")+1,""),IF(AND(B66&lt;&gt;"",B66=MAX(B$50:B$89)),IF(COUNTIF(B$49:B65,MAX(B$50:B$89))&gt;0,IF(COUNTIF(B$49:B65,MAX(B$50:B$89))&lt;3,COUNTIF(B$49:B65,MAX(B$50:B$89))+1,""),1),IF(AND(B66&gt;=1,B66=MAX(B$50:B$89)-1),IF(COUNTIF(B$49:B65,MAX(B$50:B$89))+COUNTIF(B$49:B65,MAX(B$50:B$89)-1)&lt;3,COUNTIF(B$49:B$89,MAX(B$50:B$89))+COUNTIF(B$49:B65,MAX(B$50:B$89)-1)+1,""),IF(B66=1,IF(COUNTIF(B$49:B65,3)+COUNTIF(B$49:B$89,2)+COUNTIF(B$49:B65,1)&lt;3,COUNTIF(B$49:B$89,2)+COUNTIF(B$49:B$89,3)+COUNTIF(B$49:B65,1)+1,""),""))))</f>
        <v/>
      </c>
      <c r="I66" t="s">
        <v>117</v>
      </c>
      <c r="J66" s="145">
        <v>21</v>
      </c>
      <c r="L66" s="204"/>
      <c r="M66" t="s">
        <v>1442</v>
      </c>
      <c r="N66" s="199" t="str">
        <f>IF(AND(Protokoll!$AB$38&lt;&gt;"",Protokoll!$AB$38=$M66),"",$M66)</f>
        <v>Alm</v>
      </c>
      <c r="O66" s="199" t="str">
        <f>IF(AND(Protokoll!$R$38&lt;&gt;"",Protokoll!$R$38=$M66),"",$M66)</f>
        <v>Alm</v>
      </c>
      <c r="Q66" s="372" t="s">
        <v>2339</v>
      </c>
      <c r="T66" s="331" t="str">
        <f>IF(OR(Protokoll!$X$5&lt;&gt;"",Lokalbeskrivn!$M$4&lt;&gt;""),"",U66)</f>
        <v/>
      </c>
      <c r="U66" s="330" t="s">
        <v>1024</v>
      </c>
      <c r="V66" s="351" t="s">
        <v>1023</v>
      </c>
      <c r="W66" s="2"/>
      <c r="Y66" s="401" t="s">
        <v>1591</v>
      </c>
      <c r="Z66" s="401" t="s">
        <v>1592</v>
      </c>
      <c r="AB66" s="434" t="str">
        <f>IF(COUNT(AB63:AB65)&gt;0,MAX(AB63:AB65)+1,"")</f>
        <v/>
      </c>
      <c r="AC66" s="433" t="str">
        <f>IF(AND(AH66&lt;&gt;"",AG66&lt;&gt;"",AI66&gt;0,AH66&gt;0),MAX(AC$2:AC65)+1,"XX")</f>
        <v>XX</v>
      </c>
      <c r="AD66" s="428" t="str">
        <f>IF('Antal &amp; Längder (vikter)'!$C$8&lt;&gt;"",'Antal &amp; Längder (vikter)'!$C$8,"XX")</f>
        <v>XX</v>
      </c>
      <c r="AE66" s="407" t="str">
        <f>IF(AND('Antal &amp; Längder (vikter)'!H$10&lt;&gt;"",ISNUMBER($AH66)),'Antal &amp; Längder (vikter)'!H$10,"")</f>
        <v/>
      </c>
      <c r="AF66" s="425" t="str">
        <f t="shared" si="1"/>
        <v/>
      </c>
      <c r="AG66" s="426" t="str">
        <f t="shared" si="2"/>
        <v/>
      </c>
      <c r="AH66" s="407" t="str">
        <f>IF('Antal &amp; Längder (vikter)'!H15&lt;&gt;"",'Antal &amp; Längder (vikter)'!H15,"XX")</f>
        <v>XX</v>
      </c>
      <c r="AI66" s="436">
        <f>IF('Antal &amp; Längder (vikter)'!I$11="Vikt (g)",'Antal &amp; Längder (vikter)'!I15,-9)</f>
        <v>-9</v>
      </c>
    </row>
    <row r="67" spans="1:35" hidden="1" x14ac:dyDescent="0.25">
      <c r="A67" s="105" t="s">
        <v>777</v>
      </c>
      <c r="B67" s="368" t="str">
        <f>IF(Protokoll!S67&lt;&gt;"",Protokoll!S67,"")</f>
        <v/>
      </c>
      <c r="C67" s="1" t="s">
        <v>793</v>
      </c>
      <c r="D67" s="370" t="str">
        <f>IF(B67="X",IF(COUNTIF(B$49:B66,"X")+COUNT(B$50:B$89)&lt;3,COUNT(B$50:B$89)+COUNTIF(B$49:B66,"X")+1,""),IF(AND(B67&lt;&gt;"",B67=MAX(B$50:B$89)),IF(COUNTIF(B$49:B66,MAX(B$50:B$89))&gt;0,IF(COUNTIF(B$49:B66,MAX(B$50:B$89))&lt;3,COUNTIF(B$49:B66,MAX(B$50:B$89))+1,""),1),IF(AND(B67&gt;=1,B67=MAX(B$50:B$89)-1),IF(COUNTIF(B$49:B66,MAX(B$50:B$89))+COUNTIF(B$49:B66,MAX(B$50:B$89)-1)&lt;3,COUNTIF(B$49:B$89,MAX(B$50:B$89))+COUNTIF(B$49:B66,MAX(B$50:B$89)-1)+1,""),IF(B67=1,IF(COUNTIF(B$49:B66,3)+COUNTIF(B$49:B$89,2)+COUNTIF(B$49:B66,1)&lt;3,COUNTIF(B$49:B$89,2)+COUNTIF(B$49:B$89,3)+COUNTIF(B$49:B66,1)+1,""),""))))</f>
        <v/>
      </c>
      <c r="I67" t="s">
        <v>120</v>
      </c>
      <c r="J67" s="145">
        <v>13</v>
      </c>
      <c r="L67" s="204"/>
      <c r="M67" t="s">
        <v>1443</v>
      </c>
      <c r="N67" s="199" t="str">
        <f>IF(AND(Protokoll!$AB$38&lt;&gt;"",Protokoll!$AB$38=$M67),"",$M67)</f>
        <v>Ask</v>
      </c>
      <c r="O67" s="199" t="str">
        <f>IF(AND(Protokoll!$R$38&lt;&gt;"",Protokoll!$R$38=$M67),"",$M67)</f>
        <v>Ask</v>
      </c>
      <c r="Q67" s="372" t="s">
        <v>2340</v>
      </c>
      <c r="T67" s="331" t="str">
        <f>IF(OR(Protokoll!$X$5&lt;&gt;"",Lokalbeskrivn!$M$4&lt;&gt;""),"",U67)</f>
        <v/>
      </c>
      <c r="U67" s="330" t="s">
        <v>1026</v>
      </c>
      <c r="V67" s="351" t="s">
        <v>1025</v>
      </c>
      <c r="W67" s="2"/>
      <c r="Y67" s="401" t="s">
        <v>1597</v>
      </c>
      <c r="Z67" s="401" t="s">
        <v>1598</v>
      </c>
      <c r="AB67" s="475" t="str">
        <f>IF(COUNT(AB63:AB66)&gt;0,MAX(AB63:AB66)+1,"")</f>
        <v/>
      </c>
      <c r="AC67" s="433" t="str">
        <f>IF(AND(AH67&lt;&gt;"",AG67&lt;&gt;"",AI67&gt;0,AH67&gt;0),MAX(AC$2:AC66)+1,"XX")</f>
        <v>XX</v>
      </c>
      <c r="AD67" s="428" t="str">
        <f>IF('Antal &amp; Längder (vikter)'!$C$8&lt;&gt;"",'Antal &amp; Längder (vikter)'!$C$8,"XX")</f>
        <v>XX</v>
      </c>
      <c r="AE67" s="407" t="str">
        <f>IF(AND('Antal &amp; Längder (vikter)'!H$10&lt;&gt;"",ISNUMBER($AH67)),'Antal &amp; Längder (vikter)'!H$10,"")</f>
        <v/>
      </c>
      <c r="AF67" s="425" t="str">
        <f t="shared" ref="AF67:AF130" si="4">IF(AND(ISNUMBER(AH67),AE67&lt;&gt;""),VLOOKUP(AE67,$N$2:$O$60,2,FALSE),"")</f>
        <v/>
      </c>
      <c r="AG67" s="426" t="str">
        <f t="shared" ref="AG67:AG130" si="5">IF(AF67&lt;&gt;"",VLOOKUP(AF67,O$2:U$60,7,FALSE),"")</f>
        <v/>
      </c>
      <c r="AH67" s="407" t="str">
        <f>IF('Antal &amp; Längder (vikter)'!H16&lt;&gt;"",'Antal &amp; Längder (vikter)'!H16,"XX")</f>
        <v>XX</v>
      </c>
      <c r="AI67" s="436">
        <f>IF('Antal &amp; Längder (vikter)'!I$11="Vikt (g)",'Antal &amp; Längder (vikter)'!I16,-9)</f>
        <v>-9</v>
      </c>
    </row>
    <row r="68" spans="1:35" hidden="1" x14ac:dyDescent="0.25">
      <c r="A68" s="105" t="s">
        <v>68</v>
      </c>
      <c r="B68" s="368" t="str">
        <f>IF(Protokoll!E65&lt;&gt;"",Protokoll!E65,"")</f>
        <v/>
      </c>
      <c r="C68" s="1" t="s">
        <v>69</v>
      </c>
      <c r="D68" s="370" t="str">
        <f>IF(B68="X",IF(COUNTIF(B$49:B67,"X")+COUNT(B$50:B$89)&lt;3,COUNT(B$50:B$89)+COUNTIF(B$49:B67,"X")+1,""),IF(AND(B68&lt;&gt;"",B68=MAX(B$50:B$89)),IF(COUNTIF(B$49:B67,MAX(B$50:B$89))&gt;0,IF(COUNTIF(B$49:B67,MAX(B$50:B$89))&lt;3,COUNTIF(B$49:B67,MAX(B$50:B$89))+1,""),1),IF(AND(B68&gt;=1,B68=MAX(B$50:B$89)-1),IF(COUNTIF(B$49:B67,MAX(B$50:B$89))+COUNTIF(B$49:B67,MAX(B$50:B$89)-1)&lt;3,COUNTIF(B$49:B$89,MAX(B$50:B$89))+COUNTIF(B$49:B67,MAX(B$50:B$89)-1)+1,""),IF(B68=1,IF(COUNTIF(B$49:B67,3)+COUNTIF(B$49:B$89,2)+COUNTIF(B$49:B67,1)&lt;3,COUNTIF(B$49:B$89,2)+COUNTIF(B$49:B$89,3)+COUNTIF(B$49:B67,1)+1,""),""))))</f>
        <v/>
      </c>
      <c r="F68" s="6" t="s">
        <v>450</v>
      </c>
      <c r="I68" t="s">
        <v>123</v>
      </c>
      <c r="J68" s="145">
        <v>23</v>
      </c>
      <c r="L68" s="204"/>
      <c r="M68" t="s">
        <v>1444</v>
      </c>
      <c r="N68" s="199" t="str">
        <f>IF(AND(Protokoll!$AB$38&lt;&gt;"",Protokoll!$AB$38=$M68),"",$M68)</f>
        <v>Asp</v>
      </c>
      <c r="O68" s="199" t="str">
        <f>IF(AND(Protokoll!$R$38&lt;&gt;"",Protokoll!$R$38=$M68),"",$M68)</f>
        <v>Asp</v>
      </c>
      <c r="Q68" s="372" t="s">
        <v>2343</v>
      </c>
      <c r="T68" s="331" t="str">
        <f>IF(OR(Protokoll!$X$5&lt;&gt;"",Lokalbeskrivn!$M$4&lt;&gt;""),"",U68)</f>
        <v/>
      </c>
      <c r="U68" s="330" t="s">
        <v>1028</v>
      </c>
      <c r="V68" s="351" t="s">
        <v>1027</v>
      </c>
      <c r="W68" s="2"/>
      <c r="Y68" s="401" t="s">
        <v>1595</v>
      </c>
      <c r="Z68" s="401" t="s">
        <v>1596</v>
      </c>
      <c r="AB68" s="471" t="str">
        <f>IF(COUNT(AB63:AB67)&gt;0,MAX(AB63:AB67)+1,"")</f>
        <v/>
      </c>
      <c r="AC68" s="433" t="str">
        <f>IF(AND(AH68&lt;&gt;"",AG68&lt;&gt;"",AI68&gt;0,AH68&gt;0),MAX(AC$2:AC67)+1,"XX")</f>
        <v>XX</v>
      </c>
      <c r="AD68" s="428" t="str">
        <f>IF('Antal &amp; Längder (vikter)'!$C$8&lt;&gt;"",'Antal &amp; Längder (vikter)'!$C$8,"XX")</f>
        <v>XX</v>
      </c>
      <c r="AE68" s="407" t="str">
        <f>IF(AND('Antal &amp; Längder (vikter)'!H$10&lt;&gt;"",ISNUMBER($AH68)),'Antal &amp; Längder (vikter)'!H$10,"")</f>
        <v/>
      </c>
      <c r="AF68" s="425" t="str">
        <f t="shared" si="4"/>
        <v/>
      </c>
      <c r="AG68" s="426" t="str">
        <f t="shared" si="5"/>
        <v/>
      </c>
      <c r="AH68" s="407" t="str">
        <f>IF('Antal &amp; Längder (vikter)'!H17&lt;&gt;"",'Antal &amp; Längder (vikter)'!H17,"XX")</f>
        <v>XX</v>
      </c>
      <c r="AI68" s="436">
        <f>IF('Antal &amp; Längder (vikter)'!I$11="Vikt (g)",'Antal &amp; Längder (vikter)'!I17,-9)</f>
        <v>-9</v>
      </c>
    </row>
    <row r="69" spans="1:35" hidden="1" x14ac:dyDescent="0.25">
      <c r="A69" s="105" t="s">
        <v>778</v>
      </c>
      <c r="B69" s="368" t="str">
        <f>IF(Protokoll!W67&lt;&gt;"",Protokoll!W67,"")</f>
        <v/>
      </c>
      <c r="C69" s="1" t="s">
        <v>796</v>
      </c>
      <c r="D69" s="370" t="str">
        <f>IF(B69="X",IF(COUNTIF(B$49:B68,"X")+COUNT(B$50:B$89)&lt;3,COUNT(B$50:B$89)+COUNTIF(B$49:B68,"X")+1,""),IF(AND(B69&lt;&gt;"",B69=MAX(B$50:B$89)),IF(COUNTIF(B$49:B68,MAX(B$50:B$89))&gt;0,IF(COUNTIF(B$49:B68,MAX(B$50:B$89))&lt;3,COUNTIF(B$49:B68,MAX(B$50:B$89))+1,""),1),IF(AND(B69&gt;=1,B69=MAX(B$50:B$89)-1),IF(COUNTIF(B$49:B68,MAX(B$50:B$89))+COUNTIF(B$49:B68,MAX(B$50:B$89)-1)&lt;3,COUNTIF(B$49:B$89,MAX(B$50:B$89))+COUNTIF(B$49:B68,MAX(B$50:B$89)-1)+1,""),IF(B69=1,IF(COUNTIF(B$49:B68,3)+COUNTIF(B$49:B$89,2)+COUNTIF(B$49:B68,1)&lt;3,COUNTIF(B$49:B$89,2)+COUNTIF(B$49:B$89,3)+COUNTIF(B$49:B68,1)+1,""),""))))</f>
        <v/>
      </c>
      <c r="F69" s="220" t="str">
        <f>$J$113</f>
        <v>LN_NAMN</v>
      </c>
      <c r="G69" s="220" t="str">
        <f>$I$113</f>
        <v>LAN</v>
      </c>
      <c r="I69" t="s">
        <v>122</v>
      </c>
      <c r="J69" s="145">
        <v>6</v>
      </c>
      <c r="L69" s="204"/>
      <c r="M69" s="357" t="s">
        <v>1445</v>
      </c>
      <c r="N69" s="199" t="str">
        <f>IF(AND(Protokoll!$AB$38&lt;&gt;"",Protokoll!$AB$38=$M69),"",$M69)</f>
        <v>Avenbok</v>
      </c>
      <c r="O69" s="199" t="str">
        <f>IF(AND(Protokoll!$R$38&lt;&gt;"",Protokoll!$R$38=$M69),"",$M69)</f>
        <v>Avenbok</v>
      </c>
      <c r="Q69" s="619" t="s">
        <v>2344</v>
      </c>
      <c r="T69" s="331" t="str">
        <f>IF(OR(Protokoll!$X$5&lt;&gt;"",Lokalbeskrivn!$M$4&lt;&gt;""),"",U69)</f>
        <v/>
      </c>
      <c r="U69" s="330" t="s">
        <v>1030</v>
      </c>
      <c r="V69" s="351" t="s">
        <v>1029</v>
      </c>
      <c r="W69" s="2"/>
      <c r="Y69" s="401" t="s">
        <v>1585</v>
      </c>
      <c r="Z69" s="401" t="s">
        <v>1586</v>
      </c>
      <c r="AB69" s="474" t="str">
        <f>IF(COUNT(AB63:AB68)&gt;0,MAX(AB63:AB68)+1,"")</f>
        <v/>
      </c>
      <c r="AC69" s="433" t="str">
        <f>IF(AND(AH69&lt;&gt;"",AG69&lt;&gt;"",AI69&gt;0,AH69&gt;0),MAX(AC$2:AC68)+1,"XX")</f>
        <v>XX</v>
      </c>
      <c r="AD69" s="428" t="str">
        <f>IF('Antal &amp; Längder (vikter)'!$C$8&lt;&gt;"",'Antal &amp; Längder (vikter)'!$C$8,"XX")</f>
        <v>XX</v>
      </c>
      <c r="AE69" s="407" t="str">
        <f>IF(AND('Antal &amp; Längder (vikter)'!H$10&lt;&gt;"",ISNUMBER($AH69)),'Antal &amp; Längder (vikter)'!H$10,"")</f>
        <v/>
      </c>
      <c r="AF69" s="425" t="str">
        <f t="shared" si="4"/>
        <v/>
      </c>
      <c r="AG69" s="426" t="str">
        <f t="shared" si="5"/>
        <v/>
      </c>
      <c r="AH69" s="407" t="str">
        <f>IF('Antal &amp; Längder (vikter)'!H18&lt;&gt;"",'Antal &amp; Längder (vikter)'!H18,"XX")</f>
        <v>XX</v>
      </c>
      <c r="AI69" s="436">
        <f>IF('Antal &amp; Längder (vikter)'!I$11="Vikt (g)",'Antal &amp; Längder (vikter)'!I18,-9)</f>
        <v>-9</v>
      </c>
    </row>
    <row r="70" spans="1:35" hidden="1" x14ac:dyDescent="0.25">
      <c r="A70" s="105" t="s">
        <v>809</v>
      </c>
      <c r="B70" s="368" t="str">
        <f>IF(Protokoll!E66&lt;&gt;"",Protokoll!E66,"")</f>
        <v/>
      </c>
      <c r="C70" s="1" t="s">
        <v>821</v>
      </c>
      <c r="D70" s="370" t="str">
        <f>IF(B70="X",IF(COUNTIF(B$49:B69,"X")+COUNT(B$50:B$89)&lt;3,COUNT(B$50:B$89)+COUNTIF(B$49:B69,"X")+1,""),IF(AND(B70&lt;&gt;"",B70=MAX(B$50:B$89)),IF(COUNTIF(B$49:B69,MAX(B$50:B$89))&gt;0,IF(COUNTIF(B$49:B69,MAX(B$50:B$89))&lt;3,COUNTIF(B$49:B69,MAX(B$50:B$89))+1,""),1),IF(AND(B70&gt;=1,B70=MAX(B$50:B$89)-1),IF(COUNTIF(B$49:B69,MAX(B$50:B$89))+COUNTIF(B$49:B69,MAX(B$50:B$89)-1)&lt;3,COUNTIF(B$49:B$89,MAX(B$50:B$89))+COUNTIF(B$49:B69,MAX(B$50:B$89)-1)+1,""),IF(B70=1,IF(COUNTIF(B$49:B69,3)+COUNTIF(B$49:B$89,2)+COUNTIF(B$49:B69,1)&lt;3,COUNTIF(B$49:B$89,2)+COUNTIF(B$49:B$89,3)+COUNTIF(B$49:B69,1)+1,""),""))))</f>
        <v/>
      </c>
      <c r="I70" t="s">
        <v>128</v>
      </c>
      <c r="J70" s="145">
        <v>8</v>
      </c>
      <c r="L70" s="204"/>
      <c r="M70" t="s">
        <v>3</v>
      </c>
      <c r="N70" s="199" t="str">
        <f>IF(AND(Protokoll!$AB$38&lt;&gt;"",Protokoll!$AB$38=$M70),"",$M70)</f>
        <v>Björk</v>
      </c>
      <c r="O70" s="199" t="str">
        <f>IF(AND(Protokoll!$R$38&lt;&gt;"",Protokoll!$R$38=$M70),"",$M70)</f>
        <v>Björk</v>
      </c>
      <c r="Q70" s="619" t="s">
        <v>2345</v>
      </c>
      <c r="T70" s="331" t="str">
        <f>IF(OR(Protokoll!$X$5&lt;&gt;"",Lokalbeskrivn!$M$4&lt;&gt;""),"",U70)</f>
        <v/>
      </c>
      <c r="U70" s="330" t="s">
        <v>1032</v>
      </c>
      <c r="V70" s="351" t="s">
        <v>1031</v>
      </c>
      <c r="W70" s="2"/>
      <c r="Y70" s="401" t="s">
        <v>1589</v>
      </c>
      <c r="Z70" s="401" t="s">
        <v>1590</v>
      </c>
      <c r="AB70" s="478" t="str">
        <f>IF(COUNT(AB63:AB69)&gt;0,MAX(AB63:AB69)+1,"")</f>
        <v/>
      </c>
      <c r="AC70" s="433" t="str">
        <f>IF(AND(AH70&lt;&gt;"",AG70&lt;&gt;"",AI70&gt;0,AH70&gt;0),MAX(AC$2:AC69)+1,"XX")</f>
        <v>XX</v>
      </c>
      <c r="AD70" s="428" t="str">
        <f>IF('Antal &amp; Längder (vikter)'!$C$8&lt;&gt;"",'Antal &amp; Längder (vikter)'!$C$8,"XX")</f>
        <v>XX</v>
      </c>
      <c r="AE70" s="407" t="str">
        <f>IF(AND('Antal &amp; Längder (vikter)'!H$10&lt;&gt;"",ISNUMBER($AH70)),'Antal &amp; Längder (vikter)'!H$10,"")</f>
        <v/>
      </c>
      <c r="AF70" s="425" t="str">
        <f t="shared" si="4"/>
        <v/>
      </c>
      <c r="AG70" s="426" t="str">
        <f t="shared" si="5"/>
        <v/>
      </c>
      <c r="AH70" s="407" t="str">
        <f>IF('Antal &amp; Längder (vikter)'!H19&lt;&gt;"",'Antal &amp; Längder (vikter)'!H19,"XX")</f>
        <v>XX</v>
      </c>
      <c r="AI70" s="436">
        <f>IF('Antal &amp; Längder (vikter)'!I$11="Vikt (g)",'Antal &amp; Längder (vikter)'!I19,-9)</f>
        <v>-9</v>
      </c>
    </row>
    <row r="71" spans="1:35" hidden="1" x14ac:dyDescent="0.25">
      <c r="A71" s="105" t="s">
        <v>865</v>
      </c>
      <c r="B71" s="368" t="str">
        <f>IF(Protokoll!I65&lt;&gt;"",Protokoll!I65,"")</f>
        <v/>
      </c>
      <c r="C71" s="1" t="s">
        <v>774</v>
      </c>
      <c r="D71" s="370" t="str">
        <f>IF(B71="X",IF(COUNTIF(B$49:B70,"X")+COUNT(B$50:B$89)&lt;3,COUNT(B$50:B$89)+COUNTIF(B$49:B70,"X")+1,""),IF(AND(B71&lt;&gt;"",B71=MAX(B$50:B$89)),IF(COUNTIF(B$49:B70,MAX(B$50:B$89))&gt;0,IF(COUNTIF(B$49:B70,MAX(B$50:B$89))&lt;3,COUNTIF(B$49:B70,MAX(B$50:B$89))+1,""),1),IF(AND(B71&gt;=1,B71=MAX(B$50:B$89)-1),IF(COUNTIF(B$49:B70,MAX(B$50:B$89))+COUNTIF(B$49:B70,MAX(B$50:B$89)-1)&lt;3,COUNTIF(B$49:B$89,MAX(B$50:B$89))+COUNTIF(B$49:B70,MAX(B$50:B$89)-1)+1,""),IF(B71=1,IF(COUNTIF(B$49:B70,3)+COUNTIF(B$49:B$89,2)+COUNTIF(B$49:B70,1)&lt;3,COUNTIF(B$49:B$89,2)+COUNTIF(B$49:B$89,3)+COUNTIF(B$49:B70,1)+1,""),""))))</f>
        <v/>
      </c>
      <c r="F71" s="224" t="str">
        <f>IF(Protokoll!E$4&lt;&gt;"",VLOOKUP(Protokoll!E$4,G$113:J$403,4,FALSE),VLOOKUP(G71,I$113:K$403,2,FALSE))</f>
        <v>Hallands län</v>
      </c>
      <c r="G71" s="331">
        <f>IF(Protokoll!E$4&lt;&gt;"",VLOOKUP(F71,I63:J83,2,FALSE),10)</f>
        <v>13</v>
      </c>
      <c r="I71" t="s">
        <v>119</v>
      </c>
      <c r="J71" s="145">
        <v>7</v>
      </c>
      <c r="L71" s="204"/>
      <c r="M71" t="s">
        <v>2</v>
      </c>
      <c r="N71" s="199" t="str">
        <f>IF(AND(Protokoll!$AB$38&lt;&gt;"",Protokoll!$AB$38=$M71),"",$M71)</f>
        <v>Bok</v>
      </c>
      <c r="O71" s="199" t="str">
        <f>IF(AND(Protokoll!$R$38&lt;&gt;"",Protokoll!$R$38=$M71),"",$M71)</f>
        <v>Bok</v>
      </c>
      <c r="Q71" s="372" t="s">
        <v>2346</v>
      </c>
      <c r="T71" s="331" t="str">
        <f>IF(OR(Protokoll!$X$5&lt;&gt;"",Lokalbeskrivn!$M$4&lt;&gt;""),"",U71)</f>
        <v/>
      </c>
      <c r="U71" s="330" t="s">
        <v>1034</v>
      </c>
      <c r="V71" s="351" t="s">
        <v>1033</v>
      </c>
      <c r="W71" s="2"/>
      <c r="Y71" s="401" t="s">
        <v>1593</v>
      </c>
      <c r="Z71" s="401" t="s">
        <v>1594</v>
      </c>
      <c r="AB71" s="472" t="str">
        <f>IF(COUNT(AB63:AB70)&gt;0,MAX(AB63:AB70)+1,"")</f>
        <v/>
      </c>
      <c r="AC71" s="433" t="str">
        <f>IF(AND(AH71&lt;&gt;"",AG71&lt;&gt;"",AI71&gt;0,AH71&gt;0),MAX(AC$2:AC70)+1,"XX")</f>
        <v>XX</v>
      </c>
      <c r="AD71" s="428" t="str">
        <f>IF('Antal &amp; Längder (vikter)'!$C$8&lt;&gt;"",'Antal &amp; Längder (vikter)'!$C$8,"XX")</f>
        <v>XX</v>
      </c>
      <c r="AE71" s="407" t="str">
        <f>IF(AND('Antal &amp; Längder (vikter)'!H$10&lt;&gt;"",ISNUMBER($AH71)),'Antal &amp; Längder (vikter)'!H$10,"")</f>
        <v/>
      </c>
      <c r="AF71" s="425" t="str">
        <f t="shared" si="4"/>
        <v/>
      </c>
      <c r="AG71" s="426" t="str">
        <f t="shared" si="5"/>
        <v/>
      </c>
      <c r="AH71" s="407" t="str">
        <f>IF('Antal &amp; Längder (vikter)'!H20&lt;&gt;"",'Antal &amp; Längder (vikter)'!H20,"XX")</f>
        <v>XX</v>
      </c>
      <c r="AI71" s="436">
        <f>IF('Antal &amp; Längder (vikter)'!I$11="Vikt (g)",'Antal &amp; Längder (vikter)'!I20,-9)</f>
        <v>-9</v>
      </c>
    </row>
    <row r="72" spans="1:35" hidden="1" x14ac:dyDescent="0.25">
      <c r="A72" s="105" t="s">
        <v>806</v>
      </c>
      <c r="B72" s="368" t="str">
        <f>IF(Protokoll!P67&lt;&gt;"",Protokoll!P67,"")</f>
        <v/>
      </c>
      <c r="C72" s="1" t="s">
        <v>828</v>
      </c>
      <c r="D72" s="370" t="str">
        <f>IF(B72="X",IF(COUNTIF(B$49:B71,"X")+COUNT(B$50:B$89)&lt;3,COUNT(B$50:B$89)+COUNTIF(B$49:B71,"X")+1,""),IF(AND(B72&lt;&gt;"",B72=MAX(B$50:B$89)),IF(COUNTIF(B$49:B71,MAX(B$50:B$89))&gt;0,IF(COUNTIF(B$49:B71,MAX(B$50:B$89))&lt;3,COUNTIF(B$49:B71,MAX(B$50:B$89))+1,""),1),IF(AND(B72&gt;=1,B72=MAX(B$50:B$89)-1),IF(COUNTIF(B$49:B71,MAX(B$50:B$89))+COUNTIF(B$49:B71,MAX(B$50:B$89)-1)&lt;3,COUNTIF(B$49:B$89,MAX(B$50:B$89))+COUNTIF(B$49:B71,MAX(B$50:B$89)-1)+1,""),IF(B72=1,IF(COUNTIF(B$49:B71,3)+COUNTIF(B$49:B$89,2)+COUNTIF(B$49:B71,1)&lt;3,COUNTIF(B$49:B$89,2)+COUNTIF(B$49:B$89,3)+COUNTIF(B$49:B71,1)+1,""),""))))</f>
        <v/>
      </c>
      <c r="F72" s="220" t="str">
        <f>IF(Protokoll!E$4&lt;&gt;"","",VLOOKUP(G72,I$113:J$403,2,FALSE))</f>
        <v/>
      </c>
      <c r="G72" s="145">
        <v>20</v>
      </c>
      <c r="I72" t="s">
        <v>127</v>
      </c>
      <c r="J72" s="145">
        <v>25</v>
      </c>
      <c r="L72" s="204"/>
      <c r="M72" s="357" t="s">
        <v>1446</v>
      </c>
      <c r="N72" s="199" t="str">
        <f>IF(AND(Protokoll!$AB$38&lt;&gt;"",Protokoll!$AB$38=$M72),"",$M72)</f>
        <v>Brakved</v>
      </c>
      <c r="O72" s="199" t="str">
        <f>IF(AND(Protokoll!$R$38&lt;&gt;"",Protokoll!$R$38=$M72),"",$M72)</f>
        <v>Brakved</v>
      </c>
      <c r="Q72" s="372" t="s">
        <v>2347</v>
      </c>
      <c r="T72" s="331" t="str">
        <f>IF(OR(Protokoll!$X$5&lt;&gt;"",Lokalbeskrivn!$M$4&lt;&gt;""),"",U72)</f>
        <v/>
      </c>
      <c r="U72" s="330" t="s">
        <v>1036</v>
      </c>
      <c r="V72" s="351" t="s">
        <v>1035</v>
      </c>
      <c r="W72" s="2"/>
      <c r="Y72" s="401" t="s">
        <v>1587</v>
      </c>
      <c r="Z72" s="401" t="s">
        <v>1588</v>
      </c>
      <c r="AB72" s="479" t="str">
        <f>IF(COUNT(AB63:AB71)&gt;0,MAX(AB63:AB71)+1,"")</f>
        <v/>
      </c>
      <c r="AC72" s="433" t="str">
        <f>IF(AND(AH72&lt;&gt;"",AG72&lt;&gt;"",AI72&gt;0,AH72&gt;0),MAX(AC$2:AC71)+1,"XX")</f>
        <v>XX</v>
      </c>
      <c r="AD72" s="428" t="str">
        <f>IF('Antal &amp; Längder (vikter)'!$C$8&lt;&gt;"",'Antal &amp; Längder (vikter)'!$C$8,"XX")</f>
        <v>XX</v>
      </c>
      <c r="AE72" s="407" t="str">
        <f>IF(AND('Antal &amp; Längder (vikter)'!H$10&lt;&gt;"",ISNUMBER($AH72)),'Antal &amp; Längder (vikter)'!H$10,"")</f>
        <v/>
      </c>
      <c r="AF72" s="425" t="str">
        <f t="shared" si="4"/>
        <v/>
      </c>
      <c r="AG72" s="426" t="str">
        <f t="shared" si="5"/>
        <v/>
      </c>
      <c r="AH72" s="407" t="str">
        <f>IF('Antal &amp; Längder (vikter)'!H21&lt;&gt;"",'Antal &amp; Längder (vikter)'!H21,"XX")</f>
        <v>XX</v>
      </c>
      <c r="AI72" s="436">
        <f>IF('Antal &amp; Längder (vikter)'!I$11="Vikt (g)",'Antal &amp; Längder (vikter)'!I21,-9)</f>
        <v>-9</v>
      </c>
    </row>
    <row r="73" spans="1:35" hidden="1" x14ac:dyDescent="0.25">
      <c r="A73" s="105" t="s">
        <v>851</v>
      </c>
      <c r="B73" s="368" t="str">
        <f>IF(Protokoll!AA67&lt;&gt;"",Protokoll!AA67,"")</f>
        <v/>
      </c>
      <c r="C73" s="1" t="s">
        <v>799</v>
      </c>
      <c r="D73" s="370" t="str">
        <f>IF(B73="X",IF(COUNTIF(B$49:B72,"X")+COUNT(B$50:B$89)&lt;3,COUNT(B$50:B$89)+COUNTIF(B$49:B72,"X")+1,""),IF(AND(B73&lt;&gt;"",B73=MAX(B$50:B$89)),IF(COUNTIF(B$49:B72,MAX(B$50:B$89))&gt;0,IF(COUNTIF(B$49:B72,MAX(B$50:B$89))&lt;3,COUNTIF(B$49:B72,MAX(B$50:B$89))+1,""),1),IF(AND(B73&gt;=1,B73=MAX(B$50:B$89)-1),IF(COUNTIF(B$49:B72,MAX(B$50:B$89))+COUNTIF(B$49:B72,MAX(B$50:B$89)-1)&lt;3,COUNTIF(B$49:B$89,MAX(B$50:B$89))+COUNTIF(B$49:B72,MAX(B$50:B$89)-1)+1,""),IF(B73=1,IF(COUNTIF(B$49:B72,3)+COUNTIF(B$49:B$89,2)+COUNTIF(B$49:B72,1)&lt;3,COUNTIF(B$49:B$89,2)+COUNTIF(B$49:B$89,3)+COUNTIF(B$49:B72,1)+1,""),""))))</f>
        <v/>
      </c>
      <c r="F73" s="220" t="str">
        <f>IF(Protokoll!E$4&lt;&gt;"","",VLOOKUP(G73,I$113:J$403,2,FALSE))</f>
        <v/>
      </c>
      <c r="G73" s="145">
        <v>9</v>
      </c>
      <c r="I73" t="s">
        <v>134</v>
      </c>
      <c r="J73" s="145">
        <v>12</v>
      </c>
      <c r="L73" s="204"/>
      <c r="M73" s="357" t="s">
        <v>1447</v>
      </c>
      <c r="N73" s="199" t="str">
        <f>IF(AND(Protokoll!$AB$38&lt;&gt;"",Protokoll!$AB$38=$M73),"",$M73)</f>
        <v>Contortatall</v>
      </c>
      <c r="O73" s="199" t="str">
        <f>IF(AND(Protokoll!$R$38&lt;&gt;"",Protokoll!$R$38=$M73),"",$M73)</f>
        <v>Contortatall</v>
      </c>
      <c r="Q73" s="372" t="s">
        <v>2348</v>
      </c>
      <c r="T73" s="331" t="str">
        <f>IF(OR(Protokoll!$X$5&lt;&gt;"",Lokalbeskrivn!$M$4&lt;&gt;""),"",U73)</f>
        <v/>
      </c>
      <c r="U73" s="330" t="s">
        <v>1038</v>
      </c>
      <c r="V73" s="351" t="s">
        <v>1037</v>
      </c>
      <c r="W73" s="2"/>
      <c r="Y73" s="401" t="s">
        <v>1599</v>
      </c>
      <c r="Z73" s="401" t="s">
        <v>1600</v>
      </c>
      <c r="AB73" s="480" t="str">
        <f>IF(AND(ISNUMBER(AH73),AH73&gt;0),IF(MAX(AB$3:AB72)&gt;0,MAX(AB$3:AB72)+1,10+COUNTIF(F$38:F$49,"&gt;0")*10+1),"")</f>
        <v/>
      </c>
      <c r="AC73" s="433" t="str">
        <f>IF(AND(AH73&lt;&gt;"",AG73&lt;&gt;"",AI73&gt;0,AH73&gt;0),MAX(AC$2:AC72)+1,"XX")</f>
        <v>XX</v>
      </c>
      <c r="AD73" s="428" t="str">
        <f>IF('Antal &amp; Längder (vikter)'!$C$8&lt;&gt;"",'Antal &amp; Längder (vikter)'!$C$8,"XX")</f>
        <v>XX</v>
      </c>
      <c r="AE73" s="407" t="str">
        <f>IF(AND('Antal &amp; Längder (vikter)'!H$10&lt;&gt;"",ISNUMBER($AH73)),'Antal &amp; Längder (vikter)'!H$10,"")</f>
        <v/>
      </c>
      <c r="AF73" s="425" t="str">
        <f t="shared" si="4"/>
        <v/>
      </c>
      <c r="AG73" s="426" t="str">
        <f t="shared" si="5"/>
        <v/>
      </c>
      <c r="AH73" s="409" t="str">
        <f>IF('Antal &amp; Längder (vikter)'!I$11="Längd (mm)",IF('Antal &amp; Längder (vikter)'!I12&lt;&gt;"",'Antal &amp; Längder (vikter)'!I12,"XX"),"XX")</f>
        <v>XX</v>
      </c>
      <c r="AI73" s="7">
        <v>-9</v>
      </c>
    </row>
    <row r="74" spans="1:35" hidden="1" x14ac:dyDescent="0.25">
      <c r="A74" s="105" t="s">
        <v>852</v>
      </c>
      <c r="B74" s="368" t="str">
        <f>IF(Protokoll!AA66&lt;&gt;"",Protokoll!AA66,"")</f>
        <v/>
      </c>
      <c r="C74" s="1" t="s">
        <v>798</v>
      </c>
      <c r="D74" s="370" t="str">
        <f>IF(B74="X",IF(COUNTIF(B$49:B73,"X")+COUNT(B$50:B$89)&lt;3,COUNT(B$50:B$89)+COUNTIF(B$49:B73,"X")+1,""),IF(AND(B74&lt;&gt;"",B74=MAX(B$50:B$89)),IF(COUNTIF(B$49:B73,MAX(B$50:B$89))&gt;0,IF(COUNTIF(B$49:B73,MAX(B$50:B$89))&lt;3,COUNTIF(B$49:B73,MAX(B$50:B$89))+1,""),1),IF(AND(B74&gt;=1,B74=MAX(B$50:B$89)-1),IF(COUNTIF(B$49:B73,MAX(B$50:B$89))+COUNTIF(B$49:B73,MAX(B$50:B$89)-1)&lt;3,COUNTIF(B$49:B$89,MAX(B$50:B$89))+COUNTIF(B$49:B73,MAX(B$50:B$89)-1)+1,""),IF(B74=1,IF(COUNTIF(B$49:B73,3)+COUNTIF(B$49:B$89,2)+COUNTIF(B$49:B73,1)&lt;3,COUNTIF(B$49:B$89,2)+COUNTIF(B$49:B$89,3)+COUNTIF(B$49:B73,1)+1,""),""))))</f>
        <v/>
      </c>
      <c r="F74" s="220" t="str">
        <f>IF(Protokoll!E$4&lt;&gt;"","",VLOOKUP(G74,I$113:J$403,2,FALSE))</f>
        <v/>
      </c>
      <c r="G74" s="145">
        <v>21</v>
      </c>
      <c r="I74" t="s">
        <v>136</v>
      </c>
      <c r="J74" s="145">
        <v>1</v>
      </c>
      <c r="L74" s="204"/>
      <c r="M74" t="s">
        <v>1448</v>
      </c>
      <c r="N74" s="199" t="str">
        <f>IF(AND(Protokoll!$AB$38&lt;&gt;"",Protokoll!$AB$38=$M74),"",$M74)</f>
        <v>Ek</v>
      </c>
      <c r="O74" s="199" t="str">
        <f>IF(AND(Protokoll!$R$38&lt;&gt;"",Protokoll!$R$38=$M74),"",$M74)</f>
        <v>Ek</v>
      </c>
      <c r="Q74" s="372" t="s">
        <v>2349</v>
      </c>
      <c r="T74" s="331" t="str">
        <f>IF(OR(Protokoll!$X$5&lt;&gt;"",Lokalbeskrivn!$M$4&lt;&gt;""),"",U74)</f>
        <v/>
      </c>
      <c r="U74" s="330" t="s">
        <v>1040</v>
      </c>
      <c r="V74" s="351" t="s">
        <v>1039</v>
      </c>
      <c r="W74" s="2"/>
      <c r="Y74" s="401" t="s">
        <v>1601</v>
      </c>
      <c r="Z74" s="401" t="s">
        <v>1602</v>
      </c>
      <c r="AB74" s="476" t="str">
        <f>IF(COUNT(AB73:AB73)&gt;0,MAX(AB73:AB73)+1,"")</f>
        <v/>
      </c>
      <c r="AC74" s="433" t="str">
        <f>IF(AND(AH74&lt;&gt;"",AG74&lt;&gt;"",AI74&gt;0,AH74&gt;0),MAX(AC$2:AC73)+1,"XX")</f>
        <v>XX</v>
      </c>
      <c r="AD74" s="428" t="str">
        <f>IF('Antal &amp; Längder (vikter)'!$C$8&lt;&gt;"",'Antal &amp; Längder (vikter)'!$C$8,"XX")</f>
        <v>XX</v>
      </c>
      <c r="AE74" s="407" t="str">
        <f>IF(AND('Antal &amp; Längder (vikter)'!H$10&lt;&gt;"",ISNUMBER($AH74)),'Antal &amp; Längder (vikter)'!H$10,"")</f>
        <v/>
      </c>
      <c r="AF74" s="425" t="str">
        <f t="shared" si="4"/>
        <v/>
      </c>
      <c r="AG74" s="426" t="str">
        <f t="shared" si="5"/>
        <v/>
      </c>
      <c r="AH74" s="409" t="str">
        <f>IF('Antal &amp; Längder (vikter)'!I$11="Längd (mm)",IF('Antal &amp; Längder (vikter)'!I13&lt;&gt;"",'Antal &amp; Längder (vikter)'!I13,"XX"),"XX")</f>
        <v>XX</v>
      </c>
      <c r="AI74" s="7">
        <v>-9</v>
      </c>
    </row>
    <row r="75" spans="1:35" hidden="1" x14ac:dyDescent="0.25">
      <c r="A75" s="105" t="s">
        <v>853</v>
      </c>
      <c r="B75" s="368" t="str">
        <f>IF(Protokoll!E67&lt;&gt;"",Protokoll!E67,"")</f>
        <v/>
      </c>
      <c r="C75" s="1" t="s">
        <v>769</v>
      </c>
      <c r="D75" s="370" t="str">
        <f>IF(B75="X",IF(COUNTIF(B$49:B74,"X")+COUNT(B$50:B$89)&lt;3,COUNT(B$50:B$89)+COUNTIF(B$49:B74,"X")+1,""),IF(AND(B75&lt;&gt;"",B75=MAX(B$50:B$89)),IF(COUNTIF(B$49:B74,MAX(B$50:B$89))&gt;0,IF(COUNTIF(B$49:B74,MAX(B$50:B$89))&lt;3,COUNTIF(B$49:B74,MAX(B$50:B$89))+1,""),1),IF(AND(B75&gt;=1,B75=MAX(B$50:B$89)-1),IF(COUNTIF(B$49:B74,MAX(B$50:B$89))+COUNTIF(B$49:B74,MAX(B$50:B$89)-1)&lt;3,COUNTIF(B$49:B$89,MAX(B$50:B$89))+COUNTIF(B$49:B74,MAX(B$50:B$89)-1)+1,""),IF(B75=1,IF(COUNTIF(B$49:B74,3)+COUNTIF(B$49:B$89,2)+COUNTIF(B$49:B74,1)&lt;3,COUNTIF(B$49:B$89,2)+COUNTIF(B$49:B$89,3)+COUNTIF(B$49:B74,1)+1,""),""))))</f>
        <v/>
      </c>
      <c r="F75" s="220" t="str">
        <f>IF(Protokoll!E$4&lt;&gt;"","",VLOOKUP(G75,I$113:J$403,2,FALSE))</f>
        <v/>
      </c>
      <c r="G75" s="145">
        <v>13</v>
      </c>
      <c r="I75" t="s">
        <v>138</v>
      </c>
      <c r="J75" s="145">
        <v>4</v>
      </c>
      <c r="L75" s="204"/>
      <c r="M75" t="s">
        <v>1449</v>
      </c>
      <c r="N75" s="199" t="str">
        <f>IF(AND(Protokoll!$AB$38&lt;&gt;"",Protokoll!$AB$38=$M75),"",$M75)</f>
        <v>En</v>
      </c>
      <c r="O75" s="199" t="str">
        <f>IF(AND(Protokoll!$R$38&lt;&gt;"",Protokoll!$R$38=$M75),"",$M75)</f>
        <v>En</v>
      </c>
      <c r="Q75" s="372" t="s">
        <v>2350</v>
      </c>
      <c r="T75" s="331" t="str">
        <f>IF(OR(Protokoll!$X$5&lt;&gt;"",Lokalbeskrivn!$M$4&lt;&gt;""),"",U75)</f>
        <v/>
      </c>
      <c r="U75" s="330" t="s">
        <v>1042</v>
      </c>
      <c r="V75" s="351" t="s">
        <v>1041</v>
      </c>
      <c r="W75" s="2"/>
      <c r="Y75" s="401" t="s">
        <v>2378</v>
      </c>
      <c r="Z75" s="401" t="s">
        <v>2379</v>
      </c>
      <c r="AB75" s="477" t="str">
        <f>IF(COUNT(AB73:AB74)&gt;0,MAX(AB73:AB74)+1,"")</f>
        <v/>
      </c>
      <c r="AC75" s="433" t="str">
        <f>IF(AND(AH75&lt;&gt;"",AG75&lt;&gt;"",AI75&gt;0,AH75&gt;0),MAX(AC$2:AC74)+1,"XX")</f>
        <v>XX</v>
      </c>
      <c r="AD75" s="428" t="str">
        <f>IF('Antal &amp; Längder (vikter)'!$C$8&lt;&gt;"",'Antal &amp; Längder (vikter)'!$C$8,"XX")</f>
        <v>XX</v>
      </c>
      <c r="AE75" s="407" t="str">
        <f>IF(AND('Antal &amp; Längder (vikter)'!H$10&lt;&gt;"",ISNUMBER($AH75)),'Antal &amp; Längder (vikter)'!H$10,"")</f>
        <v/>
      </c>
      <c r="AF75" s="425" t="str">
        <f t="shared" si="4"/>
        <v/>
      </c>
      <c r="AG75" s="426" t="str">
        <f t="shared" si="5"/>
        <v/>
      </c>
      <c r="AH75" s="409" t="str">
        <f>IF('Antal &amp; Längder (vikter)'!I$11="Längd (mm)",IF('Antal &amp; Längder (vikter)'!I14&lt;&gt;"",'Antal &amp; Längder (vikter)'!I14,"XX"),"XX")</f>
        <v>XX</v>
      </c>
      <c r="AI75" s="7">
        <v>-9</v>
      </c>
    </row>
    <row r="76" spans="1:35" hidden="1" x14ac:dyDescent="0.25">
      <c r="A76" s="105" t="s">
        <v>869</v>
      </c>
      <c r="B76" s="368" t="str">
        <f>IF(Protokoll!AE67&lt;&gt;"",Protokoll!AE67,"")</f>
        <v/>
      </c>
      <c r="C76" s="1" t="s">
        <v>870</v>
      </c>
      <c r="D76" s="370" t="str">
        <f>IF(B76="X",IF(COUNTIF(B$49:B75,"X")+COUNT(B$50:B$89)&lt;3,COUNT(B$50:B$89)+COUNTIF(B$49:B75,"X")+1,""),IF(AND(B76&lt;&gt;"",B76=MAX(B$50:B$89)),IF(COUNTIF(B$49:B75,MAX(B$50:B$89))&gt;0,IF(COUNTIF(B$49:B75,MAX(B$50:B$89))&lt;3,COUNTIF(B$49:B75,MAX(B$50:B$89))+1,""),1),IF(AND(B76&gt;=1,B76=MAX(B$50:B$89)-1),IF(COUNTIF(B$49:B75,MAX(B$50:B$89))+COUNTIF(B$49:B75,MAX(B$50:B$89)-1)&lt;3,COUNTIF(B$49:B$89,MAX(B$50:B$89))+COUNTIF(B$49:B75,MAX(B$50:B$89)-1)+1,""),IF(B76=1,IF(COUNTIF(B$49:B75,3)+COUNTIF(B$49:B$89,2)+COUNTIF(B$49:B75,1)&lt;3,COUNTIF(B$49:B$89,2)+COUNTIF(B$49:B$89,3)+COUNTIF(B$49:B75,1)+1,""),""))))</f>
        <v/>
      </c>
      <c r="F76" s="220" t="str">
        <f>IF(Protokoll!E$4&lt;&gt;"","",VLOOKUP(G76,I$113:J$403,2,FALSE))</f>
        <v/>
      </c>
      <c r="G76" s="145">
        <v>23</v>
      </c>
      <c r="I76" t="s">
        <v>140</v>
      </c>
      <c r="J76" s="145">
        <v>3</v>
      </c>
      <c r="L76" s="204"/>
      <c r="M76" s="357" t="s">
        <v>1450</v>
      </c>
      <c r="N76" s="199" t="str">
        <f>IF(AND(Protokoll!$AB$38&lt;&gt;"",Protokoll!$AB$38=$M76),"",$M76)</f>
        <v>Fjällbjörk</v>
      </c>
      <c r="O76" s="199" t="str">
        <f>IF(AND(Protokoll!$R$38&lt;&gt;"",Protokoll!$R$38=$M76),"",$M76)</f>
        <v>Fjällbjörk</v>
      </c>
      <c r="Q76" s="372" t="s">
        <v>2342</v>
      </c>
      <c r="T76" s="331" t="str">
        <f>IF(OR(Protokoll!$X$5&lt;&gt;"",Lokalbeskrivn!$M$4&lt;&gt;""),"",U76)</f>
        <v/>
      </c>
      <c r="U76" s="330" t="s">
        <v>1044</v>
      </c>
      <c r="V76" s="351" t="s">
        <v>1043</v>
      </c>
      <c r="W76" s="2"/>
      <c r="Y76" s="401" t="s">
        <v>1603</v>
      </c>
      <c r="Z76" s="401" t="s">
        <v>1604</v>
      </c>
      <c r="AB76" s="434" t="str">
        <f>IF(COUNT(AB73:AB75)&gt;0,MAX(AB73:AB75)+1,"")</f>
        <v/>
      </c>
      <c r="AC76" s="433" t="str">
        <f>IF(AND(AH76&lt;&gt;"",AG76&lt;&gt;"",AI76&gt;0,AH76&gt;0),MAX(AC$2:AC75)+1,"XX")</f>
        <v>XX</v>
      </c>
      <c r="AD76" s="428" t="str">
        <f>IF('Antal &amp; Längder (vikter)'!$C$8&lt;&gt;"",'Antal &amp; Längder (vikter)'!$C$8,"XX")</f>
        <v>XX</v>
      </c>
      <c r="AE76" s="407" t="str">
        <f>IF(AND('Antal &amp; Längder (vikter)'!H$10&lt;&gt;"",ISNUMBER($AH76)),'Antal &amp; Längder (vikter)'!H$10,"")</f>
        <v/>
      </c>
      <c r="AF76" s="425" t="str">
        <f t="shared" si="4"/>
        <v/>
      </c>
      <c r="AG76" s="426" t="str">
        <f t="shared" si="5"/>
        <v/>
      </c>
      <c r="AH76" s="409" t="str">
        <f>IF('Antal &amp; Längder (vikter)'!I$11="Längd (mm)",IF('Antal &amp; Längder (vikter)'!I15&lt;&gt;"",'Antal &amp; Längder (vikter)'!I15,"XX"),"XX")</f>
        <v>XX</v>
      </c>
      <c r="AI76" s="7">
        <v>-9</v>
      </c>
    </row>
    <row r="77" spans="1:35" hidden="1" x14ac:dyDescent="0.25">
      <c r="A77" s="105" t="s">
        <v>857</v>
      </c>
      <c r="B77" s="368" t="str">
        <f>IF(Protokoll!M63&lt;&gt;"",Protokoll!M63,"")</f>
        <v/>
      </c>
      <c r="C77" s="1" t="s">
        <v>772</v>
      </c>
      <c r="D77" s="370" t="str">
        <f>IF(B77="X",IF(COUNTIF(B$49:B76,"X")+COUNT(B$50:B$89)&lt;3,COUNT(B$50:B$89)+COUNTIF(B$49:B76,"X")+1,""),IF(AND(B77&lt;&gt;"",B77=MAX(B$50:B$89)),IF(COUNTIF(B$49:B76,MAX(B$50:B$89))&gt;0,IF(COUNTIF(B$49:B76,MAX(B$50:B$89))&lt;3,COUNTIF(B$49:B76,MAX(B$50:B$89))+1,""),1),IF(AND(B77&gt;=1,B77=MAX(B$50:B$89)-1),IF(COUNTIF(B$49:B76,MAX(B$50:B$89))+COUNTIF(B$49:B76,MAX(B$50:B$89)-1)&lt;3,COUNTIF(B$49:B$89,MAX(B$50:B$89))+COUNTIF(B$49:B76,MAX(B$50:B$89)-1)+1,""),IF(B77=1,IF(COUNTIF(B$49:B76,3)+COUNTIF(B$49:B$89,2)+COUNTIF(B$49:B76,1)&lt;3,COUNTIF(B$49:B$89,2)+COUNTIF(B$49:B$89,3)+COUNTIF(B$49:B76,1)+1,""),""))))</f>
        <v/>
      </c>
      <c r="F77" s="220" t="str">
        <f>IF(Protokoll!E$4&lt;&gt;"","",VLOOKUP(G77,I$113:J$403,2,FALSE))</f>
        <v/>
      </c>
      <c r="G77" s="145">
        <v>6</v>
      </c>
      <c r="I77" t="s">
        <v>131</v>
      </c>
      <c r="J77" s="145">
        <v>17</v>
      </c>
      <c r="L77" s="204"/>
      <c r="M77" s="357" t="s">
        <v>1451</v>
      </c>
      <c r="N77" s="199" t="str">
        <f>IF(AND(Protokoll!$AB$38&lt;&gt;"",Protokoll!$AB$38=$M77),"",$M77)</f>
        <v>Fläder</v>
      </c>
      <c r="O77" s="199" t="str">
        <f>IF(AND(Protokoll!$R$38&lt;&gt;"",Protokoll!$R$38=$M77),"",$M77)</f>
        <v>Fläder</v>
      </c>
      <c r="Q77" s="372" t="s">
        <v>2351</v>
      </c>
      <c r="T77" s="331" t="str">
        <f>IF(OR(Protokoll!$X$5&lt;&gt;"",Lokalbeskrivn!$M$4&lt;&gt;""),"",U77)</f>
        <v/>
      </c>
      <c r="U77" s="330" t="s">
        <v>1046</v>
      </c>
      <c r="V77" s="351" t="s">
        <v>1045</v>
      </c>
      <c r="W77" s="2"/>
      <c r="X77" s="2"/>
      <c r="Y77" s="401" t="s">
        <v>1537</v>
      </c>
      <c r="Z77" s="401" t="s">
        <v>1538</v>
      </c>
      <c r="AA77" s="2"/>
      <c r="AB77" s="475" t="str">
        <f>IF(COUNT(AB73:AB76)&gt;0,MAX(AB73:AB76)+1,"")</f>
        <v/>
      </c>
      <c r="AC77" s="433" t="str">
        <f>IF(AND(AH77&lt;&gt;"",AG77&lt;&gt;"",AI77&gt;0,AH77&gt;0),MAX(AC$2:AC76)+1,"XX")</f>
        <v>XX</v>
      </c>
      <c r="AD77" s="428" t="str">
        <f>IF('Antal &amp; Längder (vikter)'!$C$8&lt;&gt;"",'Antal &amp; Längder (vikter)'!$C$8,"XX")</f>
        <v>XX</v>
      </c>
      <c r="AE77" s="407" t="str">
        <f>IF(AND('Antal &amp; Längder (vikter)'!H$10&lt;&gt;"",ISNUMBER($AH77)),'Antal &amp; Längder (vikter)'!H$10,"")</f>
        <v/>
      </c>
      <c r="AF77" s="425" t="str">
        <f t="shared" si="4"/>
        <v/>
      </c>
      <c r="AG77" s="426" t="str">
        <f t="shared" si="5"/>
        <v/>
      </c>
      <c r="AH77" s="409" t="str">
        <f>IF('Antal &amp; Längder (vikter)'!I$11="Längd (mm)",IF('Antal &amp; Längder (vikter)'!I16&lt;&gt;"",'Antal &amp; Längder (vikter)'!I16,"XX"),"XX")</f>
        <v>XX</v>
      </c>
      <c r="AI77" s="7">
        <v>-9</v>
      </c>
    </row>
    <row r="78" spans="1:35" hidden="1" x14ac:dyDescent="0.25">
      <c r="A78" s="105" t="s">
        <v>782</v>
      </c>
      <c r="B78" s="368" t="str">
        <f>IF(Protokoll!W63&lt;&gt;"",Protokoll!W63,"")</f>
        <v/>
      </c>
      <c r="C78" s="1" t="s">
        <v>794</v>
      </c>
      <c r="D78" s="370" t="str">
        <f>IF(B78="X",IF(COUNTIF(B$49:B77,"X")+COUNT(B$50:B$89)&lt;3,COUNT(B$50:B$89)+COUNTIF(B$49:B77,"X")+1,""),IF(AND(B78&lt;&gt;"",B78=MAX(B$50:B$89)),IF(COUNTIF(B$49:B77,MAX(B$50:B$89))&gt;0,IF(COUNTIF(B$49:B77,MAX(B$50:B$89))&lt;3,COUNTIF(B$49:B77,MAX(B$50:B$89))+1,""),1),IF(AND(B78&gt;=1,B78=MAX(B$50:B$89)-1),IF(COUNTIF(B$49:B77,MAX(B$50:B$89))+COUNTIF(B$49:B77,MAX(B$50:B$89)-1)&lt;3,COUNTIF(B$49:B$89,MAX(B$50:B$89))+COUNTIF(B$49:B77,MAX(B$50:B$89)-1)+1,""),IF(B78=1,IF(COUNTIF(B$49:B77,3)+COUNTIF(B$49:B$89,2)+COUNTIF(B$49:B77,1)&lt;3,COUNTIF(B$49:B$89,2)+COUNTIF(B$49:B$89,3)+COUNTIF(B$49:B77,1)+1,""),""))))</f>
        <v/>
      </c>
      <c r="F78" s="220" t="str">
        <f>IF(Protokoll!E$4&lt;&gt;"","",VLOOKUP(G78,I$113:J$403,2,FALSE))</f>
        <v/>
      </c>
      <c r="G78" s="145">
        <v>8</v>
      </c>
      <c r="I78" t="s">
        <v>142</v>
      </c>
      <c r="J78" s="145">
        <v>24</v>
      </c>
      <c r="L78" s="204"/>
      <c r="M78" s="357" t="s">
        <v>1452</v>
      </c>
      <c r="N78" s="199" t="str">
        <f>IF(AND(Protokoll!$AB$38&lt;&gt;"",Protokoll!$AB$38=$M78),"",$M78)</f>
        <v>Glasbjörk</v>
      </c>
      <c r="O78" s="199" t="str">
        <f>IF(AND(Protokoll!$R$38&lt;&gt;"",Protokoll!$R$38=$M78),"",$M78)</f>
        <v>Glasbjörk</v>
      </c>
      <c r="Q78" s="372" t="s">
        <v>2352</v>
      </c>
      <c r="T78" s="331" t="str">
        <f>IF(OR(Protokoll!$X$5&lt;&gt;"",Lokalbeskrivn!$M$4&lt;&gt;""),"",U78)</f>
        <v/>
      </c>
      <c r="U78" s="330" t="s">
        <v>1048</v>
      </c>
      <c r="V78" s="351" t="s">
        <v>1047</v>
      </c>
      <c r="W78" s="2"/>
      <c r="X78" s="2"/>
      <c r="Y78" s="401" t="s">
        <v>1579</v>
      </c>
      <c r="Z78" s="401" t="s">
        <v>1580</v>
      </c>
      <c r="AA78" s="2"/>
      <c r="AB78" s="471" t="str">
        <f>IF(COUNT(AB73:AB77)&gt;0,MAX(AB73:AB77)+1,"")</f>
        <v/>
      </c>
      <c r="AC78" s="433" t="str">
        <f>IF(AND(AH78&lt;&gt;"",AG78&lt;&gt;"",AI78&gt;0,AH78&gt;0),MAX(AC$2:AC77)+1,"XX")</f>
        <v>XX</v>
      </c>
      <c r="AD78" s="428" t="str">
        <f>IF('Antal &amp; Längder (vikter)'!$C$8&lt;&gt;"",'Antal &amp; Längder (vikter)'!$C$8,"XX")</f>
        <v>XX</v>
      </c>
      <c r="AE78" s="407" t="str">
        <f>IF(AND('Antal &amp; Längder (vikter)'!H$10&lt;&gt;"",ISNUMBER($AH78)),'Antal &amp; Längder (vikter)'!H$10,"")</f>
        <v/>
      </c>
      <c r="AF78" s="425" t="str">
        <f t="shared" si="4"/>
        <v/>
      </c>
      <c r="AG78" s="426" t="str">
        <f t="shared" si="5"/>
        <v/>
      </c>
      <c r="AH78" s="409" t="str">
        <f>IF('Antal &amp; Längder (vikter)'!I$11="Längd (mm)",IF('Antal &amp; Längder (vikter)'!I17&lt;&gt;"",'Antal &amp; Längder (vikter)'!I17,"XX"),"XX")</f>
        <v>XX</v>
      </c>
      <c r="AI78" s="7">
        <v>-9</v>
      </c>
    </row>
    <row r="79" spans="1:35" hidden="1" x14ac:dyDescent="0.25">
      <c r="A79" s="105" t="s">
        <v>854</v>
      </c>
      <c r="B79" s="368" t="str">
        <f>IF(Protokoll!AE63&lt;&gt;"",Protokoll!AE63,"")</f>
        <v/>
      </c>
      <c r="C79" s="1" t="s">
        <v>801</v>
      </c>
      <c r="D79" s="370" t="str">
        <f>IF(B79="X",IF(COUNTIF(B$49:B78,"X")+COUNT(B$50:B$89)&lt;3,COUNT(B$50:B$89)+COUNTIF(B$49:B78,"X")+1,""),IF(AND(B79&lt;&gt;"",B79=MAX(B$50:B$89)),IF(COUNTIF(B$49:B78,MAX(B$50:B$89))&gt;0,IF(COUNTIF(B$49:B78,MAX(B$50:B$89))&lt;3,COUNTIF(B$49:B78,MAX(B$50:B$89))+1,""),1),IF(AND(B79&gt;=1,B79=MAX(B$50:B$89)-1),IF(COUNTIF(B$49:B78,MAX(B$50:B$89))+COUNTIF(B$49:B78,MAX(B$50:B$89)-1)&lt;3,COUNTIF(B$49:B$89,MAX(B$50:B$89))+COUNTIF(B$49:B78,MAX(B$50:B$89)-1)+1,""),IF(B79=1,IF(COUNTIF(B$49:B78,3)+COUNTIF(B$49:B$89,2)+COUNTIF(B$49:B78,1)&lt;3,COUNTIF(B$49:B$89,2)+COUNTIF(B$49:B$89,3)+COUNTIF(B$49:B78,1)+1,""),""))))</f>
        <v/>
      </c>
      <c r="F79" s="220" t="str">
        <f>IF(Protokoll!E$4&lt;&gt;"","",VLOOKUP(G79,I$113:J$403,2,FALSE))</f>
        <v/>
      </c>
      <c r="G79" s="145">
        <v>7</v>
      </c>
      <c r="I79" t="s">
        <v>145</v>
      </c>
      <c r="J79" s="145">
        <v>22</v>
      </c>
      <c r="L79" s="204"/>
      <c r="M79" t="s">
        <v>4</v>
      </c>
      <c r="N79" s="199" t="str">
        <f>IF(AND(Protokoll!$AB$38&lt;&gt;"",Protokoll!$AB$38=$M79),"",$M79)</f>
        <v>Gran</v>
      </c>
      <c r="O79" s="199" t="str">
        <f>IF(AND(Protokoll!$R$38&lt;&gt;"",Protokoll!$R$38=$M79),"",$M79)</f>
        <v>Gran</v>
      </c>
      <c r="Q79" s="372" t="s">
        <v>2353</v>
      </c>
      <c r="T79" s="331" t="str">
        <f>IF(OR(Protokoll!$X$5&lt;&gt;"",Lokalbeskrivn!$M$4&lt;&gt;""),"",U79)</f>
        <v/>
      </c>
      <c r="U79" s="330" t="s">
        <v>1050</v>
      </c>
      <c r="V79" s="351" t="s">
        <v>1049</v>
      </c>
      <c r="W79" s="2"/>
      <c r="Y79" s="401" t="s">
        <v>1609</v>
      </c>
      <c r="Z79" s="401" t="s">
        <v>2139</v>
      </c>
      <c r="AB79" s="474" t="str">
        <f>IF(COUNT(AB73:AB78)&gt;0,MAX(AB73:AB78)+1,"")</f>
        <v/>
      </c>
      <c r="AC79" s="433" t="str">
        <f>IF(AND(AH79&lt;&gt;"",AG79&lt;&gt;"",AI79&gt;0,AH79&gt;0),MAX(AC$2:AC78)+1,"XX")</f>
        <v>XX</v>
      </c>
      <c r="AD79" s="428" t="str">
        <f>IF('Antal &amp; Längder (vikter)'!$C$8&lt;&gt;"",'Antal &amp; Längder (vikter)'!$C$8,"XX")</f>
        <v>XX</v>
      </c>
      <c r="AE79" s="407" t="str">
        <f>IF(AND('Antal &amp; Längder (vikter)'!H$10&lt;&gt;"",ISNUMBER($AH79)),'Antal &amp; Längder (vikter)'!H$10,"")</f>
        <v/>
      </c>
      <c r="AF79" s="425" t="str">
        <f t="shared" si="4"/>
        <v/>
      </c>
      <c r="AG79" s="426" t="str">
        <f t="shared" si="5"/>
        <v/>
      </c>
      <c r="AH79" s="409" t="str">
        <f>IF('Antal &amp; Längder (vikter)'!I$11="Längd (mm)",IF('Antal &amp; Längder (vikter)'!I18&lt;&gt;"",'Antal &amp; Längder (vikter)'!I18,"XX"),"XX")</f>
        <v>XX</v>
      </c>
      <c r="AI79" s="7">
        <v>-9</v>
      </c>
    </row>
    <row r="80" spans="1:35" hidden="1" x14ac:dyDescent="0.25">
      <c r="A80" s="105" t="s">
        <v>855</v>
      </c>
      <c r="B80" s="368" t="str">
        <f>IF(Protokoll!AE64&lt;&gt;"",Protokoll!AE64,"")</f>
        <v/>
      </c>
      <c r="C80" s="1" t="s">
        <v>800</v>
      </c>
      <c r="D80" s="370" t="str">
        <f>IF(B80="X",IF(COUNTIF(B$49:B79,"X")+COUNT(B$50:B$89)&lt;3,COUNT(B$50:B$89)+COUNTIF(B$49:B79,"X")+1,""),IF(AND(B80&lt;&gt;"",B80=MAX(B$50:B$89)),IF(COUNTIF(B$49:B79,MAX(B$50:B$89))&gt;0,IF(COUNTIF(B$49:B79,MAX(B$50:B$89))&lt;3,COUNTIF(B$49:B79,MAX(B$50:B$89))+1,""),1),IF(AND(B80&gt;=1,B80=MAX(B$50:B$89)-1),IF(COUNTIF(B$49:B79,MAX(B$50:B$89))+COUNTIF(B$49:B79,MAX(B$50:B$89)-1)&lt;3,COUNTIF(B$49:B$89,MAX(B$50:B$89))+COUNTIF(B$49:B79,MAX(B$50:B$89)-1)+1,""),IF(B80=1,IF(COUNTIF(B$49:B79,3)+COUNTIF(B$49:B$89,2)+COUNTIF(B$49:B79,1)&lt;3,COUNTIF(B$49:B$89,2)+COUNTIF(B$49:B$89,3)+COUNTIF(B$49:B79,1)+1,""),""))))</f>
        <v/>
      </c>
      <c r="F80" s="220" t="str">
        <f>IF(Protokoll!E$4&lt;&gt;"","",VLOOKUP(G80,I$113:J$403,2,FALSE))</f>
        <v/>
      </c>
      <c r="G80" s="145">
        <v>25</v>
      </c>
      <c r="I80" t="s">
        <v>125</v>
      </c>
      <c r="J80" s="145">
        <v>19</v>
      </c>
      <c r="L80" s="204"/>
      <c r="M80" t="s">
        <v>1453</v>
      </c>
      <c r="N80" s="199" t="str">
        <f>IF(AND(Protokoll!$AB$38&lt;&gt;"",Protokoll!$AB$38=$M80),"",$M80)</f>
        <v>Gråal</v>
      </c>
      <c r="O80" s="199" t="str">
        <f>IF(AND(Protokoll!$R$38&lt;&gt;"",Protokoll!$R$38=$M80),"",$M80)</f>
        <v>Gråal</v>
      </c>
      <c r="Q80" s="372" t="s">
        <v>2354</v>
      </c>
      <c r="T80" s="331" t="str">
        <f>IF(OR(Protokoll!$X$5&lt;&gt;"",Lokalbeskrivn!$M$4&lt;&gt;""),"",U80)</f>
        <v/>
      </c>
      <c r="U80" s="330" t="s">
        <v>1052</v>
      </c>
      <c r="V80" s="351" t="s">
        <v>1051</v>
      </c>
      <c r="W80" s="2"/>
      <c r="Y80" s="401" t="s">
        <v>1581</v>
      </c>
      <c r="Z80" s="401" t="s">
        <v>1582</v>
      </c>
      <c r="AB80" s="478" t="str">
        <f>IF(COUNT(AB73:AB79)&gt;0,MAX(AB73:AB79)+1,"")</f>
        <v/>
      </c>
      <c r="AC80" s="433" t="str">
        <f>IF(AND(AH80&lt;&gt;"",AG80&lt;&gt;"",AI80&gt;0,AH80&gt;0),MAX(AC$2:AC79)+1,"XX")</f>
        <v>XX</v>
      </c>
      <c r="AD80" s="428" t="str">
        <f>IF('Antal &amp; Längder (vikter)'!$C$8&lt;&gt;"",'Antal &amp; Längder (vikter)'!$C$8,"XX")</f>
        <v>XX</v>
      </c>
      <c r="AE80" s="407" t="str">
        <f>IF(AND('Antal &amp; Längder (vikter)'!H$10&lt;&gt;"",ISNUMBER($AH80)),'Antal &amp; Längder (vikter)'!H$10,"")</f>
        <v/>
      </c>
      <c r="AF80" s="425" t="str">
        <f t="shared" si="4"/>
        <v/>
      </c>
      <c r="AG80" s="426" t="str">
        <f t="shared" si="5"/>
        <v/>
      </c>
      <c r="AH80" s="409" t="str">
        <f>IF('Antal &amp; Längder (vikter)'!I$11="Längd (mm)",IF('Antal &amp; Längder (vikter)'!I19&lt;&gt;"",'Antal &amp; Längder (vikter)'!I19,"XX"),"XX")</f>
        <v>XX</v>
      </c>
      <c r="AI80" s="7">
        <v>-9</v>
      </c>
    </row>
    <row r="81" spans="1:48" hidden="1" x14ac:dyDescent="0.25">
      <c r="A81" s="105" t="s">
        <v>856</v>
      </c>
      <c r="B81" s="368" t="str">
        <f>IF(Protokoll!I63&lt;&gt;"",Protokoll!I63,"")</f>
        <v/>
      </c>
      <c r="C81" s="1" t="s">
        <v>770</v>
      </c>
      <c r="D81" s="370" t="str">
        <f>IF(B81="X",IF(COUNTIF(B$49:B80,"X")+COUNT(B$50:B$89)&lt;3,COUNT(B$50:B$89)+COUNTIF(B$49:B80,"X")+1,""),IF(AND(B81&lt;&gt;"",B81=MAX(B$50:B$89)),IF(COUNTIF(B$49:B80,MAX(B$50:B$89))&gt;0,IF(COUNTIF(B$49:B80,MAX(B$50:B$89))&lt;3,COUNTIF(B$49:B80,MAX(B$50:B$89))+1,""),1),IF(AND(B81&gt;=1,B81=MAX(B$50:B$89)-1),IF(COUNTIF(B$49:B80,MAX(B$50:B$89))+COUNTIF(B$49:B80,MAX(B$50:B$89)-1)&lt;3,COUNTIF(B$49:B$89,MAX(B$50:B$89))+COUNTIF(B$49:B80,MAX(B$50:B$89)-1)+1,""),IF(B81=1,IF(COUNTIF(B$49:B80,3)+COUNTIF(B$49:B$89,2)+COUNTIF(B$49:B80,1)&lt;3,COUNTIF(B$49:B$89,2)+COUNTIF(B$49:B$89,3)+COUNTIF(B$49:B80,1)+1,""),""))))</f>
        <v/>
      </c>
      <c r="F81" s="220" t="str">
        <f>IF(Protokoll!E$4&lt;&gt;"","",VLOOKUP(G81,I$113:J$403,2,FALSE))</f>
        <v/>
      </c>
      <c r="G81" s="145">
        <v>12</v>
      </c>
      <c r="I81" t="s">
        <v>114</v>
      </c>
      <c r="J81" s="145">
        <v>14</v>
      </c>
      <c r="L81" s="204"/>
      <c r="M81" s="357" t="s">
        <v>1454</v>
      </c>
      <c r="N81" s="199" t="str">
        <f>IF(AND(Protokoll!$AB$38&lt;&gt;"",Protokoll!$AB$38=$M81),"",$M81)</f>
        <v>Hagtorn</v>
      </c>
      <c r="O81" s="199" t="str">
        <f>IF(AND(Protokoll!$R$38&lt;&gt;"",Protokoll!$R$38=$M81),"",$M81)</f>
        <v>Hagtorn</v>
      </c>
      <c r="Q81" s="372" t="s">
        <v>2355</v>
      </c>
      <c r="T81" s="331" t="str">
        <f>IF(OR(Protokoll!$X$5&lt;&gt;"",Lokalbeskrivn!$M$4&lt;&gt;""),"",U81)</f>
        <v/>
      </c>
      <c r="U81" s="330" t="s">
        <v>1054</v>
      </c>
      <c r="V81" s="351" t="s">
        <v>1053</v>
      </c>
      <c r="W81" s="2"/>
      <c r="Y81" s="401" t="s">
        <v>1925</v>
      </c>
      <c r="Z81" s="401" t="s">
        <v>1926</v>
      </c>
      <c r="AB81" s="472" t="str">
        <f>IF(COUNT(AB73:AB80)&gt;0,MAX(AB73:AB80)+1,"")</f>
        <v/>
      </c>
      <c r="AC81" s="433" t="str">
        <f>IF(AND(AH81&lt;&gt;"",AG81&lt;&gt;"",AI81&gt;0,AH81&gt;0),MAX(AC$2:AC80)+1,"XX")</f>
        <v>XX</v>
      </c>
      <c r="AD81" s="428" t="str">
        <f>IF('Antal &amp; Längder (vikter)'!$C$8&lt;&gt;"",'Antal &amp; Längder (vikter)'!$C$8,"XX")</f>
        <v>XX</v>
      </c>
      <c r="AE81" s="407" t="str">
        <f>IF(AND('Antal &amp; Längder (vikter)'!H$10&lt;&gt;"",ISNUMBER($AH81)),'Antal &amp; Längder (vikter)'!H$10,"")</f>
        <v/>
      </c>
      <c r="AF81" s="425" t="str">
        <f t="shared" si="4"/>
        <v/>
      </c>
      <c r="AG81" s="426" t="str">
        <f t="shared" si="5"/>
        <v/>
      </c>
      <c r="AH81" s="409" t="str">
        <f>IF('Antal &amp; Längder (vikter)'!I$11="Längd (mm)",IF('Antal &amp; Längder (vikter)'!I20&lt;&gt;"",'Antal &amp; Längder (vikter)'!I20,"XX"),"XX")</f>
        <v>XX</v>
      </c>
      <c r="AI81" s="7">
        <v>-9</v>
      </c>
    </row>
    <row r="82" spans="1:48" hidden="1" x14ac:dyDescent="0.25">
      <c r="A82" s="105" t="s">
        <v>861</v>
      </c>
      <c r="B82" s="368" t="str">
        <f>IF(Protokoll!I64&lt;&gt;"",Protokoll!I64,"")</f>
        <v/>
      </c>
      <c r="C82" s="1" t="s">
        <v>773</v>
      </c>
      <c r="D82" s="370" t="str">
        <f>IF(B82="X",IF(COUNTIF(B$49:B81,"X")+COUNT(B$50:B$89)&lt;3,COUNT(B$50:B$89)+COUNTIF(B$49:B81,"X")+1,""),IF(AND(B82&lt;&gt;"",B82=MAX(B$50:B$89)),IF(COUNTIF(B$49:B81,MAX(B$50:B$89))&gt;0,IF(COUNTIF(B$49:B81,MAX(B$50:B$89))&lt;3,COUNTIF(B$49:B81,MAX(B$50:B$89))+1,""),1),IF(AND(B82&gt;=1,B82=MAX(B$50:B$89)-1),IF(COUNTIF(B$49:B81,MAX(B$50:B$89))+COUNTIF(B$49:B81,MAX(B$50:B$89)-1)&lt;3,COUNTIF(B$49:B$89,MAX(B$50:B$89))+COUNTIF(B$49:B81,MAX(B$50:B$89)-1)+1,""),IF(B82=1,IF(COUNTIF(B$49:B81,3)+COUNTIF(B$49:B$89,2)+COUNTIF(B$49:B81,1)&lt;3,COUNTIF(B$49:B$89,2)+COUNTIF(B$49:B$89,3)+COUNTIF(B$49:B81,1)+1,""),""))))</f>
        <v/>
      </c>
      <c r="F82" s="220" t="str">
        <f>IF(Protokoll!E$4&lt;&gt;"","",VLOOKUP(G82,I$113:J$403,2,FALSE))</f>
        <v/>
      </c>
      <c r="G82" s="145">
        <v>1</v>
      </c>
      <c r="I82" t="s">
        <v>133</v>
      </c>
      <c r="J82" s="145">
        <v>18</v>
      </c>
      <c r="L82" s="204"/>
      <c r="M82" s="357" t="s">
        <v>1455</v>
      </c>
      <c r="N82" s="199" t="str">
        <f>IF(AND(Protokoll!$AB$38&lt;&gt;"",Protokoll!$AB$38=$M82),"",$M82)</f>
        <v>Hassel</v>
      </c>
      <c r="O82" s="199" t="str">
        <f>IF(AND(Protokoll!$R$38&lt;&gt;"",Protokoll!$R$38=$M82),"",$M82)</f>
        <v>Hassel</v>
      </c>
      <c r="Q82" s="620"/>
      <c r="T82" s="331" t="str">
        <f>IF(OR(Protokoll!$X$5&lt;&gt;"",Lokalbeskrivn!$M$4&lt;&gt;""),"",U82)</f>
        <v/>
      </c>
      <c r="U82" s="330" t="s">
        <v>1056</v>
      </c>
      <c r="V82" s="351" t="s">
        <v>1055</v>
      </c>
      <c r="W82" s="2"/>
      <c r="Y82" s="401" t="s">
        <v>1927</v>
      </c>
      <c r="Z82" s="401" t="s">
        <v>1928</v>
      </c>
      <c r="AB82" s="479" t="str">
        <f>IF(COUNT(AB73:AB81)&gt;0,MAX(AB73:AB81)+1,"")</f>
        <v/>
      </c>
      <c r="AC82" s="433" t="str">
        <f>IF(AND(AH82&lt;&gt;"",AG82&lt;&gt;"",AI82&gt;0,AH82&gt;0),MAX(AC$2:AC81)+1,"XX")</f>
        <v>XX</v>
      </c>
      <c r="AD82" s="428" t="str">
        <f>IF('Antal &amp; Längder (vikter)'!$C$8&lt;&gt;"",'Antal &amp; Längder (vikter)'!$C$8,"XX")</f>
        <v>XX</v>
      </c>
      <c r="AE82" s="407" t="str">
        <f>IF(AND('Antal &amp; Längder (vikter)'!H$10&lt;&gt;"",ISNUMBER($AH82)),'Antal &amp; Längder (vikter)'!H$10,"")</f>
        <v/>
      </c>
      <c r="AF82" s="425" t="str">
        <f t="shared" si="4"/>
        <v/>
      </c>
      <c r="AG82" s="426" t="str">
        <f t="shared" si="5"/>
        <v/>
      </c>
      <c r="AH82" s="409" t="str">
        <f>IF('Antal &amp; Längder (vikter)'!I$11="Längd (mm)",IF('Antal &amp; Längder (vikter)'!I21&lt;&gt;"",'Antal &amp; Längder (vikter)'!I21,"XX"),"XX")</f>
        <v>XX</v>
      </c>
      <c r="AI82" s="7">
        <v>-9</v>
      </c>
    </row>
    <row r="83" spans="1:48" hidden="1" x14ac:dyDescent="0.25">
      <c r="A83" s="105" t="s">
        <v>858</v>
      </c>
      <c r="B83" s="368" t="str">
        <f>IF(Protokoll!W64&lt;&gt;"",Protokoll!W64,"")</f>
        <v/>
      </c>
      <c r="C83" s="1" t="s">
        <v>795</v>
      </c>
      <c r="D83" s="370" t="str">
        <f>IF(B83="X",IF(COUNTIF(B$49:B82,"X")+COUNT(B$50:B$89)&lt;3,COUNT(B$50:B$89)+COUNTIF(B$49:B82,"X")+1,""),IF(AND(B83&lt;&gt;"",B83=MAX(B$50:B$89)),IF(COUNTIF(B$49:B82,MAX(B$50:B$89))&gt;0,IF(COUNTIF(B$49:B82,MAX(B$50:B$89))&lt;3,COUNTIF(B$49:B82,MAX(B$50:B$89))+1,""),1),IF(AND(B83&gt;=1,B83=MAX(B$50:B$89)-1),IF(COUNTIF(B$49:B82,MAX(B$50:B$89))+COUNTIF(B$49:B82,MAX(B$50:B$89)-1)&lt;3,COUNTIF(B$49:B$89,MAX(B$50:B$89))+COUNTIF(B$49:B82,MAX(B$50:B$89)-1)+1,""),IF(B83=1,IF(COUNTIF(B$49:B82,3)+COUNTIF(B$49:B$89,2)+COUNTIF(B$49:B82,1)&lt;3,COUNTIF(B$49:B$89,2)+COUNTIF(B$49:B$89,3)+COUNTIF(B$49:B82,1)+1,""),""))))</f>
        <v/>
      </c>
      <c r="F83" s="220" t="str">
        <f>IF(Protokoll!E$4&lt;&gt;"","",VLOOKUP(G83,I$113:J$403,2,FALSE))</f>
        <v/>
      </c>
      <c r="G83" s="145">
        <v>4</v>
      </c>
      <c r="I83" t="s">
        <v>150</v>
      </c>
      <c r="J83" s="145">
        <v>5</v>
      </c>
      <c r="L83" s="204"/>
      <c r="M83" t="s">
        <v>1456</v>
      </c>
      <c r="N83" s="199" t="str">
        <f>IF(AND(Protokoll!$AB$38&lt;&gt;"",Protokoll!$AB$38=$M83),"",$M83)</f>
        <v>Hägg</v>
      </c>
      <c r="O83" s="199" t="str">
        <f>IF(AND(Protokoll!$R$38&lt;&gt;"",Protokoll!$R$38=$M83),"",$M83)</f>
        <v>Hägg</v>
      </c>
      <c r="Q83" s="620"/>
      <c r="T83" s="331" t="str">
        <f>IF(OR(Protokoll!$X$5&lt;&gt;"",Lokalbeskrivn!$M$4&lt;&gt;""),"",U83)</f>
        <v/>
      </c>
      <c r="U83" s="330" t="s">
        <v>1058</v>
      </c>
      <c r="V83" s="351" t="s">
        <v>1057</v>
      </c>
      <c r="W83" s="2"/>
      <c r="Y83" s="401" t="s">
        <v>1929</v>
      </c>
      <c r="Z83" s="401" t="s">
        <v>1930</v>
      </c>
      <c r="AB83" s="480" t="str">
        <f>IF(AND(ISNUMBER(AH83),AH83&gt;0),IF(MAX(AB$3:AB82)&gt;0,MAX(AB$3:AB82)+1,10+COUNTIF(F$38:F$49,"&gt;0")*10+1),"")</f>
        <v/>
      </c>
      <c r="AC83" s="433" t="str">
        <f>IF(AND(AH83&lt;&gt;"",AG83&lt;&gt;"",AI83&gt;0,AH83&gt;0),MAX(AC$2:AC82)+1,"XX")</f>
        <v>XX</v>
      </c>
      <c r="AD83" s="428" t="str">
        <f>IF('Antal &amp; Längder (vikter)'!$C$8&lt;&gt;"",'Antal &amp; Längder (vikter)'!$C$8,"XX")</f>
        <v>XX</v>
      </c>
      <c r="AE83" s="405" t="str">
        <f>IF(AND('Antal &amp; Längder (vikter)'!J$10&lt;&gt;"",ISNUMBER($AH83)),'Antal &amp; Längder (vikter)'!J$10,"")</f>
        <v/>
      </c>
      <c r="AF83" s="425" t="str">
        <f t="shared" si="4"/>
        <v/>
      </c>
      <c r="AG83" s="426" t="str">
        <f t="shared" si="5"/>
        <v/>
      </c>
      <c r="AH83" s="407" t="str">
        <f>IF('Antal &amp; Längder (vikter)'!J12&lt;&gt;"",'Antal &amp; Längder (vikter)'!J12,"XX")</f>
        <v>XX</v>
      </c>
      <c r="AI83" s="436">
        <f>IF('Antal &amp; Längder (vikter)'!K$11="Vikt (g)",'Antal &amp; Längder (vikter)'!K12,-9)</f>
        <v>-9</v>
      </c>
      <c r="AN83" s="357"/>
      <c r="AO83" s="357"/>
      <c r="AP83" s="357"/>
      <c r="AQ83" s="357"/>
      <c r="AR83" s="357"/>
      <c r="AS83" s="357"/>
      <c r="AT83" s="357"/>
      <c r="AU83" s="357"/>
      <c r="AV83" s="357"/>
    </row>
    <row r="84" spans="1:48" hidden="1" x14ac:dyDescent="0.25">
      <c r="A84" s="105" t="s">
        <v>1493</v>
      </c>
      <c r="B84" s="368" t="str">
        <f>IF(Protokoll!AA65&lt;&gt;"",Protokoll!AA65,"")</f>
        <v/>
      </c>
      <c r="C84" s="1" t="s">
        <v>802</v>
      </c>
      <c r="D84" s="370" t="str">
        <f>IF(B84="X",IF(COUNTIF(B$49:B83,"X")+COUNT(B$50:B$89)&lt;3,COUNT(B$50:B$89)+COUNTIF(B$49:B83,"X")+1,""),IF(AND(B84&lt;&gt;"",B84=MAX(B$50:B$89)),IF(COUNTIF(B$49:B83,MAX(B$50:B$89))&gt;0,IF(COUNTIF(B$49:B83,MAX(B$50:B$89))&lt;3,COUNTIF(B$49:B83,MAX(B$50:B$89))+1,""),1),IF(AND(B84&gt;=1,B84=MAX(B$50:B$89)-1),IF(COUNTIF(B$49:B83,MAX(B$50:B$89))+COUNTIF(B$49:B83,MAX(B$50:B$89)-1)&lt;3,COUNTIF(B$49:B$89,MAX(B$50:B$89))+COUNTIF(B$49:B83,MAX(B$50:B$89)-1)+1,""),IF(B84=1,IF(COUNTIF(B$49:B83,3)+COUNTIF(B$49:B$89,2)+COUNTIF(B$49:B83,1)&lt;3,COUNTIF(B$49:B$89,2)+COUNTIF(B$49:B$89,3)+COUNTIF(B$49:B83,1)+1,""),""))))</f>
        <v/>
      </c>
      <c r="F84" s="220" t="str">
        <f>IF(Protokoll!E$4&lt;&gt;"","",VLOOKUP(G84,I$113:J$403,2,FALSE))</f>
        <v/>
      </c>
      <c r="G84" s="145">
        <v>3</v>
      </c>
      <c r="L84" s="204"/>
      <c r="M84" s="357" t="s">
        <v>1457</v>
      </c>
      <c r="N84" s="199" t="str">
        <f>IF(AND(Protokoll!$AB$38&lt;&gt;"",Protokoll!$AB$38=$M84),"",$M84)</f>
        <v>Hästkastanj</v>
      </c>
      <c r="O84" s="199" t="str">
        <f>IF(AND(Protokoll!$R$38&lt;&gt;"",Protokoll!$R$38=$M84),"",$M84)</f>
        <v>Hästkastanj</v>
      </c>
      <c r="Q84" s="620"/>
      <c r="T84" s="331" t="str">
        <f>IF(OR(Protokoll!$X$5&lt;&gt;"",Lokalbeskrivn!$M$4&lt;&gt;""),"",U84)</f>
        <v/>
      </c>
      <c r="U84" s="330" t="s">
        <v>1060</v>
      </c>
      <c r="V84" s="351" t="s">
        <v>1059</v>
      </c>
      <c r="W84" s="2"/>
      <c r="Y84" s="401" t="s">
        <v>1931</v>
      </c>
      <c r="Z84" s="401" t="s">
        <v>1932</v>
      </c>
      <c r="AB84" s="476" t="str">
        <f>IF(COUNT(AB83:AB83)&gt;0,MAX(AB83:AB83)+1,"")</f>
        <v/>
      </c>
      <c r="AC84" s="433" t="str">
        <f>IF(AND(AH84&lt;&gt;"",AG84&lt;&gt;"",AI84&gt;0,AH84&gt;0),MAX(AC$2:AC83)+1,"XX")</f>
        <v>XX</v>
      </c>
      <c r="AD84" s="428" t="str">
        <f>IF('Antal &amp; Längder (vikter)'!$C$8&lt;&gt;"",'Antal &amp; Längder (vikter)'!$C$8,"XX")</f>
        <v>XX</v>
      </c>
      <c r="AE84" s="405" t="str">
        <f>IF(AND('Antal &amp; Längder (vikter)'!J$10&lt;&gt;"",ISNUMBER($AH84)),'Antal &amp; Längder (vikter)'!J$10,"")</f>
        <v/>
      </c>
      <c r="AF84" s="425" t="str">
        <f t="shared" si="4"/>
        <v/>
      </c>
      <c r="AG84" s="426" t="str">
        <f t="shared" si="5"/>
        <v/>
      </c>
      <c r="AH84" s="407" t="str">
        <f>IF('Antal &amp; Längder (vikter)'!J13&lt;&gt;"",'Antal &amp; Längder (vikter)'!J13,"XX")</f>
        <v>XX</v>
      </c>
      <c r="AI84" s="436">
        <f>IF('Antal &amp; Längder (vikter)'!K$11="Vikt (g)",'Antal &amp; Längder (vikter)'!K13,-9)</f>
        <v>-9</v>
      </c>
      <c r="AN84" s="357"/>
      <c r="AO84" s="357"/>
      <c r="AP84" s="357"/>
      <c r="AQ84" s="357"/>
      <c r="AR84" s="357"/>
      <c r="AS84" s="357"/>
      <c r="AT84" s="357"/>
      <c r="AU84" s="357"/>
      <c r="AV84" s="357"/>
    </row>
    <row r="85" spans="1:48" hidden="1" x14ac:dyDescent="0.25">
      <c r="A85" s="105" t="s">
        <v>859</v>
      </c>
      <c r="B85" s="368" t="str">
        <f>IF(Protokoll!AE65&lt;&gt;"",Protokoll!AE65,"")</f>
        <v/>
      </c>
      <c r="C85" s="1" t="s">
        <v>834</v>
      </c>
      <c r="D85" s="370" t="str">
        <f>IF(B85="X",IF(COUNTIF(B$49:B84,"X")+COUNT(B$50:B$89)&lt;3,COUNT(B$50:B$89)+COUNTIF(B$49:B84,"X")+1,""),IF(AND(B85&lt;&gt;"",B85=MAX(B$50:B$89)),IF(COUNTIF(B$49:B84,MAX(B$50:B$89))&gt;0,IF(COUNTIF(B$49:B84,MAX(B$50:B$89))&lt;3,COUNTIF(B$49:B84,MAX(B$50:B$89))+1,""),1),IF(AND(B85&gt;=1,B85=MAX(B$50:B$89)-1),IF(COUNTIF(B$49:B84,MAX(B$50:B$89))+COUNTIF(B$49:B84,MAX(B$50:B$89)-1)&lt;3,COUNTIF(B$49:B$89,MAX(B$50:B$89))+COUNTIF(B$49:B84,MAX(B$50:B$89)-1)+1,""),IF(B85=1,IF(COUNTIF(B$49:B84,3)+COUNTIF(B$49:B$89,2)+COUNTIF(B$49:B84,1)&lt;3,COUNTIF(B$49:B$89,2)+COUNTIF(B$49:B$89,3)+COUNTIF(B$49:B84,1)+1,""),""))))</f>
        <v/>
      </c>
      <c r="F85" s="220" t="str">
        <f>IF(Protokoll!E$4&lt;&gt;"","",VLOOKUP(G85,I$113:J$403,2,FALSE))</f>
        <v/>
      </c>
      <c r="G85" s="145">
        <v>17</v>
      </c>
      <c r="I85" s="198" t="s">
        <v>471</v>
      </c>
      <c r="J85" s="136"/>
      <c r="L85" s="204"/>
      <c r="M85" s="357" t="s">
        <v>1458</v>
      </c>
      <c r="N85" s="199" t="str">
        <f>IF(AND(Protokoll!$AB$38&lt;&gt;"",Protokoll!$AB$38=$M85),"",$M85)</f>
        <v>Klibbal</v>
      </c>
      <c r="O85" s="199" t="str">
        <f>IF(AND(Protokoll!$R$38&lt;&gt;"",Protokoll!$R$38=$M85),"",$M85)</f>
        <v>Klibbal</v>
      </c>
      <c r="Q85" s="620"/>
      <c r="T85" s="331" t="str">
        <f>IF(OR(Protokoll!$X$5&lt;&gt;"",Lokalbeskrivn!$M$4&lt;&gt;""),"",U85)</f>
        <v/>
      </c>
      <c r="U85" s="330" t="s">
        <v>1062</v>
      </c>
      <c r="V85" s="351" t="s">
        <v>1061</v>
      </c>
      <c r="W85" s="2"/>
      <c r="Y85" s="643" t="s">
        <v>1933</v>
      </c>
      <c r="Z85" s="401" t="s">
        <v>1934</v>
      </c>
      <c r="AB85" s="477" t="str">
        <f>IF(COUNT(AB83:AB84)&gt;0,MAX(AB83:AB84)+1,"")</f>
        <v/>
      </c>
      <c r="AC85" s="433" t="str">
        <f>IF(AND(AH85&lt;&gt;"",AG85&lt;&gt;"",AI85&gt;0,AH85&gt;0),MAX(AC$2:AC84)+1,"XX")</f>
        <v>XX</v>
      </c>
      <c r="AD85" s="428" t="str">
        <f>IF('Antal &amp; Längder (vikter)'!$C$8&lt;&gt;"",'Antal &amp; Längder (vikter)'!$C$8,"XX")</f>
        <v>XX</v>
      </c>
      <c r="AE85" s="405" t="str">
        <f>IF(AND('Antal &amp; Längder (vikter)'!J$10&lt;&gt;"",ISNUMBER($AH85)),'Antal &amp; Längder (vikter)'!J$10,"")</f>
        <v/>
      </c>
      <c r="AF85" s="425" t="str">
        <f t="shared" si="4"/>
        <v/>
      </c>
      <c r="AG85" s="426" t="str">
        <f t="shared" si="5"/>
        <v/>
      </c>
      <c r="AH85" s="407" t="str">
        <f>IF('Antal &amp; Längder (vikter)'!J14&lt;&gt;"",'Antal &amp; Längder (vikter)'!J14,"XX")</f>
        <v>XX</v>
      </c>
      <c r="AI85" s="436">
        <f>IF('Antal &amp; Längder (vikter)'!K$11="Vikt (g)",'Antal &amp; Längder (vikter)'!K14,-9)</f>
        <v>-9</v>
      </c>
      <c r="AN85" s="357"/>
      <c r="AO85" s="357"/>
      <c r="AP85" s="357"/>
      <c r="AQ85" s="357"/>
      <c r="AR85" s="357"/>
      <c r="AS85" s="357"/>
      <c r="AT85" s="357"/>
      <c r="AU85" s="357"/>
      <c r="AV85" s="357"/>
    </row>
    <row r="86" spans="1:48" hidden="1" x14ac:dyDescent="0.25">
      <c r="A86" s="105" t="s">
        <v>860</v>
      </c>
      <c r="B86" s="368" t="str">
        <f>IF(Protokoll!M64&lt;&gt;"",Protokoll!M64,"")</f>
        <v/>
      </c>
      <c r="C86" s="1" t="s">
        <v>771</v>
      </c>
      <c r="D86" s="370" t="str">
        <f>IF(B86="X",IF(COUNTIF(B$49:B85,"X")+COUNT(B$50:B$89)&lt;3,COUNT(B$50:B$89)+COUNTIF(B$49:B85,"X")+1,""),IF(AND(B86&lt;&gt;"",B86=MAX(B$50:B$89)),IF(COUNTIF(B$49:B85,MAX(B$50:B$89))&gt;0,IF(COUNTIF(B$49:B85,MAX(B$50:B$89))&lt;3,COUNTIF(B$49:B85,MAX(B$50:B$89))+1,""),1),IF(AND(B86&gt;=1,B86=MAX(B$50:B$89)-1),IF(COUNTIF(B$49:B85,MAX(B$50:B$89))+COUNTIF(B$49:B85,MAX(B$50:B$89)-1)&lt;3,COUNTIF(B$49:B$89,MAX(B$50:B$89))+COUNTIF(B$49:B85,MAX(B$50:B$89)-1)+1,""),IF(B86=1,IF(COUNTIF(B$49:B85,3)+COUNTIF(B$49:B$89,2)+COUNTIF(B$49:B85,1)&lt;3,COUNTIF(B$49:B$89,2)+COUNTIF(B$49:B$89,3)+COUNTIF(B$49:B85,1)+1,""),""))))</f>
        <v/>
      </c>
      <c r="F86" s="220" t="str">
        <f>IF(Protokoll!E$4&lt;&gt;"","",VLOOKUP(G86,I$113:J$403,2,FALSE))</f>
        <v/>
      </c>
      <c r="G86" s="145">
        <v>24</v>
      </c>
      <c r="I86" s="199" t="str">
        <f>IF('Antal &amp; Längder (vikter)'!$P11&lt;&gt;"",VLOOKUP('Antal &amp; Längder (vikter)'!$P11,$N$1:$O$60,2,FALSE),"")</f>
        <v/>
      </c>
      <c r="J86" s="2" t="s">
        <v>471</v>
      </c>
      <c r="L86" s="204"/>
      <c r="M86" s="357" t="s">
        <v>1459</v>
      </c>
      <c r="N86" s="199" t="str">
        <f>IF(AND(Protokoll!$AB$38&lt;&gt;"",Protokoll!$AB$38=$M86),"",$M86)</f>
        <v>Körsbär</v>
      </c>
      <c r="O86" s="199" t="str">
        <f>IF(AND(Protokoll!$R$38&lt;&gt;"",Protokoll!$R$38=$M86),"",$M86)</f>
        <v>Körsbär</v>
      </c>
      <c r="Q86" s="620"/>
      <c r="T86" s="331" t="str">
        <f>IF(OR(Protokoll!$X$5&lt;&gt;"",Lokalbeskrivn!$M$4&lt;&gt;""),"",U86)</f>
        <v/>
      </c>
      <c r="U86" s="330" t="s">
        <v>1064</v>
      </c>
      <c r="V86" s="351" t="s">
        <v>1063</v>
      </c>
      <c r="W86" s="2"/>
      <c r="Y86" s="401" t="s">
        <v>1610</v>
      </c>
      <c r="Z86" s="401" t="s">
        <v>1611</v>
      </c>
      <c r="AB86" s="434" t="str">
        <f>IF(COUNT(AB83:AB85)&gt;0,MAX(AB83:AB85)+1,"")</f>
        <v/>
      </c>
      <c r="AC86" s="433" t="str">
        <f>IF(AND(AH86&lt;&gt;"",AG86&lt;&gt;"",AI86&gt;0,AH86&gt;0),MAX(AC$2:AC85)+1,"XX")</f>
        <v>XX</v>
      </c>
      <c r="AD86" s="428" t="str">
        <f>IF('Antal &amp; Längder (vikter)'!$C$8&lt;&gt;"",'Antal &amp; Längder (vikter)'!$C$8,"XX")</f>
        <v>XX</v>
      </c>
      <c r="AE86" s="405" t="str">
        <f>IF(AND('Antal &amp; Längder (vikter)'!J$10&lt;&gt;"",ISNUMBER($AH86)),'Antal &amp; Längder (vikter)'!J$10,"")</f>
        <v/>
      </c>
      <c r="AF86" s="425" t="str">
        <f t="shared" si="4"/>
        <v/>
      </c>
      <c r="AG86" s="426" t="str">
        <f t="shared" si="5"/>
        <v/>
      </c>
      <c r="AH86" s="407" t="str">
        <f>IF('Antal &amp; Längder (vikter)'!J15&lt;&gt;"",'Antal &amp; Längder (vikter)'!J15,"XX")</f>
        <v>XX</v>
      </c>
      <c r="AI86" s="436">
        <f>IF('Antal &amp; Längder (vikter)'!K$11="Vikt (g)",'Antal &amp; Längder (vikter)'!K15,-9)</f>
        <v>-9</v>
      </c>
      <c r="AN86" s="357"/>
      <c r="AO86" s="357"/>
      <c r="AP86" s="357"/>
      <c r="AQ86" s="357"/>
      <c r="AR86" s="357"/>
      <c r="AS86" s="357"/>
      <c r="AT86" s="357"/>
      <c r="AU86" s="357"/>
      <c r="AV86" s="357"/>
    </row>
    <row r="87" spans="1:48" hidden="1" x14ac:dyDescent="0.25">
      <c r="A87" s="105" t="s">
        <v>867</v>
      </c>
      <c r="B87" s="368" t="str">
        <f>IF(Protokoll!AE66&lt;&gt;"",Protokoll!AE66,"")</f>
        <v/>
      </c>
      <c r="C87" s="1" t="s">
        <v>868</v>
      </c>
      <c r="D87" s="370" t="str">
        <f>IF(B87="X",IF(COUNTIF(B$49:B86,"X")+COUNT(B$50:B$89)&lt;3,COUNT(B$50:B$89)+COUNTIF(B$49:B86,"X")+1,""),IF(AND(B87&lt;&gt;"",B87=MAX(B$50:B$89)),IF(COUNTIF(B$49:B86,MAX(B$50:B$89))&gt;0,IF(COUNTIF(B$49:B86,MAX(B$50:B$89))&lt;3,COUNTIF(B$49:B86,MAX(B$50:B$89))+1,""),1),IF(AND(B87&gt;=1,B87=MAX(B$50:B$89)-1),IF(COUNTIF(B$49:B86,MAX(B$50:B$89))+COUNTIF(B$49:B86,MAX(B$50:B$89)-1)&lt;3,COUNTIF(B$49:B$89,MAX(B$50:B$89))+COUNTIF(B$49:B86,MAX(B$50:B$89)-1)+1,""),IF(B87=1,IF(COUNTIF(B$49:B86,3)+COUNTIF(B$49:B$89,2)+COUNTIF(B$49:B86,1)&lt;3,COUNTIF(B$49:B$89,2)+COUNTIF(B$49:B$89,3)+COUNTIF(B$49:B86,1)+1,""),""))))</f>
        <v/>
      </c>
      <c r="F87" s="220" t="str">
        <f>IF(Protokoll!E$4&lt;&gt;"","",VLOOKUP(G87,I$113:J$403,2,FALSE))</f>
        <v/>
      </c>
      <c r="G87" s="145">
        <v>22</v>
      </c>
      <c r="I87" s="2" t="s">
        <v>471</v>
      </c>
      <c r="J87" s="199" t="str">
        <f>IF('Antal &amp; Längder (vikter)'!$P12&lt;&gt;"",VLOOKUP('Antal &amp; Längder (vikter)'!$P12,$N$1:$O$60,2,FALSE),"")</f>
        <v/>
      </c>
      <c r="L87" s="204"/>
      <c r="M87" t="s">
        <v>1460</v>
      </c>
      <c r="N87" s="199" t="str">
        <f>IF(AND(Protokoll!$AB$38&lt;&gt;"",Protokoll!$AB$38=$M87),"",$M87)</f>
        <v>Lind</v>
      </c>
      <c r="O87" s="199" t="str">
        <f>IF(AND(Protokoll!$R$38&lt;&gt;"",Protokoll!$R$38=$M87),"",$M87)</f>
        <v>Lind</v>
      </c>
      <c r="Q87" s="620"/>
      <c r="T87" s="331" t="str">
        <f>IF(OR(Protokoll!$X$5&lt;&gt;"",Lokalbeskrivn!$M$4&lt;&gt;""),"",U87)</f>
        <v/>
      </c>
      <c r="U87" s="330" t="s">
        <v>1066</v>
      </c>
      <c r="V87" s="351" t="s">
        <v>1065</v>
      </c>
      <c r="W87" s="2"/>
      <c r="Y87" s="401" t="s">
        <v>1614</v>
      </c>
      <c r="Z87" s="401" t="s">
        <v>1526</v>
      </c>
      <c r="AB87" s="475" t="str">
        <f>IF(COUNT(AB83:AB86)&gt;0,MAX(AB83:AB86)+1,"")</f>
        <v/>
      </c>
      <c r="AC87" s="433" t="str">
        <f>IF(AND(AH87&lt;&gt;"",AG87&lt;&gt;"",AI87&gt;0,AH87&gt;0),MAX(AC$2:AC86)+1,"XX")</f>
        <v>XX</v>
      </c>
      <c r="AD87" s="428" t="str">
        <f>IF('Antal &amp; Längder (vikter)'!$C$8&lt;&gt;"",'Antal &amp; Längder (vikter)'!$C$8,"XX")</f>
        <v>XX</v>
      </c>
      <c r="AE87" s="405" t="str">
        <f>IF(AND('Antal &amp; Längder (vikter)'!J$10&lt;&gt;"",ISNUMBER($AH87)),'Antal &amp; Längder (vikter)'!J$10,"")</f>
        <v/>
      </c>
      <c r="AF87" s="425" t="str">
        <f t="shared" si="4"/>
        <v/>
      </c>
      <c r="AG87" s="426" t="str">
        <f t="shared" si="5"/>
        <v/>
      </c>
      <c r="AH87" s="407" t="str">
        <f>IF('Antal &amp; Längder (vikter)'!J16&lt;&gt;"",'Antal &amp; Längder (vikter)'!J16,"XX")</f>
        <v>XX</v>
      </c>
      <c r="AI87" s="436">
        <f>IF('Antal &amp; Längder (vikter)'!K$11="Vikt (g)",'Antal &amp; Längder (vikter)'!K16,-9)</f>
        <v>-9</v>
      </c>
      <c r="AN87" s="357"/>
      <c r="AO87" s="357"/>
      <c r="AP87" s="357"/>
      <c r="AQ87" s="357"/>
      <c r="AR87" s="357"/>
      <c r="AS87" s="357"/>
      <c r="AT87" s="357"/>
      <c r="AU87" s="357"/>
      <c r="AV87" s="357"/>
    </row>
    <row r="88" spans="1:48" hidden="1" x14ac:dyDescent="0.25">
      <c r="A88" s="105" t="s">
        <v>822</v>
      </c>
      <c r="B88" s="368" t="str">
        <f>IF(Protokoll!I66&lt;&gt;"",Protokoll!I66,"")</f>
        <v/>
      </c>
      <c r="C88" s="1" t="s">
        <v>823</v>
      </c>
      <c r="D88" s="370" t="str">
        <f>IF(B88="X",IF(COUNTIF(B$49:B87,"X")+COUNT(B$50:B$89)&lt;3,COUNT(B$50:B$89)+COUNTIF(B$49:B87,"X")+1,""),IF(AND(B88&lt;&gt;"",B88=MAX(B$50:B$89)),IF(COUNTIF(B$49:B87,MAX(B$50:B$89))&gt;0,IF(COUNTIF(B$49:B87,MAX(B$50:B$89))&lt;3,COUNTIF(B$49:B87,MAX(B$50:B$89))+1,""),1),IF(AND(B88&gt;=1,B88=MAX(B$50:B$89)-1),IF(COUNTIF(B$49:B87,MAX(B$50:B$89))+COUNTIF(B$49:B87,MAX(B$50:B$89)-1)&lt;3,COUNTIF(B$49:B$89,MAX(B$50:B$89))+COUNTIF(B$49:B87,MAX(B$50:B$89)-1)+1,""),IF(B88=1,IF(COUNTIF(B$49:B87,3)+COUNTIF(B$49:B$89,2)+COUNTIF(B$49:B87,1)&lt;3,COUNTIF(B$49:B$89,2)+COUNTIF(B$49:B$89,3)+COUNTIF(B$49:B87,1)+1,""),""))))</f>
        <v/>
      </c>
      <c r="F88" s="220" t="str">
        <f>IF(Protokoll!E$4&lt;&gt;"","",VLOOKUP(G88,I$113:J$403,2,FALSE))</f>
        <v/>
      </c>
      <c r="G88" s="145">
        <v>19</v>
      </c>
      <c r="I88" s="199" t="str">
        <f>IF('Antal &amp; Längder (vikter)'!$P13&lt;&gt;"",VLOOKUP('Antal &amp; Längder (vikter)'!$P13,$N$1:$O$60,2,FALSE),"")</f>
        <v/>
      </c>
      <c r="J88" s="2" t="s">
        <v>471</v>
      </c>
      <c r="L88" s="204"/>
      <c r="M88" s="357" t="s">
        <v>1461</v>
      </c>
      <c r="N88" s="199" t="str">
        <f>IF(AND(Protokoll!$AB$38&lt;&gt;"",Protokoll!$AB$38=$M88),"",$M88)</f>
        <v>Lärkträd</v>
      </c>
      <c r="O88" s="199" t="str">
        <f>IF(AND(Protokoll!$R$38&lt;&gt;"",Protokoll!$R$38=$M88),"",$M88)</f>
        <v>Lärkträd</v>
      </c>
      <c r="Q88" s="620"/>
      <c r="T88" s="331" t="str">
        <f>IF(OR(Protokoll!$X$5&lt;&gt;"",Lokalbeskrivn!$M$4&lt;&gt;""),"",U88)</f>
        <v/>
      </c>
      <c r="U88" s="330" t="s">
        <v>1068</v>
      </c>
      <c r="V88" s="351" t="s">
        <v>1067</v>
      </c>
      <c r="W88" s="2"/>
      <c r="Y88" s="401" t="s">
        <v>1612</v>
      </c>
      <c r="Z88" s="401" t="s">
        <v>1613</v>
      </c>
      <c r="AB88" s="471" t="str">
        <f>IF(COUNT(AB83:AB87)&gt;0,MAX(AB83:AB87)+1,"")</f>
        <v/>
      </c>
      <c r="AC88" s="433" t="str">
        <f>IF(AND(AH88&lt;&gt;"",AG88&lt;&gt;"",AI88&gt;0,AH88&gt;0),MAX(AC$2:AC87)+1,"XX")</f>
        <v>XX</v>
      </c>
      <c r="AD88" s="428" t="str">
        <f>IF('Antal &amp; Längder (vikter)'!$C$8&lt;&gt;"",'Antal &amp; Längder (vikter)'!$C$8,"XX")</f>
        <v>XX</v>
      </c>
      <c r="AE88" s="405" t="str">
        <f>IF(AND('Antal &amp; Längder (vikter)'!J$10&lt;&gt;"",ISNUMBER($AH88)),'Antal &amp; Längder (vikter)'!J$10,"")</f>
        <v/>
      </c>
      <c r="AF88" s="425" t="str">
        <f t="shared" si="4"/>
        <v/>
      </c>
      <c r="AG88" s="426" t="str">
        <f t="shared" si="5"/>
        <v/>
      </c>
      <c r="AH88" s="407" t="str">
        <f>IF('Antal &amp; Längder (vikter)'!J17&lt;&gt;"",'Antal &amp; Längder (vikter)'!J17,"XX")</f>
        <v>XX</v>
      </c>
      <c r="AI88" s="436">
        <f>IF('Antal &amp; Längder (vikter)'!K$11="Vikt (g)",'Antal &amp; Längder (vikter)'!K17,-9)</f>
        <v>-9</v>
      </c>
      <c r="AN88" s="357"/>
      <c r="AO88" s="357"/>
      <c r="AP88" s="357"/>
      <c r="AQ88" s="357"/>
      <c r="AR88" s="357"/>
      <c r="AS88" s="357"/>
      <c r="AT88" s="357"/>
      <c r="AU88" s="357"/>
      <c r="AV88" s="357"/>
    </row>
    <row r="89" spans="1:48" hidden="1" x14ac:dyDescent="0.25">
      <c r="A89" s="103" t="s">
        <v>824</v>
      </c>
      <c r="B89" s="369" t="str">
        <f>IF(Protokoll!I67&lt;&gt;"",Protokoll!I67,"")</f>
        <v/>
      </c>
      <c r="C89" s="102" t="s">
        <v>825</v>
      </c>
      <c r="D89" s="371" t="str">
        <f>IF(B89="X",IF(COUNTIF(B$49:B88,"X")+COUNT(B$50:B$89)&lt;3,COUNT(B$50:B$89)+COUNTIF(B$49:B88,"X")+1,""),IF(AND(B89&lt;&gt;"",B89=MAX(B$50:B$89)),IF(COUNTIF(B$49:B88,MAX(B$50:B$89))&gt;0,IF(COUNTIF(B$49:B88,MAX(B$50:B$89))&lt;3,COUNTIF(B$49:B88,MAX(B$50:B$89))+1,""),1),IF(AND(B89&gt;=1,B89=MAX(B$50:B$89)-1),IF(COUNTIF(B$49:B88,MAX(B$50:B$89))+COUNTIF(B$49:B88,MAX(B$50:B$89)-1)&lt;3,COUNTIF(B$49:B$89,MAX(B$50:B$89))+COUNTIF(B$49:B88,MAX(B$50:B$89)-1)+1,""),IF(B89=1,IF(COUNTIF(B$49:B88,3)+COUNTIF(B$49:B$89,2)+COUNTIF(B$49:B88,1)&lt;3,COUNTIF(B$49:B$89,2)+COUNTIF(B$49:B$89,3)+COUNTIF(B$49:B88,1)+1,""),""))))</f>
        <v/>
      </c>
      <c r="F89" s="220" t="str">
        <f>IF(Protokoll!E$4&lt;&gt;"","",VLOOKUP(G89,I$113:J$403,2,FALSE))</f>
        <v/>
      </c>
      <c r="G89" s="145">
        <v>14</v>
      </c>
      <c r="I89" s="2" t="s">
        <v>471</v>
      </c>
      <c r="J89" s="199" t="str">
        <f>IF('Antal &amp; Längder (vikter)'!$P14&lt;&gt;"",VLOOKUP('Antal &amp; Längder (vikter)'!$P14,$N$1:$O$60,2,FALSE),"")</f>
        <v/>
      </c>
      <c r="L89" s="204"/>
      <c r="M89" t="s">
        <v>1462</v>
      </c>
      <c r="N89" s="199" t="str">
        <f>IF(AND(Protokoll!$AB$38&lt;&gt;"",Protokoll!$AB$38=$M89),"",$M89)</f>
        <v>Lönn</v>
      </c>
      <c r="O89" s="199" t="str">
        <f>IF(AND(Protokoll!$R$38&lt;&gt;"",Protokoll!$R$38=$M89),"",$M89)</f>
        <v>Lönn</v>
      </c>
      <c r="Q89" s="621"/>
      <c r="T89" s="331" t="str">
        <f>IF(OR(Protokoll!$X$5&lt;&gt;"",Lokalbeskrivn!$M$4&lt;&gt;""),"",U89)</f>
        <v/>
      </c>
      <c r="U89" s="330" t="s">
        <v>1070</v>
      </c>
      <c r="V89" s="351" t="s">
        <v>1069</v>
      </c>
      <c r="W89" s="2"/>
      <c r="Y89" s="401" t="s">
        <v>2380</v>
      </c>
      <c r="Z89" s="401" t="s">
        <v>2381</v>
      </c>
      <c r="AB89" s="474" t="str">
        <f>IF(COUNT(AB83:AB88)&gt;0,MAX(AB83:AB88)+1,"")</f>
        <v/>
      </c>
      <c r="AC89" s="433" t="str">
        <f>IF(AND(AH89&lt;&gt;"",AG89&lt;&gt;"",AI89&gt;0,AH89&gt;0),MAX(AC$2:AC88)+1,"XX")</f>
        <v>XX</v>
      </c>
      <c r="AD89" s="428" t="str">
        <f>IF('Antal &amp; Längder (vikter)'!$C$8&lt;&gt;"",'Antal &amp; Längder (vikter)'!$C$8,"XX")</f>
        <v>XX</v>
      </c>
      <c r="AE89" s="405" t="str">
        <f>IF(AND('Antal &amp; Längder (vikter)'!J$10&lt;&gt;"",ISNUMBER($AH89)),'Antal &amp; Längder (vikter)'!J$10,"")</f>
        <v/>
      </c>
      <c r="AF89" s="425" t="str">
        <f t="shared" si="4"/>
        <v/>
      </c>
      <c r="AG89" s="426" t="str">
        <f t="shared" si="5"/>
        <v/>
      </c>
      <c r="AH89" s="407" t="str">
        <f>IF('Antal &amp; Längder (vikter)'!J18&lt;&gt;"",'Antal &amp; Längder (vikter)'!J18,"XX")</f>
        <v>XX</v>
      </c>
      <c r="AI89" s="436">
        <f>IF('Antal &amp; Längder (vikter)'!K$11="Vikt (g)",'Antal &amp; Längder (vikter)'!K18,-9)</f>
        <v>-9</v>
      </c>
      <c r="AN89" s="357"/>
      <c r="AO89" s="357"/>
      <c r="AP89" s="357"/>
      <c r="AQ89" s="357"/>
      <c r="AR89" s="357"/>
      <c r="AS89" s="357"/>
      <c r="AT89" s="357"/>
      <c r="AU89" s="357"/>
      <c r="AV89" s="357"/>
    </row>
    <row r="90" spans="1:48" hidden="1" x14ac:dyDescent="0.25">
      <c r="E90" s="2"/>
      <c r="F90" s="220" t="str">
        <f>IF(Protokoll!E$4&lt;&gt;"","",VLOOKUP(G90,I$113:J$403,2,FALSE))</f>
        <v/>
      </c>
      <c r="G90" s="145">
        <v>18</v>
      </c>
      <c r="I90" s="199" t="str">
        <f>IF('Antal &amp; Längder (vikter)'!$P15&lt;&gt;"",VLOOKUP('Antal &amp; Längder (vikter)'!$P15,$N$1:$O$60,2,FALSE),"")</f>
        <v/>
      </c>
      <c r="J90" s="2" t="s">
        <v>471</v>
      </c>
      <c r="M90" t="s">
        <v>1463</v>
      </c>
      <c r="N90" s="199" t="str">
        <f>IF(AND(Protokoll!$AB$38&lt;&gt;"",Protokoll!$AB$38=$M90),"",$M90)</f>
        <v>Oxel</v>
      </c>
      <c r="O90" s="199" t="str">
        <f>IF(AND(Protokoll!$R$38&lt;&gt;"",Protokoll!$R$38=$M90),"",$M90)</f>
        <v>Oxel</v>
      </c>
      <c r="T90" s="331" t="str">
        <f>IF(OR(Protokoll!$X$5&lt;&gt;"",Lokalbeskrivn!$M$4&lt;&gt;""),"",U90)</f>
        <v/>
      </c>
      <c r="U90" s="330" t="s">
        <v>1072</v>
      </c>
      <c r="V90" s="351" t="s">
        <v>1071</v>
      </c>
      <c r="W90" s="2"/>
      <c r="Y90" s="401" t="s">
        <v>1673</v>
      </c>
      <c r="Z90" s="401" t="s">
        <v>1674</v>
      </c>
      <c r="AB90" s="478" t="str">
        <f>IF(COUNT(AB83:AB89)&gt;0,MAX(AB83:AB89)+1,"")</f>
        <v/>
      </c>
      <c r="AC90" s="433" t="str">
        <f>IF(AND(AH90&lt;&gt;"",AG90&lt;&gt;"",AI90&gt;0,AH90&gt;0),MAX(AC$2:AC89)+1,"XX")</f>
        <v>XX</v>
      </c>
      <c r="AD90" s="428" t="str">
        <f>IF('Antal &amp; Längder (vikter)'!$C$8&lt;&gt;"",'Antal &amp; Längder (vikter)'!$C$8,"XX")</f>
        <v>XX</v>
      </c>
      <c r="AE90" s="405" t="str">
        <f>IF(AND('Antal &amp; Längder (vikter)'!J$10&lt;&gt;"",ISNUMBER($AH90)),'Antal &amp; Längder (vikter)'!J$10,"")</f>
        <v/>
      </c>
      <c r="AF90" s="425" t="str">
        <f t="shared" si="4"/>
        <v/>
      </c>
      <c r="AG90" s="426" t="str">
        <f t="shared" si="5"/>
        <v/>
      </c>
      <c r="AH90" s="407" t="str">
        <f>IF('Antal &amp; Längder (vikter)'!J19&lt;&gt;"",'Antal &amp; Längder (vikter)'!J19,"XX")</f>
        <v>XX</v>
      </c>
      <c r="AI90" s="436">
        <f>IF('Antal &amp; Längder (vikter)'!K$11="Vikt (g)",'Antal &amp; Längder (vikter)'!K19,-9)</f>
        <v>-9</v>
      </c>
      <c r="AN90" s="357"/>
      <c r="AO90" s="357"/>
      <c r="AP90" s="357"/>
      <c r="AQ90" s="357"/>
      <c r="AR90" s="357"/>
      <c r="AS90" s="357"/>
      <c r="AT90" s="357"/>
      <c r="AU90" s="357"/>
      <c r="AV90" s="357"/>
    </row>
    <row r="91" spans="1:48" hidden="1" x14ac:dyDescent="0.25">
      <c r="F91" s="220" t="str">
        <f>IF(Protokoll!E$4&lt;&gt;"","",VLOOKUP(G91,I$113:J$403,2,FALSE))</f>
        <v/>
      </c>
      <c r="G91" s="145">
        <v>5</v>
      </c>
      <c r="I91" s="2" t="s">
        <v>471</v>
      </c>
      <c r="J91" s="199" t="str">
        <f>IF('Antal &amp; Längder (vikter)'!$P16&lt;&gt;"",VLOOKUP('Antal &amp; Längder (vikter)'!$P16,$N$1:$O$60,2,FALSE),"")</f>
        <v/>
      </c>
      <c r="M91" t="s">
        <v>1464</v>
      </c>
      <c r="N91" s="199" t="str">
        <f>IF(AND(Protokoll!$AB$38&lt;&gt;"",Protokoll!$AB$38=$M91),"",$M91)</f>
        <v>Pil</v>
      </c>
      <c r="O91" s="199" t="str">
        <f>IF(AND(Protokoll!$R$38&lt;&gt;"",Protokoll!$R$38=$M91),"",$M91)</f>
        <v>Pil</v>
      </c>
      <c r="Q91" s="6" t="s">
        <v>2332</v>
      </c>
      <c r="T91" s="331" t="str">
        <f>IF(OR(Protokoll!$X$5&lt;&gt;"",Lokalbeskrivn!$M$4&lt;&gt;""),"",U91)</f>
        <v/>
      </c>
      <c r="U91" s="330" t="s">
        <v>1074</v>
      </c>
      <c r="V91" s="351" t="s">
        <v>1073</v>
      </c>
      <c r="W91" s="2"/>
      <c r="Y91" s="401" t="s">
        <v>1577</v>
      </c>
      <c r="Z91" s="401" t="s">
        <v>1578</v>
      </c>
      <c r="AB91" s="472" t="str">
        <f>IF(COUNT(AB83:AB90)&gt;0,MAX(AB83:AB90)+1,"")</f>
        <v/>
      </c>
      <c r="AC91" s="433" t="str">
        <f>IF(AND(AH91&lt;&gt;"",AG91&lt;&gt;"",AI91&gt;0,AH91&gt;0),MAX(AC$2:AC90)+1,"XX")</f>
        <v>XX</v>
      </c>
      <c r="AD91" s="428" t="str">
        <f>IF('Antal &amp; Längder (vikter)'!$C$8&lt;&gt;"",'Antal &amp; Längder (vikter)'!$C$8,"XX")</f>
        <v>XX</v>
      </c>
      <c r="AE91" s="405" t="str">
        <f>IF(AND('Antal &amp; Längder (vikter)'!J$10&lt;&gt;"",ISNUMBER($AH91)),'Antal &amp; Längder (vikter)'!J$10,"")</f>
        <v/>
      </c>
      <c r="AF91" s="425" t="str">
        <f t="shared" si="4"/>
        <v/>
      </c>
      <c r="AG91" s="426" t="str">
        <f t="shared" si="5"/>
        <v/>
      </c>
      <c r="AH91" s="407" t="str">
        <f>IF('Antal &amp; Längder (vikter)'!J20&lt;&gt;"",'Antal &amp; Längder (vikter)'!J20,"XX")</f>
        <v>XX</v>
      </c>
      <c r="AI91" s="436">
        <f>IF('Antal &amp; Längder (vikter)'!K$11="Vikt (g)",'Antal &amp; Längder (vikter)'!K20,-9)</f>
        <v>-9</v>
      </c>
      <c r="AN91" s="357"/>
      <c r="AO91" s="357"/>
      <c r="AP91" s="357"/>
      <c r="AQ91" s="357"/>
      <c r="AR91" s="357"/>
      <c r="AS91" s="357"/>
      <c r="AT91" s="357"/>
      <c r="AU91" s="357"/>
      <c r="AV91" s="357"/>
    </row>
    <row r="92" spans="1:48" hidden="1" x14ac:dyDescent="0.25">
      <c r="A92" s="115" t="s">
        <v>2277</v>
      </c>
      <c r="B92" s="357" t="s">
        <v>2278</v>
      </c>
      <c r="C92" s="357" t="s">
        <v>2279</v>
      </c>
      <c r="D92" s="357" t="s">
        <v>2280</v>
      </c>
      <c r="I92" s="199" t="str">
        <f>IF('Antal &amp; Längder (vikter)'!$P17&lt;&gt;"",VLOOKUP('Antal &amp; Längder (vikter)'!$P17,$N$1:$O$60,2,FALSE),"")</f>
        <v/>
      </c>
      <c r="J92" s="2" t="s">
        <v>471</v>
      </c>
      <c r="L92" s="204"/>
      <c r="M92" s="357" t="s">
        <v>1465</v>
      </c>
      <c r="N92" s="199" t="str">
        <f>IF(AND(Protokoll!$AB$38&lt;&gt;"",Protokoll!$AB$38=$M92),"",$M92)</f>
        <v>Poppel</v>
      </c>
      <c r="O92" s="199" t="str">
        <f>IF(AND(Protokoll!$R$38&lt;&gt;"",Protokoll!$R$38=$M92),"",$M92)</f>
        <v>Poppel</v>
      </c>
      <c r="Q92" s="623" t="str">
        <f>IF(COUNTIF(Protokoll!Z16:AD16,"X")=0,"X","")</f>
        <v/>
      </c>
      <c r="T92" s="331" t="str">
        <f>IF(OR(Protokoll!$X$5&lt;&gt;"",Lokalbeskrivn!$M$4&lt;&gt;""),"",U92)</f>
        <v/>
      </c>
      <c r="U92" s="330" t="s">
        <v>1076</v>
      </c>
      <c r="V92" s="351" t="s">
        <v>1075</v>
      </c>
      <c r="W92" s="2"/>
      <c r="Y92" s="401" t="s">
        <v>1899</v>
      </c>
      <c r="Z92" s="401" t="s">
        <v>1900</v>
      </c>
      <c r="AB92" s="479" t="str">
        <f>IF(COUNT(AB83:AB91)&gt;0,MAX(AB83:AB91)+1,"")</f>
        <v/>
      </c>
      <c r="AC92" s="433" t="str">
        <f>IF(AND(AH92&lt;&gt;"",AG92&lt;&gt;"",AI92&gt;0,AH92&gt;0),MAX(AC$2:AC91)+1,"XX")</f>
        <v>XX</v>
      </c>
      <c r="AD92" s="428" t="str">
        <f>IF('Antal &amp; Längder (vikter)'!$C$8&lt;&gt;"",'Antal &amp; Längder (vikter)'!$C$8,"XX")</f>
        <v>XX</v>
      </c>
      <c r="AE92" s="405" t="str">
        <f>IF(AND('Antal &amp; Längder (vikter)'!J$10&lt;&gt;"",ISNUMBER($AH92)),'Antal &amp; Längder (vikter)'!J$10,"")</f>
        <v/>
      </c>
      <c r="AF92" s="425" t="str">
        <f t="shared" si="4"/>
        <v/>
      </c>
      <c r="AG92" s="426" t="str">
        <f t="shared" si="5"/>
        <v/>
      </c>
      <c r="AH92" s="407" t="str">
        <f>IF('Antal &amp; Längder (vikter)'!J21&lt;&gt;"",'Antal &amp; Längder (vikter)'!J21,"XX")</f>
        <v>XX</v>
      </c>
      <c r="AI92" s="436">
        <f>IF('Antal &amp; Längder (vikter)'!K$11="Vikt (g)",'Antal &amp; Längder (vikter)'!K21,-9)</f>
        <v>-9</v>
      </c>
      <c r="AN92" s="357"/>
      <c r="AO92" s="357"/>
      <c r="AP92" s="357"/>
      <c r="AQ92" s="357"/>
      <c r="AR92" s="357"/>
      <c r="AS92" s="357"/>
      <c r="AT92" s="357"/>
      <c r="AU92" s="357"/>
      <c r="AV92" s="357"/>
    </row>
    <row r="93" spans="1:48" hidden="1" x14ac:dyDescent="0.25">
      <c r="A93" s="593" t="str">
        <f>IF(OR(Protokoll!S36="D1",Protokoll!X36="D1",Protokoll!S36="D2",Protokoll!X36="D2",Protokoll!S36="D3",Protokoll!X36="D3",Protokoll!AD36="D1",Protokoll!E38="D1",COUNTIF(Protokoll!E$37:AE$37,"D1")&gt;0),"","D1")</f>
        <v/>
      </c>
      <c r="B93" s="600" t="str">
        <f>IF(OR(Protokoll!N36="D1",Protokoll!X36="D1",Protokoll!N36="D2",Protokoll!X36="D2",Protokoll!N36="D1",Protokoll!X36="D1",Protokoll!AD36="D1",Protokoll!E38="D1",COUNTIF(Protokoll!E$37:AE$37,"D1")&gt;0),"","D1")</f>
        <v/>
      </c>
      <c r="C93" s="597" t="str">
        <f>IF(OR(Protokoll!N36="D1",Protokoll!S36="D1",Protokoll!N36="D2",Protokoll!S36="D2",Protokoll!N36="D3",Protokoll!S36="D3",Protokoll!AD36="D1",Protokoll!E38="D1",COUNTIF(Protokoll!E$37:AE$37,"D1")&gt;0),"","D1")</f>
        <v/>
      </c>
      <c r="D93" s="612" t="str">
        <f>IF(OR(COUNTIF(Protokoll!N36:Y36,"D1")+COUNTIF(Protokoll!E37:AE38,"D1")&gt;0),"","D1")</f>
        <v/>
      </c>
      <c r="F93" s="6" t="s">
        <v>2318</v>
      </c>
      <c r="G93" s="6" t="s">
        <v>2319</v>
      </c>
      <c r="I93" s="2" t="s">
        <v>471</v>
      </c>
      <c r="J93" s="199" t="str">
        <f>IF('Antal &amp; Längder (vikter)'!$P18&lt;&gt;"",VLOOKUP('Antal &amp; Längder (vikter)'!$P18,$N$1:$O$60,2,FALSE),"")</f>
        <v/>
      </c>
      <c r="L93" s="204"/>
      <c r="M93" t="s">
        <v>1466</v>
      </c>
      <c r="N93" s="199" t="str">
        <f>IF(AND(Protokoll!$AB$38&lt;&gt;"",Protokoll!$AB$38=$M93),"",$M93)</f>
        <v>Pors</v>
      </c>
      <c r="O93" s="199" t="str">
        <f>IF(AND(Protokoll!$R$38&lt;&gt;"",Protokoll!$R$38=$M93),"",$M93)</f>
        <v>Pors</v>
      </c>
      <c r="Q93" s="328"/>
      <c r="T93" s="331" t="str">
        <f>IF(OR(Protokoll!$X$5&lt;&gt;"",Lokalbeskrivn!$M$4&lt;&gt;""),"",U93)</f>
        <v/>
      </c>
      <c r="U93" s="330" t="s">
        <v>1078</v>
      </c>
      <c r="V93" s="351" t="s">
        <v>1077</v>
      </c>
      <c r="W93" s="2"/>
      <c r="Y93" s="401" t="s">
        <v>2137</v>
      </c>
      <c r="Z93" s="401" t="s">
        <v>2138</v>
      </c>
      <c r="AB93" s="480" t="str">
        <f>IF(AND(ISNUMBER(AH93),AH93&gt;0),IF(MAX(AB$3:AB92)&gt;0,MAX(AB$3:AB92)+1,10+COUNTIF(F$38:F$49,"&gt;0")*10+1),"")</f>
        <v/>
      </c>
      <c r="AC93" s="433" t="str">
        <f>IF(AND(AH93&lt;&gt;"",AG93&lt;&gt;"",AI93&gt;0,AH93&gt;0),MAX(AC$2:AC92)+1,"XX")</f>
        <v>XX</v>
      </c>
      <c r="AD93" s="428" t="str">
        <f>IF('Antal &amp; Längder (vikter)'!$C$8&lt;&gt;"",'Antal &amp; Längder (vikter)'!$C$8,"XX")</f>
        <v>XX</v>
      </c>
      <c r="AE93" s="405" t="str">
        <f>IF(AND('Antal &amp; Längder (vikter)'!J$10&lt;&gt;"",ISNUMBER($AH93)),'Antal &amp; Längder (vikter)'!J$10,"")</f>
        <v/>
      </c>
      <c r="AF93" s="425" t="str">
        <f t="shared" si="4"/>
        <v/>
      </c>
      <c r="AG93" s="426" t="str">
        <f t="shared" si="5"/>
        <v/>
      </c>
      <c r="AH93" s="409" t="str">
        <f>IF('Antal &amp; Längder (vikter)'!K$11="Längd (mm)",IF('Antal &amp; Längder (vikter)'!K12&lt;&gt;"",'Antal &amp; Längder (vikter)'!K12,"XX"),"XX")</f>
        <v>XX</v>
      </c>
      <c r="AI93" s="7">
        <v>-9</v>
      </c>
      <c r="AN93" s="357"/>
      <c r="AO93" s="357"/>
      <c r="AP93" s="357"/>
      <c r="AQ93" s="357"/>
      <c r="AR93" s="357"/>
      <c r="AS93" s="357"/>
      <c r="AT93" s="357"/>
      <c r="AU93" s="357"/>
      <c r="AV93" s="357"/>
    </row>
    <row r="94" spans="1:48" hidden="1" x14ac:dyDescent="0.25">
      <c r="A94" s="596" t="str">
        <f>IF(OR(Protokoll!S36="D1",Protokoll!X36="D1",Protokoll!S36="D2",Protokoll!X36="D3",Protokoll!S36="D3",Protokoll!X36="D2",Protokoll!AD36="D2",Protokoll!E38="D2",COUNTIF(Protokoll!E$37:AE$37,"D2")&gt;0),"","D2")</f>
        <v>D2</v>
      </c>
      <c r="B94" s="602" t="str">
        <f>IF(OR(Protokoll!N36="D1",Protokoll!X36="D1",Protokoll!N36="D2",Protokoll!X36="D2",Protokoll!N36="D3",Protokoll!X36="D3",Protokoll!AD36="D2",Protokoll!E38="D2",COUNTIF(Protokoll!E$37:AE$37,"D2")&gt;0),"","D2")</f>
        <v/>
      </c>
      <c r="C94" s="601" t="str">
        <f>IF(OR(Protokoll!N36="D1",Protokoll!S36="D1",Protokoll!N36="D2",Protokoll!S36="D2",Protokoll!N36="D3",Protokoll!S36="D3",Protokoll!AD36="D2",Protokoll!E38="D2",COUNTIF(Protokoll!E$37:AE$37,"D2")&gt;0),"","D2")</f>
        <v/>
      </c>
      <c r="D94" s="615" t="str">
        <f>IF(OR(COUNTIF(Protokoll!N36:Y36,"D2")+COUNTIF(Protokoll!E37:AE38,"D2")&gt;0),"","D2")</f>
        <v/>
      </c>
      <c r="F94" s="584" t="str">
        <f>IF(COUNTIF(Protokoll!P13:T13,"X")=0,"X","")</f>
        <v/>
      </c>
      <c r="G94" s="585" t="str">
        <f>IF(COUNTA(Protokoll!S23,Protokoll!W23,Protokoll!Z23)=0,"X","")</f>
        <v/>
      </c>
      <c r="I94" s="199" t="str">
        <f>IF('Antal &amp; Längder (vikter)'!$P19&lt;&gt;"",VLOOKUP('Antal &amp; Längder (vikter)'!$P19,$N$1:$O$60,2,FALSE),"")</f>
        <v/>
      </c>
      <c r="J94" s="2" t="s">
        <v>471</v>
      </c>
      <c r="L94" s="204"/>
      <c r="M94" t="s">
        <v>1467</v>
      </c>
      <c r="N94" s="199" t="str">
        <f>IF(AND(Protokoll!$AB$38&lt;&gt;"",Protokoll!$AB$38=$M94),"",$M94)</f>
        <v>Päron</v>
      </c>
      <c r="O94" s="199" t="str">
        <f>IF(AND(Protokoll!$R$38&lt;&gt;"",Protokoll!$R$38=$M94),"",$M94)</f>
        <v>Päron</v>
      </c>
      <c r="T94" s="331" t="str">
        <f>IF(OR(Protokoll!$X$5&lt;&gt;"",Lokalbeskrivn!$M$4&lt;&gt;""),"",U94)</f>
        <v/>
      </c>
      <c r="U94" s="330" t="s">
        <v>1080</v>
      </c>
      <c r="V94" s="351" t="s">
        <v>1079</v>
      </c>
      <c r="W94" s="2"/>
      <c r="Y94" s="401" t="s">
        <v>2136</v>
      </c>
      <c r="Z94" s="401" t="s">
        <v>2136</v>
      </c>
      <c r="AB94" s="476" t="str">
        <f>IF(COUNT(AB93:AB93)&gt;0,MAX(AB93:AB93)+1,"")</f>
        <v/>
      </c>
      <c r="AC94" s="433" t="str">
        <f>IF(AND(AH94&lt;&gt;"",AG94&lt;&gt;"",AI94&gt;0,AH94&gt;0),MAX(AC$2:AC93)+1,"XX")</f>
        <v>XX</v>
      </c>
      <c r="AD94" s="428" t="str">
        <f>IF('Antal &amp; Längder (vikter)'!$C$8&lt;&gt;"",'Antal &amp; Längder (vikter)'!$C$8,"XX")</f>
        <v>XX</v>
      </c>
      <c r="AE94" s="405" t="str">
        <f>IF(AND('Antal &amp; Längder (vikter)'!J$10&lt;&gt;"",ISNUMBER($AH94)),'Antal &amp; Längder (vikter)'!J$10,"")</f>
        <v/>
      </c>
      <c r="AF94" s="425" t="str">
        <f t="shared" si="4"/>
        <v/>
      </c>
      <c r="AG94" s="426" t="str">
        <f t="shared" si="5"/>
        <v/>
      </c>
      <c r="AH94" s="409" t="str">
        <f>IF('Antal &amp; Längder (vikter)'!K$11="Längd (mm)",IF('Antal &amp; Längder (vikter)'!K13&lt;&gt;"",'Antal &amp; Längder (vikter)'!K13,"XX"),"XX")</f>
        <v>XX</v>
      </c>
      <c r="AI94" s="7">
        <v>-9</v>
      </c>
      <c r="AN94" s="357"/>
      <c r="AO94" s="357"/>
      <c r="AP94" s="357"/>
      <c r="AQ94" s="357"/>
      <c r="AR94" s="357"/>
      <c r="AS94" s="357"/>
      <c r="AT94" s="357"/>
      <c r="AU94" s="357"/>
      <c r="AV94" s="357"/>
    </row>
    <row r="95" spans="1:48" hidden="1" x14ac:dyDescent="0.25">
      <c r="A95" s="599" t="str">
        <f>IF(OR(Protokoll!S36="D1",Protokoll!X36="D1",Protokoll!S36="D2",Protokoll!X36="D2",Protokoll!S36="D3",Protokoll!X36="D3",Protokoll!AD36="D3",Protokoll!E38="D3",COUNTIF(Protokoll!E$37:AE$37,"D3")&gt;0),"","D3")</f>
        <v>D3</v>
      </c>
      <c r="B95" s="606" t="str">
        <f>IF(OR(Protokoll!N36="D1",Protokoll!X36="D1",Protokoll!N36="D2",Protokoll!X36="D2",Protokoll!N36="D3",Protokoll!X36="D3",Protokoll!AD36="D3",Protokoll!E38="D3",COUNTIF(Protokoll!E$37:AE$37,"D3")&gt;0),"","D3")</f>
        <v/>
      </c>
      <c r="C95" s="609" t="str">
        <f>IF(OR(Protokoll!N36="D1",Protokoll!S36="D1",Protokoll!N36="D2",Protokoll!S36="D2",Protokoll!N36="D3",Protokoll!S36="D3",Protokoll!AD36="D3",Protokoll!E38="D3",COUNTIF(Protokoll!E$37:AE$37,"D3")&gt;0),"","D3")</f>
        <v/>
      </c>
      <c r="D95" s="594" t="str">
        <f>IF(OR(COUNTIF(Protokoll!N36:Y36,"D3")+COUNTIF(Protokoll!E37:AE38,"D3")&gt;0),"","D3")</f>
        <v>D3</v>
      </c>
      <c r="F95" s="328"/>
      <c r="G95" s="328"/>
      <c r="I95" s="2" t="s">
        <v>471</v>
      </c>
      <c r="J95" s="199" t="str">
        <f>IF('Antal &amp; Längder (vikter)'!$P20&lt;&gt;"",VLOOKUP('Antal &amp; Längder (vikter)'!$P20,$N$1:$O$60,2,FALSE),"")</f>
        <v/>
      </c>
      <c r="L95" s="204"/>
      <c r="M95" t="s">
        <v>1468</v>
      </c>
      <c r="N95" s="199" t="str">
        <f>IF(AND(Protokoll!$AB$38&lt;&gt;"",Protokoll!$AB$38=$M95),"",$M95)</f>
        <v>Rönn</v>
      </c>
      <c r="O95" s="199" t="str">
        <f>IF(AND(Protokoll!$R$38&lt;&gt;"",Protokoll!$R$38=$M95),"",$M95)</f>
        <v>Rönn</v>
      </c>
      <c r="Q95" s="6" t="s">
        <v>2333</v>
      </c>
      <c r="T95" s="331" t="str">
        <f>IF(OR(Protokoll!$X$5&lt;&gt;"",Lokalbeskrivn!$M$4&lt;&gt;""),"",U95)</f>
        <v/>
      </c>
      <c r="U95" s="330" t="s">
        <v>1082</v>
      </c>
      <c r="V95" s="351" t="s">
        <v>1081</v>
      </c>
      <c r="W95" s="2"/>
      <c r="Y95" s="401" t="s">
        <v>1607</v>
      </c>
      <c r="Z95" s="401" t="s">
        <v>1608</v>
      </c>
      <c r="AB95" s="477" t="str">
        <f>IF(COUNT(AB93:AB94)&gt;0,MAX(AB93:AB94)+1,"")</f>
        <v/>
      </c>
      <c r="AC95" s="433" t="str">
        <f>IF(AND(AH95&lt;&gt;"",AG95&lt;&gt;"",AI95&gt;0,AH95&gt;0),MAX(AC$2:AC94)+1,"XX")</f>
        <v>XX</v>
      </c>
      <c r="AD95" s="428" t="str">
        <f>IF('Antal &amp; Längder (vikter)'!$C$8&lt;&gt;"",'Antal &amp; Längder (vikter)'!$C$8,"XX")</f>
        <v>XX</v>
      </c>
      <c r="AE95" s="405" t="str">
        <f>IF(AND('Antal &amp; Längder (vikter)'!J$10&lt;&gt;"",ISNUMBER($AH95)),'Antal &amp; Längder (vikter)'!J$10,"")</f>
        <v/>
      </c>
      <c r="AF95" s="425" t="str">
        <f t="shared" si="4"/>
        <v/>
      </c>
      <c r="AG95" s="426" t="str">
        <f t="shared" si="5"/>
        <v/>
      </c>
      <c r="AH95" s="409" t="str">
        <f>IF('Antal &amp; Längder (vikter)'!K$11="Längd (mm)",IF('Antal &amp; Längder (vikter)'!K14&lt;&gt;"",'Antal &amp; Längder (vikter)'!K14,"XX"),"XX")</f>
        <v>XX</v>
      </c>
      <c r="AI95" s="7">
        <v>-9</v>
      </c>
      <c r="AN95" s="357"/>
      <c r="AO95" s="357"/>
      <c r="AP95" s="357"/>
      <c r="AQ95" s="357"/>
      <c r="AR95" s="357"/>
      <c r="AS95" s="357"/>
      <c r="AT95" s="357"/>
      <c r="AU95" s="357"/>
      <c r="AV95" s="357"/>
    </row>
    <row r="96" spans="1:48" hidden="1" x14ac:dyDescent="0.25">
      <c r="I96" s="199" t="str">
        <f>IF('Antal &amp; Längder (vikter)'!$P21&lt;&gt;"",VLOOKUP('Antal &amp; Längder (vikter)'!$P21,$N$1:$O$60,2,FALSE),"")</f>
        <v/>
      </c>
      <c r="J96" s="2" t="s">
        <v>471</v>
      </c>
      <c r="L96" s="204"/>
      <c r="M96" t="s">
        <v>1469</v>
      </c>
      <c r="N96" s="199" t="str">
        <f>IF(AND(Protokoll!$AB$38&lt;&gt;"",Protokoll!$AB$38=$M96),"",$M96)</f>
        <v>Salix</v>
      </c>
      <c r="O96" s="199" t="str">
        <f>IF(AND(Protokoll!$R$38&lt;&gt;"",Protokoll!$R$38=$M96),"",$M96)</f>
        <v>Salix</v>
      </c>
      <c r="Q96" s="593" t="str">
        <f>IF(COUNTIF(Protokoll!O54:AD54,"X")=0,"X","")</f>
        <v/>
      </c>
      <c r="T96" s="331" t="str">
        <f>IF(OR(Protokoll!$X$5&lt;&gt;"",Lokalbeskrivn!$M$4&lt;&gt;""),"",U96)</f>
        <v/>
      </c>
      <c r="U96" s="330" t="s">
        <v>1084</v>
      </c>
      <c r="V96" s="351" t="s">
        <v>1083</v>
      </c>
      <c r="W96" s="2"/>
      <c r="Y96" s="401" t="s">
        <v>1573</v>
      </c>
      <c r="Z96" s="401" t="s">
        <v>1574</v>
      </c>
      <c r="AB96" s="434" t="str">
        <f>IF(COUNT(AB93:AB95)&gt;0,MAX(AB93:AB95)+1,"")</f>
        <v/>
      </c>
      <c r="AC96" s="433" t="str">
        <f>IF(AND(AH96&lt;&gt;"",AG96&lt;&gt;"",AI96&gt;0,AH96&gt;0),MAX(AC$2:AC95)+1,"XX")</f>
        <v>XX</v>
      </c>
      <c r="AD96" s="428" t="str">
        <f>IF('Antal &amp; Längder (vikter)'!$C$8&lt;&gt;"",'Antal &amp; Längder (vikter)'!$C$8,"XX")</f>
        <v>XX</v>
      </c>
      <c r="AE96" s="405" t="str">
        <f>IF(AND('Antal &amp; Längder (vikter)'!J$10&lt;&gt;"",ISNUMBER($AH96)),'Antal &amp; Längder (vikter)'!J$10,"")</f>
        <v/>
      </c>
      <c r="AF96" s="425" t="str">
        <f t="shared" si="4"/>
        <v/>
      </c>
      <c r="AG96" s="426" t="str">
        <f t="shared" si="5"/>
        <v/>
      </c>
      <c r="AH96" s="409" t="str">
        <f>IF('Antal &amp; Längder (vikter)'!K$11="Längd (mm)",IF('Antal &amp; Längder (vikter)'!K15&lt;&gt;"",'Antal &amp; Längder (vikter)'!K15,"XX"),"XX")</f>
        <v>XX</v>
      </c>
      <c r="AI96" s="7">
        <v>-9</v>
      </c>
      <c r="AN96" s="357"/>
      <c r="AO96" s="357"/>
      <c r="AP96" s="357"/>
      <c r="AQ96" s="357"/>
      <c r="AR96" s="357"/>
      <c r="AS96" s="357"/>
      <c r="AT96" s="357"/>
      <c r="AU96" s="357"/>
      <c r="AV96" s="357"/>
    </row>
    <row r="97" spans="1:48" hidden="1" x14ac:dyDescent="0.25">
      <c r="A97" s="579" t="s">
        <v>2281</v>
      </c>
      <c r="B97" s="357" t="s">
        <v>2282</v>
      </c>
      <c r="C97" s="357" t="s">
        <v>2283</v>
      </c>
      <c r="D97" s="357" t="s">
        <v>2284</v>
      </c>
      <c r="F97" s="6" t="s">
        <v>2320</v>
      </c>
      <c r="G97" s="6" t="s">
        <v>2321</v>
      </c>
      <c r="I97" s="2" t="s">
        <v>471</v>
      </c>
      <c r="J97" s="199" t="str">
        <f>IF('Antal &amp; Längder (vikter)'!$P22&lt;&gt;"",VLOOKUP('Antal &amp; Längder (vikter)'!$P22,$N$1:$O$60,2,FALSE),"")</f>
        <v/>
      </c>
      <c r="L97" s="204"/>
      <c r="M97" t="s">
        <v>6</v>
      </c>
      <c r="N97" s="199" t="str">
        <f>IF(AND(Protokoll!$AB$38&lt;&gt;"",Protokoll!$AB$38=$M97),"",$M97)</f>
        <v>Sälg</v>
      </c>
      <c r="O97" s="199" t="str">
        <f>IF(AND(Protokoll!$R$38&lt;&gt;"",Protokoll!$R$38=$M97),"",$M97)</f>
        <v>Sälg</v>
      </c>
      <c r="Q97" s="578"/>
      <c r="T97" s="331" t="str">
        <f>IF(OR(Protokoll!$X$5&lt;&gt;"",Lokalbeskrivn!$M$4&lt;&gt;""),"",U97)</f>
        <v/>
      </c>
      <c r="U97" s="330" t="s">
        <v>1086</v>
      </c>
      <c r="V97" s="351" t="s">
        <v>1085</v>
      </c>
      <c r="W97" s="2"/>
      <c r="Y97" s="401" t="s">
        <v>1893</v>
      </c>
      <c r="Z97" s="401" t="s">
        <v>1894</v>
      </c>
      <c r="AB97" s="475" t="str">
        <f>IF(COUNT(AB93:AB96)&gt;0,MAX(AB93:AB96)+1,"")</f>
        <v/>
      </c>
      <c r="AC97" s="433" t="str">
        <f>IF(AND(AH97&lt;&gt;"",AG97&lt;&gt;"",AI97&gt;0,AH97&gt;0),MAX(AC$2:AC96)+1,"XX")</f>
        <v>XX</v>
      </c>
      <c r="AD97" s="428" t="str">
        <f>IF('Antal &amp; Längder (vikter)'!$C$8&lt;&gt;"",'Antal &amp; Längder (vikter)'!$C$8,"XX")</f>
        <v>XX</v>
      </c>
      <c r="AE97" s="405" t="str">
        <f>IF(AND('Antal &amp; Längder (vikter)'!J$10&lt;&gt;"",ISNUMBER($AH97)),'Antal &amp; Längder (vikter)'!J$10,"")</f>
        <v/>
      </c>
      <c r="AF97" s="425" t="str">
        <f t="shared" si="4"/>
        <v/>
      </c>
      <c r="AG97" s="426" t="str">
        <f t="shared" si="5"/>
        <v/>
      </c>
      <c r="AH97" s="409" t="str">
        <f>IF('Antal &amp; Längder (vikter)'!K$11="Längd (mm)",IF('Antal &amp; Längder (vikter)'!K16&lt;&gt;"",'Antal &amp; Längder (vikter)'!K16,"XX"),"XX")</f>
        <v>XX</v>
      </c>
      <c r="AI97" s="7">
        <v>-9</v>
      </c>
      <c r="AN97" s="357"/>
      <c r="AO97" s="357"/>
      <c r="AP97" s="357"/>
      <c r="AQ97" s="357"/>
      <c r="AR97" s="357"/>
      <c r="AS97" s="357"/>
      <c r="AT97" s="357"/>
      <c r="AU97" s="357"/>
      <c r="AV97" s="357"/>
    </row>
    <row r="98" spans="1:48" hidden="1" x14ac:dyDescent="0.25">
      <c r="A98" s="597" t="str">
        <f>IF(OR(COUNTIF(Protokoll!N36:AE36,"D1")+COUNTIF(Protokoll!I37:AE38,"D1")&gt;0),"","D1")</f>
        <v>D1</v>
      </c>
      <c r="B98" s="610" t="str">
        <f>IF(OR(COUNTIF(Protokoll!N36:AE37,"D1")+COUNTIF(Protokoll!E37:F38,"D1")&gt;0),"","D1")</f>
        <v/>
      </c>
      <c r="C98" s="603" t="str">
        <f>IF(OR(COUNTIF(Protokoll!E37:J38,"D1")+COUNTIF(Protokoll!N36:AE36,"D1")+COUNTIF(Protokoll!S37:AE37,"D1")&gt;0),"","D1")</f>
        <v/>
      </c>
      <c r="D98" s="600" t="str">
        <f>IF(OR(COUNTIF(Protokoll!S36:AE36,"D1")+COUNTIF(Protokoll!B36:Q38,"D1")+COUNTIF(Protokoll!X37:AE37,"D1")&gt;0),"","D1")</f>
        <v/>
      </c>
      <c r="F98" s="586" t="str">
        <f>IF(COUNTA(Protokoll!S26,Protokoll!W26,Protokoll!Z26)=0,"X","")</f>
        <v/>
      </c>
      <c r="G98" s="587" t="str">
        <f>IF(COUNTA(Protokoll!K28,Protokoll!P28,Protokoll!V28)=0,"X","")</f>
        <v/>
      </c>
      <c r="L98" s="204"/>
      <c r="M98" t="s">
        <v>5</v>
      </c>
      <c r="N98" s="199" t="str">
        <f>IF(AND(Protokoll!$AB$38&lt;&gt;"",Protokoll!$AB$38=$M98),"",$M98)</f>
        <v>Tall</v>
      </c>
      <c r="O98" s="199" t="str">
        <f>IF(AND(Protokoll!$R$38&lt;&gt;"",Protokoll!$R$38=$M98),"",$M98)</f>
        <v>Tall</v>
      </c>
      <c r="T98" s="331" t="str">
        <f>IF(OR(Protokoll!$X$5&lt;&gt;"",Lokalbeskrivn!$M$4&lt;&gt;""),"",U98)</f>
        <v/>
      </c>
      <c r="U98" s="330" t="s">
        <v>1088</v>
      </c>
      <c r="V98" s="351" t="s">
        <v>1087</v>
      </c>
      <c r="W98" s="2"/>
      <c r="Y98" s="401" t="s">
        <v>2382</v>
      </c>
      <c r="Z98" s="401" t="s">
        <v>2383</v>
      </c>
      <c r="AB98" s="471" t="str">
        <f>IF(COUNT(AB93:AB97)&gt;0,MAX(AB93:AB97)+1,"")</f>
        <v/>
      </c>
      <c r="AC98" s="433" t="str">
        <f>IF(AND(AH98&lt;&gt;"",AG98&lt;&gt;"",AI98&gt;0,AH98&gt;0),MAX(AC$2:AC97)+1,"XX")</f>
        <v>XX</v>
      </c>
      <c r="AD98" s="428" t="str">
        <f>IF('Antal &amp; Längder (vikter)'!$C$8&lt;&gt;"",'Antal &amp; Längder (vikter)'!$C$8,"XX")</f>
        <v>XX</v>
      </c>
      <c r="AE98" s="405" t="str">
        <f>IF(AND('Antal &amp; Längder (vikter)'!J$10&lt;&gt;"",ISNUMBER($AH98)),'Antal &amp; Längder (vikter)'!J$10,"")</f>
        <v/>
      </c>
      <c r="AF98" s="425" t="str">
        <f t="shared" si="4"/>
        <v/>
      </c>
      <c r="AG98" s="426" t="str">
        <f t="shared" si="5"/>
        <v/>
      </c>
      <c r="AH98" s="409" t="str">
        <f>IF('Antal &amp; Längder (vikter)'!K$11="Längd (mm)",IF('Antal &amp; Längder (vikter)'!K17&lt;&gt;"",'Antal &amp; Längder (vikter)'!K17,"XX"),"XX")</f>
        <v>XX</v>
      </c>
      <c r="AI98" s="7">
        <v>-9</v>
      </c>
      <c r="AN98" s="357"/>
      <c r="AO98" s="357"/>
      <c r="AP98" s="357"/>
      <c r="AQ98" s="357"/>
      <c r="AR98" s="357"/>
      <c r="AS98" s="357"/>
      <c r="AT98" s="357"/>
      <c r="AU98" s="357"/>
      <c r="AV98" s="357"/>
    </row>
    <row r="99" spans="1:48" hidden="1" x14ac:dyDescent="0.25">
      <c r="A99" s="613" t="str">
        <f>IF(OR(COUNTIF(Protokoll!N36:AE36,"D2")+COUNTIF(Protokoll!I37:AE38,"D2")&gt;0),"","D2")</f>
        <v/>
      </c>
      <c r="B99" s="595" t="str">
        <f>IF(OR(COUNTIF(Protokoll!N36:AE37,"D2")+COUNTIF(Protokoll!E37:F38,"D2")&gt;0),"","D2")</f>
        <v/>
      </c>
      <c r="C99" s="596" t="str">
        <f>IF(OR(COUNTIF(Protokoll!E37:J38,"D2")+COUNTIF(Protokoll!N36:AE36,"D2")+COUNTIF(Protokoll!S37:AE37,"D2")&gt;0),"","D2")</f>
        <v/>
      </c>
      <c r="D99" s="607" t="str">
        <f>IF(OR(COUNTIF(Protokoll!S36:AE36,"D2")+COUNTIF(Protokoll!B36:Q38,"D2")+COUNTIF(Protokoll!X37:AE37,"D2")&gt;0),"","D2")</f>
        <v/>
      </c>
      <c r="F99" s="588"/>
      <c r="G99" s="328"/>
      <c r="J99" s="6" t="s">
        <v>2325</v>
      </c>
      <c r="K99" s="357"/>
      <c r="L99" s="579"/>
      <c r="M99" t="s">
        <v>1470</v>
      </c>
      <c r="N99" s="199" t="str">
        <f>IF(AND(Protokoll!$AB$38&lt;&gt;"",Protokoll!$AB$38=$M99),"",$M99)</f>
        <v>Vide</v>
      </c>
      <c r="O99" s="199" t="str">
        <f>IF(AND(Protokoll!$R$38&lt;&gt;"",Protokoll!$R$38=$M99),"",$M99)</f>
        <v>Vide</v>
      </c>
      <c r="Q99" s="6" t="s">
        <v>2334</v>
      </c>
      <c r="T99" s="331" t="str">
        <f>IF(OR(Protokoll!$X$5&lt;&gt;"",Lokalbeskrivn!$M$4&lt;&gt;""),"",U99)</f>
        <v/>
      </c>
      <c r="U99" s="330" t="s">
        <v>1090</v>
      </c>
      <c r="V99" s="351" t="s">
        <v>1089</v>
      </c>
      <c r="W99" s="2"/>
      <c r="Y99" s="401" t="s">
        <v>1532</v>
      </c>
      <c r="Z99" s="401" t="s">
        <v>2140</v>
      </c>
      <c r="AB99" s="474" t="str">
        <f>IF(COUNT(AB93:AB98)&gt;0,MAX(AB93:AB98)+1,"")</f>
        <v/>
      </c>
      <c r="AC99" s="433" t="str">
        <f>IF(AND(AH99&lt;&gt;"",AG99&lt;&gt;"",AI99&gt;0,AH99&gt;0),MAX(AC$2:AC98)+1,"XX")</f>
        <v>XX</v>
      </c>
      <c r="AD99" s="428" t="str">
        <f>IF('Antal &amp; Längder (vikter)'!$C$8&lt;&gt;"",'Antal &amp; Längder (vikter)'!$C$8,"XX")</f>
        <v>XX</v>
      </c>
      <c r="AE99" s="405" t="str">
        <f>IF(AND('Antal &amp; Längder (vikter)'!J$10&lt;&gt;"",ISNUMBER($AH99)),'Antal &amp; Längder (vikter)'!J$10,"")</f>
        <v/>
      </c>
      <c r="AF99" s="425" t="str">
        <f t="shared" si="4"/>
        <v/>
      </c>
      <c r="AG99" s="426" t="str">
        <f t="shared" si="5"/>
        <v/>
      </c>
      <c r="AH99" s="409" t="str">
        <f>IF('Antal &amp; Längder (vikter)'!K$11="Längd (mm)",IF('Antal &amp; Längder (vikter)'!K18&lt;&gt;"",'Antal &amp; Längder (vikter)'!K18,"XX"),"XX")</f>
        <v>XX</v>
      </c>
      <c r="AI99" s="7">
        <v>-9</v>
      </c>
      <c r="AN99" s="357"/>
      <c r="AO99" s="357"/>
      <c r="AP99" s="357"/>
      <c r="AQ99" s="357"/>
      <c r="AR99" s="357"/>
      <c r="AS99" s="357"/>
      <c r="AT99" s="357"/>
      <c r="AU99" s="357"/>
      <c r="AV99" s="357"/>
    </row>
    <row r="100" spans="1:48" hidden="1" x14ac:dyDescent="0.25">
      <c r="A100" s="599" t="str">
        <f>IF(OR(COUNTIF(Protokoll!N36:AE36,"D3")+COUNTIF(Protokoll!I37:AE38,"D3")&gt;0),"","D3")</f>
        <v>D3</v>
      </c>
      <c r="B100" s="604" t="str">
        <f>IF(OR(COUNTIF(Protokoll!N36:AE37,"D3")+COUNTIF(Protokoll!E37:F38,"D3")&gt;0),"","D3")</f>
        <v>D3</v>
      </c>
      <c r="C100" s="616" t="str">
        <f>IF(OR(COUNTIF(Protokoll!E37:J38,"D3")+COUNTIF(Protokoll!N36:AE36,"D3")+COUNTIF(Protokoll!S37:AE37,"D3")&gt;0),"","D3")</f>
        <v>D3</v>
      </c>
      <c r="D100" s="609" t="str">
        <f>IF(OR(COUNTIF(Protokoll!S36:AE36,"D3")+COUNTIF(Protokoll!B36:Q38,"D3")+COUNTIF(Protokoll!X37:AE37,"D3")&gt;0),"","D3")</f>
        <v>D3</v>
      </c>
      <c r="J100" s="581"/>
      <c r="K100" s="357"/>
      <c r="L100" s="579"/>
      <c r="M100" s="357" t="s">
        <v>1471</v>
      </c>
      <c r="N100" s="199" t="str">
        <f>IF(AND(Protokoll!$AB$38&lt;&gt;"",Protokoll!$AB$38=$M100),"",$M100)</f>
        <v>Vitpil</v>
      </c>
      <c r="O100" s="199" t="str">
        <f>IF(AND(Protokoll!$R$38&lt;&gt;"",Protokoll!$R$38=$M100),"",$M100)</f>
        <v>Vitpil</v>
      </c>
      <c r="Q100" s="612" t="str">
        <f>IF(COUNTIF(Protokoll!O55:AD55,"X")=0,"X","")</f>
        <v>X</v>
      </c>
      <c r="T100" s="331" t="str">
        <f>IF(OR(Protokoll!$X$5&lt;&gt;"",Lokalbeskrivn!$M$4&lt;&gt;""),"",U100)</f>
        <v/>
      </c>
      <c r="U100" s="330" t="s">
        <v>1092</v>
      </c>
      <c r="V100" s="351" t="s">
        <v>1091</v>
      </c>
      <c r="W100" s="2"/>
      <c r="Y100" s="401" t="s">
        <v>1685</v>
      </c>
      <c r="Z100" s="401" t="s">
        <v>1686</v>
      </c>
      <c r="AB100" s="478" t="str">
        <f>IF(COUNT(AB93:AB99)&gt;0,MAX(AB93:AB99)+1,"")</f>
        <v/>
      </c>
      <c r="AC100" s="433" t="str">
        <f>IF(AND(AH100&lt;&gt;"",AG100&lt;&gt;"",AI100&gt;0,AH100&gt;0),MAX(AC$2:AC99)+1,"XX")</f>
        <v>XX</v>
      </c>
      <c r="AD100" s="428" t="str">
        <f>IF('Antal &amp; Längder (vikter)'!$C$8&lt;&gt;"",'Antal &amp; Längder (vikter)'!$C$8,"XX")</f>
        <v>XX</v>
      </c>
      <c r="AE100" s="405" t="str">
        <f>IF(AND('Antal &amp; Längder (vikter)'!J$10&lt;&gt;"",ISNUMBER($AH100)),'Antal &amp; Längder (vikter)'!J$10,"")</f>
        <v/>
      </c>
      <c r="AF100" s="425" t="str">
        <f t="shared" si="4"/>
        <v/>
      </c>
      <c r="AG100" s="426" t="str">
        <f t="shared" si="5"/>
        <v/>
      </c>
      <c r="AH100" s="409" t="str">
        <f>IF('Antal &amp; Längder (vikter)'!K$11="Längd (mm)",IF('Antal &amp; Längder (vikter)'!K19&lt;&gt;"",'Antal &amp; Längder (vikter)'!K19,"XX"),"XX")</f>
        <v>XX</v>
      </c>
      <c r="AI100" s="7">
        <v>-9</v>
      </c>
      <c r="AN100" s="357"/>
      <c r="AO100" s="357"/>
      <c r="AP100" s="357"/>
      <c r="AQ100" s="357"/>
      <c r="AR100" s="357"/>
      <c r="AS100" s="357"/>
      <c r="AT100" s="357"/>
      <c r="AU100" s="357"/>
      <c r="AV100" s="357"/>
    </row>
    <row r="101" spans="1:48" hidden="1" x14ac:dyDescent="0.25">
      <c r="F101" s="6" t="s">
        <v>2322</v>
      </c>
      <c r="H101" s="6" t="s">
        <v>2323</v>
      </c>
      <c r="J101" s="580">
        <v>0</v>
      </c>
      <c r="K101" s="357"/>
      <c r="L101" s="579"/>
      <c r="M101"/>
      <c r="N101"/>
      <c r="Q101" s="578"/>
      <c r="T101" s="331" t="str">
        <f>IF(OR(Protokoll!$X$5&lt;&gt;"",Lokalbeskrivn!$M$4&lt;&gt;""),"",U101)</f>
        <v/>
      </c>
      <c r="U101" s="330" t="s">
        <v>1094</v>
      </c>
      <c r="V101" s="351" t="s">
        <v>1093</v>
      </c>
      <c r="W101" s="2"/>
      <c r="Y101" s="401" t="s">
        <v>1669</v>
      </c>
      <c r="Z101" s="401" t="s">
        <v>1670</v>
      </c>
      <c r="AB101" s="472" t="str">
        <f>IF(COUNT(AB93:AB100)&gt;0,MAX(AB93:AB100)+1,"")</f>
        <v/>
      </c>
      <c r="AC101" s="433" t="str">
        <f>IF(AND(AH101&lt;&gt;"",AG101&lt;&gt;"",AI101&gt;0,AH101&gt;0),MAX(AC$2:AC100)+1,"XX")</f>
        <v>XX</v>
      </c>
      <c r="AD101" s="428" t="str">
        <f>IF('Antal &amp; Längder (vikter)'!$C$8&lt;&gt;"",'Antal &amp; Längder (vikter)'!$C$8,"XX")</f>
        <v>XX</v>
      </c>
      <c r="AE101" s="405" t="str">
        <f>IF(AND('Antal &amp; Längder (vikter)'!J$10&lt;&gt;"",ISNUMBER($AH101)),'Antal &amp; Längder (vikter)'!J$10,"")</f>
        <v/>
      </c>
      <c r="AF101" s="425" t="str">
        <f t="shared" si="4"/>
        <v/>
      </c>
      <c r="AG101" s="426" t="str">
        <f t="shared" si="5"/>
        <v/>
      </c>
      <c r="AH101" s="409" t="str">
        <f>IF('Antal &amp; Längder (vikter)'!K$11="Längd (mm)",IF('Antal &amp; Längder (vikter)'!K20&lt;&gt;"",'Antal &amp; Längder (vikter)'!K20,"XX"),"XX")</f>
        <v>XX</v>
      </c>
      <c r="AI101" s="7">
        <v>-9</v>
      </c>
      <c r="AN101" s="357"/>
      <c r="AO101" s="357"/>
      <c r="AP101" s="357"/>
      <c r="AQ101" s="357"/>
      <c r="AR101" s="357"/>
      <c r="AS101" s="357"/>
      <c r="AT101" s="357"/>
      <c r="AU101" s="357"/>
      <c r="AV101" s="357"/>
    </row>
    <row r="102" spans="1:48" hidden="1" x14ac:dyDescent="0.25">
      <c r="A102" s="579" t="s">
        <v>2285</v>
      </c>
      <c r="B102" s="357" t="s">
        <v>2286</v>
      </c>
      <c r="D102" s="357" t="s">
        <v>2287</v>
      </c>
      <c r="F102" s="585" t="str">
        <f>IF(AND(COUNTIF(Protokoll!K29:W29,"X")=0,lokalVattennivå=""),"X","")</f>
        <v/>
      </c>
      <c r="H102" s="589" t="str">
        <f>IF(COUNTIF(Protokoll!K30:W30,"X")=0,"X","")</f>
        <v/>
      </c>
      <c r="J102" s="580">
        <v>10</v>
      </c>
      <c r="K102" s="357"/>
      <c r="L102" s="579"/>
      <c r="T102" s="331" t="str">
        <f>IF(OR(Protokoll!$X$5&lt;&gt;"",Lokalbeskrivn!$M$4&lt;&gt;""),"",U102)</f>
        <v/>
      </c>
      <c r="U102" s="330" t="s">
        <v>1096</v>
      </c>
      <c r="V102" s="351" t="s">
        <v>1095</v>
      </c>
      <c r="W102" s="2"/>
      <c r="Y102" s="401" t="s">
        <v>1681</v>
      </c>
      <c r="Z102" s="401" t="s">
        <v>1682</v>
      </c>
      <c r="AB102" s="479" t="str">
        <f>IF(COUNT(AB93:AB101)&gt;0,MAX(AB93:AB101)+1,"")</f>
        <v/>
      </c>
      <c r="AC102" s="433" t="str">
        <f>IF(AND(AH102&lt;&gt;"",AG102&lt;&gt;"",AI102&gt;0,AH102&gt;0),MAX(AC$2:AC101)+1,"XX")</f>
        <v>XX</v>
      </c>
      <c r="AD102" s="428" t="str">
        <f>IF('Antal &amp; Längder (vikter)'!$C$8&lt;&gt;"",'Antal &amp; Längder (vikter)'!$C$8,"XX")</f>
        <v>XX</v>
      </c>
      <c r="AE102" s="405" t="str">
        <f>IF(AND('Antal &amp; Längder (vikter)'!J$10&lt;&gt;"",ISNUMBER($AH102)),'Antal &amp; Längder (vikter)'!J$10,"")</f>
        <v/>
      </c>
      <c r="AF102" s="425" t="str">
        <f t="shared" si="4"/>
        <v/>
      </c>
      <c r="AG102" s="426" t="str">
        <f t="shared" si="5"/>
        <v/>
      </c>
      <c r="AH102" s="409" t="str">
        <f>IF('Antal &amp; Längder (vikter)'!K$11="Längd (mm)",IF('Antal &amp; Längder (vikter)'!K21&lt;&gt;"",'Antal &amp; Längder (vikter)'!K21,"XX"),"XX")</f>
        <v>XX</v>
      </c>
      <c r="AI102" s="7">
        <v>-9</v>
      </c>
      <c r="AN102" s="357"/>
      <c r="AO102" s="357"/>
      <c r="AP102" s="357"/>
      <c r="AQ102" s="357"/>
      <c r="AR102" s="357"/>
      <c r="AS102" s="357"/>
      <c r="AT102" s="357"/>
      <c r="AU102" s="357"/>
      <c r="AV102" s="357"/>
    </row>
    <row r="103" spans="1:48" hidden="1" x14ac:dyDescent="0.25">
      <c r="A103" s="600" t="str">
        <f>IF(OR(COUNTIF(Protokoll!N36:Y36,"D1")+COUNTIF(Protokoll!E37:V38,"D1")+COUNTIF(Protokoll!AD36:AE37,"D1")&gt;0),"","D1")</f>
        <v/>
      </c>
      <c r="B103" s="597" t="str">
        <f>IF(OR(COUNTIF(Protokoll!N36:AE36,"D1")+COUNTIF(Protokoll!E37:AA38,"D1")&gt;0),"","D1")</f>
        <v/>
      </c>
      <c r="D103" s="603" t="str">
        <f>IF(OR(COUNTIF(Protokoll!B36:AE37,"D1")&gt;0),"","D1")</f>
        <v>D1</v>
      </c>
      <c r="F103" s="328"/>
      <c r="H103" s="328"/>
      <c r="J103" s="580">
        <v>20</v>
      </c>
      <c r="K103" s="357"/>
      <c r="L103" s="6" t="s">
        <v>2326</v>
      </c>
      <c r="N103" s="6" t="s">
        <v>2337</v>
      </c>
      <c r="Q103" s="6" t="s">
        <v>2336</v>
      </c>
      <c r="T103" s="331" t="str">
        <f>IF(OR(Protokoll!$X$5&lt;&gt;"",Lokalbeskrivn!$M$4&lt;&gt;""),"",U103)</f>
        <v/>
      </c>
      <c r="U103" s="330" t="s">
        <v>1098</v>
      </c>
      <c r="V103" s="351" t="s">
        <v>1097</v>
      </c>
      <c r="W103" s="2"/>
      <c r="Y103" s="401" t="s">
        <v>2141</v>
      </c>
      <c r="Z103" s="401" t="s">
        <v>2142</v>
      </c>
      <c r="AB103" s="480" t="str">
        <f>IF(AND(ISNUMBER(AH103),AH103&gt;0),IF(MAX(AB$3:AB102)&gt;0,MAX(AB$3:AB102)+1,10+COUNTIF(F$38:F$49,"&gt;0")*10+1),"")</f>
        <v/>
      </c>
      <c r="AC103" s="433" t="str">
        <f>IF(AND(AH103&lt;&gt;"",AG103&lt;&gt;"",AI103&gt;0,AH103&gt;0),MAX(AC$2:AC102)+1,"XX")</f>
        <v>XX</v>
      </c>
      <c r="AD103" s="428" t="str">
        <f>IF('Antal &amp; Längder (vikter)'!$C$8&lt;&gt;"",'Antal &amp; Längder (vikter)'!$C$8,"XX")</f>
        <v>XX</v>
      </c>
      <c r="AE103" s="404" t="str">
        <f>IF(AND('Antal &amp; Längder (vikter)'!L$10&lt;&gt;"",ISNUMBER($AH103)),'Antal &amp; Längder (vikter)'!L$10,"")</f>
        <v/>
      </c>
      <c r="AF103" s="425" t="str">
        <f t="shared" si="4"/>
        <v/>
      </c>
      <c r="AG103" s="426" t="str">
        <f t="shared" si="5"/>
        <v/>
      </c>
      <c r="AH103" s="407" t="str">
        <f>IF('Antal &amp; Längder (vikter)'!L12&lt;&gt;"",'Antal &amp; Längder (vikter)'!L12,"XX")</f>
        <v>XX</v>
      </c>
      <c r="AI103" s="436">
        <f>IF('Antal &amp; Längder (vikter)'!M$11="Vikt (g)",'Antal &amp; Längder (vikter)'!M12,-9)</f>
        <v>-9</v>
      </c>
      <c r="AN103" s="357"/>
      <c r="AO103" s="357"/>
      <c r="AP103" s="357"/>
      <c r="AQ103" s="357"/>
      <c r="AR103" s="357"/>
      <c r="AS103" s="357"/>
      <c r="AT103" s="357"/>
      <c r="AU103" s="357"/>
      <c r="AV103" s="357"/>
    </row>
    <row r="104" spans="1:48" hidden="1" x14ac:dyDescent="0.25">
      <c r="A104" s="611" t="str">
        <f>IF(OR(COUNTIF(Protokoll!N36:Y36,"D2")+COUNTIF(Protokoll!E37:V38,"D2")+COUNTIF(Protokoll!AD36:AE37,"D2")&gt;0),"","D2")</f>
        <v/>
      </c>
      <c r="B104" s="613" t="str">
        <f>IF(OR(COUNTIF(Protokoll!N36:AE36,"D2")+COUNTIF(Protokoll!E37:AA38,"D2")&gt;0),"","D2")</f>
        <v/>
      </c>
      <c r="D104" s="595" t="str">
        <f>IF(OR(COUNTIF(Protokoll!B36:AE37,"D2")&gt;0),"","D2")</f>
        <v/>
      </c>
      <c r="J104" s="580">
        <v>30</v>
      </c>
      <c r="K104" s="357"/>
      <c r="L104" s="586">
        <f>IF(COUNTIF(Protokoll!$AA$62,"X")=0,ROW()-ROW(L$103)-1,"")</f>
        <v>0</v>
      </c>
      <c r="N104" s="628" t="str">
        <f>IF(COUNTIF(Protokoll!M60,"X")=0,"X","")</f>
        <v/>
      </c>
      <c r="Q104" s="576">
        <v>0</v>
      </c>
      <c r="T104" s="331" t="str">
        <f>IF(OR(Protokoll!$X$5&lt;&gt;"",Lokalbeskrivn!$M$4&lt;&gt;""),"",U104)</f>
        <v/>
      </c>
      <c r="U104" s="330" t="s">
        <v>1100</v>
      </c>
      <c r="V104" s="351" t="s">
        <v>1099</v>
      </c>
      <c r="W104" s="2"/>
      <c r="X104" s="1"/>
      <c r="Y104" s="401" t="s">
        <v>1615</v>
      </c>
      <c r="Z104" s="401" t="s">
        <v>1616</v>
      </c>
      <c r="AB104" s="476" t="str">
        <f>IF(COUNT(AB103:AB103)&gt;0,MAX(AB103:AB103)+1,"")</f>
        <v/>
      </c>
      <c r="AC104" s="433" t="str">
        <f>IF(AND(AH104&lt;&gt;"",AG104&lt;&gt;"",AI104&gt;0,AH104&gt;0),MAX(AC$2:AC103)+1,"XX")</f>
        <v>XX</v>
      </c>
      <c r="AD104" s="428" t="str">
        <f>IF('Antal &amp; Längder (vikter)'!$C$8&lt;&gt;"",'Antal &amp; Längder (vikter)'!$C$8,"XX")</f>
        <v>XX</v>
      </c>
      <c r="AE104" s="404" t="str">
        <f>IF(AND('Antal &amp; Längder (vikter)'!L$10&lt;&gt;"",ISNUMBER($AH104)),'Antal &amp; Längder (vikter)'!L$10,"")</f>
        <v/>
      </c>
      <c r="AF104" s="425" t="str">
        <f t="shared" si="4"/>
        <v/>
      </c>
      <c r="AG104" s="426" t="str">
        <f t="shared" si="5"/>
        <v/>
      </c>
      <c r="AH104" s="407" t="str">
        <f>IF('Antal &amp; Längder (vikter)'!L13&lt;&gt;"",'Antal &amp; Längder (vikter)'!L13,"XX")</f>
        <v>XX</v>
      </c>
      <c r="AI104" s="436">
        <f>IF('Antal &amp; Längder (vikter)'!M$11="Vikt (g)",'Antal &amp; Längder (vikter)'!M13,-9)</f>
        <v>-9</v>
      </c>
      <c r="AN104" s="357"/>
      <c r="AO104" s="357"/>
      <c r="AP104" s="357"/>
      <c r="AQ104" s="357"/>
      <c r="AR104" s="357"/>
      <c r="AS104" s="357"/>
      <c r="AT104" s="357"/>
      <c r="AU104" s="357"/>
      <c r="AV104" s="357"/>
    </row>
    <row r="105" spans="1:48" hidden="1" x14ac:dyDescent="0.25">
      <c r="A105" s="594" t="str">
        <f>IF(OR(COUNTIF(Protokoll!N36:Y36,"D3")+COUNTIF(Protokoll!E37:V38,"D3")+COUNTIF(Protokoll!AD36:AE37,"D3")&gt;0),"","D3")</f>
        <v>D3</v>
      </c>
      <c r="B105" s="599" t="str">
        <f>IF(OR(COUNTIF(Protokoll!N36:AE36,"D3")+COUNTIF(Protokoll!E37:AA38,"D3")&gt;0),"","D3")</f>
        <v>D3</v>
      </c>
      <c r="D105" s="598" t="str">
        <f>IF(OR(COUNTIF(Protokoll!B36:AE37,"D3")&gt;0),"","D3")</f>
        <v>D3</v>
      </c>
      <c r="F105" s="6" t="s">
        <v>2328</v>
      </c>
      <c r="H105" s="6" t="s">
        <v>2329</v>
      </c>
      <c r="J105" s="580">
        <v>40</v>
      </c>
      <c r="K105" s="357"/>
      <c r="L105" s="631">
        <f>IF(COUNTIF(Protokoll!$AA$62,"X")=0,ROW()-ROW(L$103)-1,"")</f>
        <v>1</v>
      </c>
      <c r="N105" s="627"/>
      <c r="Q105" s="577">
        <v>1</v>
      </c>
      <c r="T105" s="331" t="str">
        <f>IF(OR(Protokoll!$X$5&lt;&gt;"",Lokalbeskrivn!$M$4&lt;&gt;""),"",U105)</f>
        <v/>
      </c>
      <c r="U105" s="330" t="s">
        <v>1102</v>
      </c>
      <c r="V105" s="351" t="s">
        <v>1101</v>
      </c>
      <c r="W105" s="2"/>
      <c r="Y105" s="401" t="s">
        <v>1617</v>
      </c>
      <c r="Z105" s="401" t="s">
        <v>1618</v>
      </c>
      <c r="AB105" s="477" t="str">
        <f>IF(COUNT(AB103:AB104)&gt;0,MAX(AB103:AB104)+1,"")</f>
        <v/>
      </c>
      <c r="AC105" s="433" t="str">
        <f>IF(AND(AH105&lt;&gt;"",AG105&lt;&gt;"",AI105&gt;0,AH105&gt;0),MAX(AC$2:AC104)+1,"XX")</f>
        <v>XX</v>
      </c>
      <c r="AD105" s="428" t="str">
        <f>IF('Antal &amp; Längder (vikter)'!$C$8&lt;&gt;"",'Antal &amp; Längder (vikter)'!$C$8,"XX")</f>
        <v>XX</v>
      </c>
      <c r="AE105" s="404" t="str">
        <f>IF(AND('Antal &amp; Längder (vikter)'!L$10&lt;&gt;"",ISNUMBER($AH105)),'Antal &amp; Längder (vikter)'!L$10,"")</f>
        <v/>
      </c>
      <c r="AF105" s="425" t="str">
        <f t="shared" si="4"/>
        <v/>
      </c>
      <c r="AG105" s="426" t="str">
        <f t="shared" si="5"/>
        <v/>
      </c>
      <c r="AH105" s="407" t="str">
        <f>IF('Antal &amp; Längder (vikter)'!L14&lt;&gt;"",'Antal &amp; Längder (vikter)'!L14,"XX")</f>
        <v>XX</v>
      </c>
      <c r="AI105" s="436">
        <f>IF('Antal &amp; Längder (vikter)'!M$11="Vikt (g)",'Antal &amp; Längder (vikter)'!M14,-9)</f>
        <v>-9</v>
      </c>
      <c r="AN105" s="357"/>
      <c r="AO105" s="357"/>
      <c r="AP105" s="357"/>
      <c r="AQ105" s="357"/>
      <c r="AR105" s="357"/>
      <c r="AS105" s="357"/>
      <c r="AT105" s="357"/>
      <c r="AU105" s="357"/>
      <c r="AV105" s="357"/>
    </row>
    <row r="106" spans="1:48" hidden="1" x14ac:dyDescent="0.25">
      <c r="F106" s="590" t="str">
        <f>IF(COUNTIF(Protokoll!I60:M60,"X")=0,"X","")</f>
        <v/>
      </c>
      <c r="H106" s="612" t="str">
        <f>IF(COUNTIF(Protokoll!S57:Y57,"X")=0,"X","")</f>
        <v/>
      </c>
      <c r="J106" s="580">
        <v>50</v>
      </c>
      <c r="K106" s="357"/>
      <c r="L106" s="631">
        <f>IF(COUNTIF(Protokoll!$AA$62,"X")=0,ROW()-ROW(L$103)-1,"")</f>
        <v>2</v>
      </c>
      <c r="Q106" s="577">
        <v>2</v>
      </c>
      <c r="T106" s="331" t="str">
        <f>IF(OR(Protokoll!$X$5&lt;&gt;"",Lokalbeskrivn!$M$4&lt;&gt;""),"",U106)</f>
        <v/>
      </c>
      <c r="U106" s="330" t="s">
        <v>1104</v>
      </c>
      <c r="V106" s="351" t="s">
        <v>1103</v>
      </c>
      <c r="W106" s="2"/>
      <c r="Y106" s="401" t="s">
        <v>2384</v>
      </c>
      <c r="Z106" s="401" t="s">
        <v>2385</v>
      </c>
      <c r="AB106" s="434" t="str">
        <f>IF(COUNT(AB103:AB105)&gt;0,MAX(AB103:AB105)+1,"")</f>
        <v/>
      </c>
      <c r="AC106" s="433" t="str">
        <f>IF(AND(AH106&lt;&gt;"",AG106&lt;&gt;"",AI106&gt;0,AH106&gt;0),MAX(AC$2:AC105)+1,"XX")</f>
        <v>XX</v>
      </c>
      <c r="AD106" s="428" t="str">
        <f>IF('Antal &amp; Längder (vikter)'!$C$8&lt;&gt;"",'Antal &amp; Längder (vikter)'!$C$8,"XX")</f>
        <v>XX</v>
      </c>
      <c r="AE106" s="404" t="str">
        <f>IF(AND('Antal &amp; Längder (vikter)'!L$10&lt;&gt;"",ISNUMBER($AH106)),'Antal &amp; Längder (vikter)'!L$10,"")</f>
        <v/>
      </c>
      <c r="AF106" s="425" t="str">
        <f t="shared" si="4"/>
        <v/>
      </c>
      <c r="AG106" s="426" t="str">
        <f t="shared" si="5"/>
        <v/>
      </c>
      <c r="AH106" s="407" t="str">
        <f>IF('Antal &amp; Längder (vikter)'!L15&lt;&gt;"",'Antal &amp; Längder (vikter)'!L15,"XX")</f>
        <v>XX</v>
      </c>
      <c r="AI106" s="436">
        <f>IF('Antal &amp; Längder (vikter)'!M$11="Vikt (g)",'Antal &amp; Längder (vikter)'!M15,-9)</f>
        <v>-9</v>
      </c>
      <c r="AN106" s="357"/>
      <c r="AO106" s="357"/>
      <c r="AP106" s="357"/>
      <c r="AQ106" s="357"/>
      <c r="AR106" s="357"/>
      <c r="AS106" s="357"/>
      <c r="AT106" s="357"/>
      <c r="AU106" s="357"/>
      <c r="AV106" s="357"/>
    </row>
    <row r="107" spans="1:48" hidden="1" x14ac:dyDescent="0.25">
      <c r="A107" t="s">
        <v>2288</v>
      </c>
      <c r="B107" t="s">
        <v>2289</v>
      </c>
      <c r="C107" t="s">
        <v>2290</v>
      </c>
      <c r="D107" t="s">
        <v>2291</v>
      </c>
      <c r="F107" s="328"/>
      <c r="H107" s="328"/>
      <c r="J107" s="580">
        <v>60</v>
      </c>
      <c r="K107" s="357"/>
      <c r="L107" s="631">
        <f>IF(COUNTIF(Protokoll!$AA$62,"X")=0,ROW()-ROW(L$103)-1,"")</f>
        <v>3</v>
      </c>
      <c r="N107" s="6" t="s">
        <v>2338</v>
      </c>
      <c r="Q107" s="578"/>
      <c r="T107" s="331" t="str">
        <f>IF(OR(Protokoll!$X$5&lt;&gt;"",Lokalbeskrivn!$M$4&lt;&gt;""),"",U107)</f>
        <v/>
      </c>
      <c r="U107" s="330" t="s">
        <v>1106</v>
      </c>
      <c r="V107" s="351" t="s">
        <v>1105</v>
      </c>
      <c r="W107" s="2"/>
      <c r="Y107" s="401" t="s">
        <v>2386</v>
      </c>
      <c r="Z107" s="401" t="s">
        <v>2387</v>
      </c>
      <c r="AB107" s="475" t="str">
        <f>IF(COUNT(AB103:AB106)&gt;0,MAX(AB103:AB106)+1,"")</f>
        <v/>
      </c>
      <c r="AC107" s="433" t="str">
        <f>IF(AND(AH107&lt;&gt;"",AG107&lt;&gt;"",AI107&gt;0,AH107&gt;0),MAX(AC$2:AC106)+1,"XX")</f>
        <v>XX</v>
      </c>
      <c r="AD107" s="428" t="str">
        <f>IF('Antal &amp; Längder (vikter)'!$C$8&lt;&gt;"",'Antal &amp; Längder (vikter)'!$C$8,"XX")</f>
        <v>XX</v>
      </c>
      <c r="AE107" s="404" t="str">
        <f>IF(AND('Antal &amp; Längder (vikter)'!L$10&lt;&gt;"",ISNUMBER($AH107)),'Antal &amp; Längder (vikter)'!L$10,"")</f>
        <v/>
      </c>
      <c r="AF107" s="425" t="str">
        <f t="shared" si="4"/>
        <v/>
      </c>
      <c r="AG107" s="426" t="str">
        <f t="shared" si="5"/>
        <v/>
      </c>
      <c r="AH107" s="407" t="str">
        <f>IF('Antal &amp; Längder (vikter)'!L16&lt;&gt;"",'Antal &amp; Längder (vikter)'!L16,"XX")</f>
        <v>XX</v>
      </c>
      <c r="AI107" s="436">
        <f>IF('Antal &amp; Längder (vikter)'!M$11="Vikt (g)",'Antal &amp; Längder (vikter)'!M16,-9)</f>
        <v>-9</v>
      </c>
      <c r="AN107" s="357"/>
      <c r="AO107" s="357"/>
      <c r="AP107" s="357"/>
      <c r="AQ107" s="357"/>
      <c r="AR107" s="357"/>
      <c r="AS107" s="357"/>
      <c r="AT107" s="357"/>
      <c r="AU107" s="357"/>
      <c r="AV107" s="357"/>
    </row>
    <row r="108" spans="1:48" hidden="1" x14ac:dyDescent="0.25">
      <c r="A108" s="608" t="str">
        <f>IF(OR(COUNTIF(Protokoll!J32:AE32,"D1")&gt;0,COUNTIF(Protokoll!J33:AE33,3)&gt;0,AND(Protokoll!G33&lt;&gt;"",Protokoll!G33=0),Protokoll!G33=1),"","D1")</f>
        <v>D1</v>
      </c>
      <c r="B108" s="617" t="str">
        <f>IF(OR(COUNTIF(Protokoll!G32,"D1")+COUNTIF(Protokoll!M32:AE32,"D1")&gt;0,COUNTIF(Protokoll!G33,3)+COUNTIF(Protokoll!M33:AE33,3)&gt;0,AND(Protokoll!J33&lt;&gt;"",Protokoll!J33=0),Protokoll!J33=1),"","D1")</f>
        <v/>
      </c>
      <c r="C108" s="618" t="str">
        <f>IF(OR(COUNTIF(Protokoll!G32:J32,"D1")+COUNTIF(Protokoll!P32:AE32,"D1")&gt;0,COUNTIF(Protokoll!G33:J33,3)+COUNTIF(Protokoll!P33:AE33,3)&gt;0,AND(Protokoll!M33&lt;&gt;"",Protokoll!M33=0),Protokoll!M33=1),"","D1")</f>
        <v/>
      </c>
      <c r="D108" s="608" t="str">
        <f>IF(OR(COUNTIF(Protokoll!G32:M32,"D1")+COUNTIF(Protokoll!S32:AE32,"D1")&gt;0,COUNTIF(Protokoll!G33:M33,3)+COUNTIF(Protokoll!S33:AE33,3)&gt;0,AND(Protokoll!P33&lt;&gt;"",Protokoll!P33=0),Protokoll!P33=1),"","D1")</f>
        <v/>
      </c>
      <c r="J108" s="580">
        <v>70</v>
      </c>
      <c r="K108" s="357"/>
      <c r="L108" s="630" t="str">
        <f>IF(COUNTIF(Protokoll!AA62,"X")=0,"X","")</f>
        <v>X</v>
      </c>
      <c r="N108" s="629" t="str">
        <f>IF(COUNTIF(Protokoll!E63:AE67,"X")=0,"X","")</f>
        <v>X</v>
      </c>
      <c r="T108" s="331" t="str">
        <f>IF(OR(Protokoll!$X$5&lt;&gt;"",Lokalbeskrivn!$M$4&lt;&gt;""),"",U108)</f>
        <v/>
      </c>
      <c r="U108" s="330" t="s">
        <v>1108</v>
      </c>
      <c r="V108" s="351" t="s">
        <v>1107</v>
      </c>
      <c r="W108" s="2"/>
      <c r="Y108" s="401" t="s">
        <v>2388</v>
      </c>
      <c r="Z108" s="401" t="s">
        <v>2389</v>
      </c>
      <c r="AB108" s="471" t="str">
        <f>IF(COUNT(AB103:AB107)&gt;0,MAX(AB103:AB107)+1,"")</f>
        <v/>
      </c>
      <c r="AC108" s="433" t="str">
        <f>IF(AND(AH108&lt;&gt;"",AG108&lt;&gt;"",AI108&gt;0,AH108&gt;0),MAX(AC$2:AC107)+1,"XX")</f>
        <v>XX</v>
      </c>
      <c r="AD108" s="428" t="str">
        <f>IF('Antal &amp; Längder (vikter)'!$C$8&lt;&gt;"",'Antal &amp; Längder (vikter)'!$C$8,"XX")</f>
        <v>XX</v>
      </c>
      <c r="AE108" s="404" t="str">
        <f>IF(AND('Antal &amp; Längder (vikter)'!L$10&lt;&gt;"",ISNUMBER($AH108)),'Antal &amp; Längder (vikter)'!L$10,"")</f>
        <v/>
      </c>
      <c r="AF108" s="425" t="str">
        <f t="shared" si="4"/>
        <v/>
      </c>
      <c r="AG108" s="426" t="str">
        <f t="shared" si="5"/>
        <v/>
      </c>
      <c r="AH108" s="407" t="str">
        <f>IF('Antal &amp; Längder (vikter)'!L17&lt;&gt;"",'Antal &amp; Längder (vikter)'!L17,"XX")</f>
        <v>XX</v>
      </c>
      <c r="AI108" s="436">
        <f>IF('Antal &amp; Längder (vikter)'!M$11="Vikt (g)",'Antal &amp; Längder (vikter)'!M17,-9)</f>
        <v>-9</v>
      </c>
      <c r="AN108" s="357"/>
      <c r="AO108" s="357"/>
      <c r="AP108" s="357"/>
      <c r="AQ108" s="357"/>
      <c r="AR108" s="357"/>
      <c r="AS108" s="357"/>
      <c r="AT108" s="357"/>
      <c r="AU108" s="357"/>
      <c r="AV108" s="357"/>
    </row>
    <row r="109" spans="1:48" hidden="1" x14ac:dyDescent="0.25">
      <c r="A109" s="602" t="str">
        <f>IF(OR(COUNTIF(Protokoll!J32:AE32,"D2")&gt;0,AND(Protokoll!G33&lt;&gt;"",Protokoll!G33=0),Protokoll!G33=3),"","D2")</f>
        <v/>
      </c>
      <c r="B109" s="601" t="str">
        <f>IF(OR(COUNTIF(Protokoll!G32,"D2")+COUNTIF(Protokoll!M32:AE32,"D2")&gt;0,AND(Protokoll!J33&lt;&gt;"",Protokoll!J33=0),Protokoll!J33=3),"","D2")</f>
        <v>D2</v>
      </c>
      <c r="C109" s="595" t="str">
        <f>IF(OR(COUNTIF(Protokoll!G32:J32,"D2")+COUNTIF(Protokoll!P32:AE32,"D2")&gt;0,AND(Protokoll!M33&lt;&gt;"",Protokoll!M33=0),Protokoll!M33=3),"","D2")</f>
        <v/>
      </c>
      <c r="D109" s="596" t="str">
        <f>IF(OR(COUNTIF(Protokoll!G32:M32,"D2")+COUNTIF(Protokoll!S32:AE32,"D2")&gt;0,AND(Protokoll!P33&lt;&gt;"",Protokoll!P33=0),Protokoll!P33=3),"","D2")</f>
        <v/>
      </c>
      <c r="F109" s="6" t="s">
        <v>2324</v>
      </c>
      <c r="H109" s="6" t="s">
        <v>2335</v>
      </c>
      <c r="J109" s="580">
        <v>80</v>
      </c>
      <c r="K109" s="357"/>
      <c r="L109" s="582"/>
      <c r="N109" s="582"/>
      <c r="T109" s="331" t="str">
        <f>IF(OR(Protokoll!$X$5&lt;&gt;"",Lokalbeskrivn!$M$4&lt;&gt;""),"",U109)</f>
        <v/>
      </c>
      <c r="U109" s="330" t="s">
        <v>1110</v>
      </c>
      <c r="V109" s="351" t="s">
        <v>1109</v>
      </c>
      <c r="W109" s="2"/>
      <c r="Y109" s="401" t="s">
        <v>2191</v>
      </c>
      <c r="Z109" s="401" t="s">
        <v>2192</v>
      </c>
      <c r="AB109" s="474" t="str">
        <f>IF(COUNT(AB103:AB108)&gt;0,MAX(AB103:AB108)+1,"")</f>
        <v/>
      </c>
      <c r="AC109" s="433" t="str">
        <f>IF(AND(AH109&lt;&gt;"",AG109&lt;&gt;"",AI109&gt;0,AH109&gt;0),MAX(AC$2:AC108)+1,"XX")</f>
        <v>XX</v>
      </c>
      <c r="AD109" s="428" t="str">
        <f>IF('Antal &amp; Längder (vikter)'!$C$8&lt;&gt;"",'Antal &amp; Längder (vikter)'!$C$8,"XX")</f>
        <v>XX</v>
      </c>
      <c r="AE109" s="404" t="str">
        <f>IF(AND('Antal &amp; Längder (vikter)'!L$10&lt;&gt;"",ISNUMBER($AH109)),'Antal &amp; Längder (vikter)'!L$10,"")</f>
        <v/>
      </c>
      <c r="AF109" s="425" t="str">
        <f t="shared" si="4"/>
        <v/>
      </c>
      <c r="AG109" s="426" t="str">
        <f t="shared" si="5"/>
        <v/>
      </c>
      <c r="AH109" s="407" t="str">
        <f>IF('Antal &amp; Längder (vikter)'!L18&lt;&gt;"",'Antal &amp; Längder (vikter)'!L18,"XX")</f>
        <v>XX</v>
      </c>
      <c r="AI109" s="436">
        <f>IF('Antal &amp; Längder (vikter)'!M$11="Vikt (g)",'Antal &amp; Längder (vikter)'!M18,-9)</f>
        <v>-9</v>
      </c>
      <c r="AN109" s="357"/>
      <c r="AO109" s="357"/>
      <c r="AP109" s="357"/>
      <c r="AQ109" s="357"/>
      <c r="AR109" s="357"/>
      <c r="AS109" s="357"/>
      <c r="AT109" s="357"/>
      <c r="AU109" s="357"/>
      <c r="AV109" s="357"/>
    </row>
    <row r="110" spans="1:48" hidden="1" x14ac:dyDescent="0.25">
      <c r="A110" s="598" t="str">
        <f>IF(OR(COUNTIF(Protokoll!J32:AE32,"D3")&gt;0,AND(Protokoll!G33&lt;&gt;"",Protokoll!G33=0),Protokoll!G33=3),"","D3")</f>
        <v/>
      </c>
      <c r="B110" s="609" t="str">
        <f>IF(OR(COUNTIF(Protokoll!G32,"D3")+COUNTIF(Protokoll!M32:AE32,"D3")&gt;0,AND(Protokoll!J33&lt;&gt;"",Protokoll!J33)=0,Protokoll!J33=3),"","D3")</f>
        <v/>
      </c>
      <c r="C110" s="614" t="str">
        <f>IF(OR(COUNTIF(Protokoll!G32:J32,"D3")+COUNTIF(Protokoll!P32:AE32,"D3")&gt;0,AND(Protokoll!M33&lt;&gt;"",Protokoll!M33=0),Protokoll!M33=3),"","D3")</f>
        <v/>
      </c>
      <c r="D110" s="599" t="str">
        <f>IF(OR(COUNTIF(Protokoll!G32:M32,"D3")+COUNTIF(Protokoll!S32:AE32,"D3")&gt;0,AND(Protokoll!P33&lt;&gt;"",Protokoll!P33=0),Protokoll!P33=3),"","D3")</f>
        <v/>
      </c>
      <c r="F110" s="625" t="str">
        <f>IF(COUNTIF(Protokoll!O56,"X")=0,"X","")</f>
        <v/>
      </c>
      <c r="H110" s="626" t="str">
        <f>IF(COUNTIF(Protokoll!T56:Y56,"X")=0,"X","")</f>
        <v>X</v>
      </c>
      <c r="J110" s="580">
        <v>90</v>
      </c>
      <c r="K110" s="357"/>
      <c r="L110" s="579"/>
      <c r="M110" s="204"/>
      <c r="N110" s="204"/>
      <c r="T110" s="331" t="str">
        <f>IF(OR(Protokoll!$X$5&lt;&gt;"",Lokalbeskrivn!$M$4&lt;&gt;""),"",U110)</f>
        <v/>
      </c>
      <c r="U110" s="330" t="s">
        <v>1112</v>
      </c>
      <c r="V110" s="351" t="s">
        <v>1111</v>
      </c>
      <c r="W110" s="2"/>
      <c r="Y110" s="401" t="s">
        <v>2143</v>
      </c>
      <c r="Z110" s="401" t="s">
        <v>2144</v>
      </c>
      <c r="AB110" s="478" t="str">
        <f>IF(COUNT(AB103:AB109)&gt;0,MAX(AB103:AB109)+1,"")</f>
        <v/>
      </c>
      <c r="AC110" s="433" t="str">
        <f>IF(AND(AH110&lt;&gt;"",AG110&lt;&gt;"",AI110&gt;0,AH110&gt;0),MAX(AC$2:AC109)+1,"XX")</f>
        <v>XX</v>
      </c>
      <c r="AD110" s="428" t="str">
        <f>IF('Antal &amp; Längder (vikter)'!$C$8&lt;&gt;"",'Antal &amp; Längder (vikter)'!$C$8,"XX")</f>
        <v>XX</v>
      </c>
      <c r="AE110" s="404" t="str">
        <f>IF(AND('Antal &amp; Längder (vikter)'!L$10&lt;&gt;"",ISNUMBER($AH110)),'Antal &amp; Längder (vikter)'!L$10,"")</f>
        <v/>
      </c>
      <c r="AF110" s="425" t="str">
        <f t="shared" si="4"/>
        <v/>
      </c>
      <c r="AG110" s="426" t="str">
        <f t="shared" si="5"/>
        <v/>
      </c>
      <c r="AH110" s="407" t="str">
        <f>IF('Antal &amp; Längder (vikter)'!L19&lt;&gt;"",'Antal &amp; Längder (vikter)'!L19,"XX")</f>
        <v>XX</v>
      </c>
      <c r="AI110" s="436">
        <f>IF('Antal &amp; Längder (vikter)'!M$11="Vikt (g)",'Antal &amp; Längder (vikter)'!M19,-9)</f>
        <v>-9</v>
      </c>
      <c r="AN110" s="357"/>
      <c r="AO110" s="357"/>
      <c r="AP110" s="357"/>
      <c r="AQ110" s="357"/>
      <c r="AR110" s="357"/>
      <c r="AS110" s="357"/>
      <c r="AT110" s="357"/>
      <c r="AU110" s="357"/>
      <c r="AV110" s="357"/>
    </row>
    <row r="111" spans="1:48" hidden="1" x14ac:dyDescent="0.25">
      <c r="F111" s="328"/>
      <c r="H111" s="578"/>
      <c r="J111" s="582">
        <v>100</v>
      </c>
      <c r="K111" s="591"/>
      <c r="L111" s="592" t="s">
        <v>449</v>
      </c>
      <c r="M111" s="143"/>
      <c r="N111" s="214"/>
      <c r="O111" s="215"/>
      <c r="P111" s="115"/>
      <c r="T111" s="331" t="str">
        <f>IF(OR(Protokoll!$X$5&lt;&gt;"",Lokalbeskrivn!$M$4&lt;&gt;""),"",U111)</f>
        <v/>
      </c>
      <c r="U111" s="330" t="s">
        <v>1114</v>
      </c>
      <c r="V111" s="351" t="s">
        <v>1113</v>
      </c>
      <c r="W111" s="2"/>
      <c r="Y111" s="401" t="s">
        <v>2185</v>
      </c>
      <c r="Z111" s="401" t="s">
        <v>2186</v>
      </c>
      <c r="AB111" s="472" t="str">
        <f>IF(COUNT(AB103:AB110)&gt;0,MAX(AB103:AB110)+1,"")</f>
        <v/>
      </c>
      <c r="AC111" s="433" t="str">
        <f>IF(AND(AH111&lt;&gt;"",AG111&lt;&gt;"",AI111&gt;0,AH111&gt;0),MAX(AC$2:AC110)+1,"XX")</f>
        <v>XX</v>
      </c>
      <c r="AD111" s="428" t="str">
        <f>IF('Antal &amp; Längder (vikter)'!$C$8&lt;&gt;"",'Antal &amp; Längder (vikter)'!$C$8,"XX")</f>
        <v>XX</v>
      </c>
      <c r="AE111" s="404" t="str">
        <f>IF(AND('Antal &amp; Längder (vikter)'!L$10&lt;&gt;"",ISNUMBER($AH111)),'Antal &amp; Längder (vikter)'!L$10,"")</f>
        <v/>
      </c>
      <c r="AF111" s="425" t="str">
        <f t="shared" si="4"/>
        <v/>
      </c>
      <c r="AG111" s="426" t="str">
        <f t="shared" si="5"/>
        <v/>
      </c>
      <c r="AH111" s="407" t="str">
        <f>IF('Antal &amp; Längder (vikter)'!L20&lt;&gt;"",'Antal &amp; Längder (vikter)'!L20,"XX")</f>
        <v>XX</v>
      </c>
      <c r="AI111" s="436">
        <f>IF('Antal &amp; Längder (vikter)'!M$11="Vikt (g)",'Antal &amp; Längder (vikter)'!M20,-9)</f>
        <v>-9</v>
      </c>
      <c r="AN111" s="357"/>
      <c r="AO111" s="357"/>
      <c r="AP111" s="357"/>
      <c r="AQ111" s="357"/>
      <c r="AR111" s="357"/>
      <c r="AS111" s="357"/>
      <c r="AT111" s="357"/>
      <c r="AU111" s="357"/>
      <c r="AV111" s="357"/>
    </row>
    <row r="112" spans="1:48" hidden="1" x14ac:dyDescent="0.25">
      <c r="J112"/>
      <c r="K112" s="143"/>
      <c r="L112" s="395" t="str">
        <f>IF(Protokoll!I$1&lt;&gt;"",Protokoll!I$1,"")</f>
        <v>Hallands län</v>
      </c>
      <c r="M112" s="143"/>
      <c r="N112" s="216"/>
      <c r="O112" s="217"/>
      <c r="P112" s="218"/>
      <c r="Q112" s="219"/>
      <c r="T112" s="331" t="str">
        <f>IF(OR(Protokoll!$X$5&lt;&gt;"",Lokalbeskrivn!$M$4&lt;&gt;""),"",U112)</f>
        <v/>
      </c>
      <c r="U112" s="330" t="s">
        <v>1116</v>
      </c>
      <c r="V112" s="351" t="s">
        <v>1115</v>
      </c>
      <c r="W112" s="2"/>
      <c r="Y112" s="401" t="s">
        <v>1958</v>
      </c>
      <c r="Z112" s="401" t="s">
        <v>1959</v>
      </c>
      <c r="AB112" s="479" t="str">
        <f>IF(COUNT(AB103:AB111)&gt;0,MAX(AB103:AB111)+1,"")</f>
        <v/>
      </c>
      <c r="AC112" s="433" t="str">
        <f>IF(AND(AH112&lt;&gt;"",AG112&lt;&gt;"",AI112&gt;0,AH112&gt;0),MAX(AC$2:AC111)+1,"XX")</f>
        <v>XX</v>
      </c>
      <c r="AD112" s="428" t="str">
        <f>IF('Antal &amp; Längder (vikter)'!$C$8&lt;&gt;"",'Antal &amp; Längder (vikter)'!$C$8,"XX")</f>
        <v>XX</v>
      </c>
      <c r="AE112" s="404" t="str">
        <f>IF(AND('Antal &amp; Längder (vikter)'!L$10&lt;&gt;"",ISNUMBER($AH112)),'Antal &amp; Längder (vikter)'!L$10,"")</f>
        <v/>
      </c>
      <c r="AF112" s="425" t="str">
        <f t="shared" si="4"/>
        <v/>
      </c>
      <c r="AG112" s="426" t="str">
        <f t="shared" si="5"/>
        <v/>
      </c>
      <c r="AH112" s="407" t="str">
        <f>IF('Antal &amp; Längder (vikter)'!L21&lt;&gt;"",'Antal &amp; Längder (vikter)'!L21,"XX")</f>
        <v>XX</v>
      </c>
      <c r="AI112" s="436">
        <f>IF('Antal &amp; Längder (vikter)'!M$11="Vikt (g)",'Antal &amp; Längder (vikter)'!M21,-9)</f>
        <v>-9</v>
      </c>
      <c r="AN112" s="357"/>
      <c r="AO112" s="357"/>
      <c r="AP112" s="357"/>
      <c r="AQ112" s="357"/>
      <c r="AR112" s="357"/>
      <c r="AS112" s="357"/>
      <c r="AT112" s="357"/>
      <c r="AU112" s="357"/>
      <c r="AV112" s="357"/>
    </row>
    <row r="113" spans="1:48" hidden="1" x14ac:dyDescent="0.25">
      <c r="A113" t="s">
        <v>2292</v>
      </c>
      <c r="B113" t="s">
        <v>2293</v>
      </c>
      <c r="C113" t="s">
        <v>2294</v>
      </c>
      <c r="D113" t="s">
        <v>2295</v>
      </c>
      <c r="E113" s="115" t="s">
        <v>2296</v>
      </c>
      <c r="F113" t="s">
        <v>80</v>
      </c>
      <c r="G113" s="143" t="s">
        <v>111</v>
      </c>
      <c r="H113" s="143" t="s">
        <v>484</v>
      </c>
      <c r="I113" s="143" t="s">
        <v>485</v>
      </c>
      <c r="J113" s="143" t="s">
        <v>109</v>
      </c>
      <c r="K113" s="143"/>
      <c r="M113" s="143"/>
      <c r="N113" s="214" t="s">
        <v>80</v>
      </c>
      <c r="O113" s="215" t="s">
        <v>109</v>
      </c>
      <c r="P113" s="115"/>
      <c r="Q113" s="215"/>
      <c r="T113" s="331" t="str">
        <f>IF(OR(Protokoll!$X$5&lt;&gt;"",Lokalbeskrivn!$M$4&lt;&gt;""),"",U113)</f>
        <v/>
      </c>
      <c r="U113" s="330" t="s">
        <v>1118</v>
      </c>
      <c r="V113" s="351" t="s">
        <v>1117</v>
      </c>
      <c r="W113" s="2"/>
      <c r="Y113" s="401" t="s">
        <v>2390</v>
      </c>
      <c r="Z113" s="401" t="s">
        <v>2391</v>
      </c>
      <c r="AB113" s="480" t="str">
        <f>IF(AND(ISNUMBER(AH113),AH113&gt;0),IF(MAX(AB$3:AB112)&gt;0,MAX(AB$3:AB112)+1,10+COUNTIF(F$38:F$49,"&gt;0")*10+1),"")</f>
        <v/>
      </c>
      <c r="AC113" s="433" t="str">
        <f>IF(AND(AH113&lt;&gt;"",AG113&lt;&gt;"",AI113&gt;0,AH113&gt;0),MAX(AC$2:AC112)+1,"XX")</f>
        <v>XX</v>
      </c>
      <c r="AD113" s="428" t="str">
        <f>IF('Antal &amp; Längder (vikter)'!$C$8&lt;&gt;"",'Antal &amp; Längder (vikter)'!$C$8,"XX")</f>
        <v>XX</v>
      </c>
      <c r="AE113" s="405" t="str">
        <f>IF(AND('Antal &amp; Längder (vikter)'!L$10&lt;&gt;"",ISNUMBER($AH113)),'Antal &amp; Längder (vikter)'!L$10,"")</f>
        <v/>
      </c>
      <c r="AF113" s="425" t="str">
        <f t="shared" si="4"/>
        <v/>
      </c>
      <c r="AG113" s="426" t="str">
        <f t="shared" si="5"/>
        <v/>
      </c>
      <c r="AH113" s="409" t="str">
        <f>IF('Antal &amp; Längder (vikter)'!M$11="Längd (mm)",IF('Antal &amp; Längder (vikter)'!M12&lt;&gt;"",'Antal &amp; Längder (vikter)'!M12,"XX"),"XX")</f>
        <v>XX</v>
      </c>
      <c r="AI113" s="7">
        <v>-9</v>
      </c>
      <c r="AN113" s="357"/>
      <c r="AO113" s="357"/>
      <c r="AP113" s="357"/>
      <c r="AQ113" s="357"/>
      <c r="AR113" s="357"/>
      <c r="AS113" s="357"/>
      <c r="AT113" s="357"/>
      <c r="AU113" s="357"/>
      <c r="AV113" s="357"/>
    </row>
    <row r="114" spans="1:48" hidden="1" x14ac:dyDescent="0.25">
      <c r="A114" s="597" t="str">
        <f>IF(OR(COUNTIF(Protokoll!G32:P32,"D1")+COUNTIF(Protokoll!V32:AE32,"D1")&gt;0,COUNTIF(Protokoll!G33:P33,3)+COUNTIF(Protokoll!V33:AE33,3)&gt;0,AND(Protokoll!S33&lt;&gt;"",Protokoll!S33=0),Protokoll!S33=1),"","D1")</f>
        <v/>
      </c>
      <c r="B114" s="612" t="str">
        <f>IF(OR(COUNTIF(Protokoll!G32:S32,"D1")+COUNTIF(Protokoll!Y32:AE32,"D1")&gt;0,COUNTIF(Protokoll!G33:S33,3)+COUNTIF(Protokoll!Y33:AE33,3)&gt;0,AND(Protokoll!V33&lt;&gt;"",Protokoll!V33=0),Protokoll!V33=1),"","D1")</f>
        <v/>
      </c>
      <c r="C114" s="603" t="str">
        <f>IF(OR(COUNTIF(Protokoll!G32:V32,"D1")+COUNTIF(Protokoll!AB32:AE32,"D1")&gt;0,COUNTIF(Protokoll!G33:V33,3)+COUNTIF(Protokoll!AB33:AE33,3)&gt;0,AND(Protokoll!Y33&lt;&gt;"",Protokoll!Y33=0),Protokoll!Y33=1),"","D1")</f>
        <v/>
      </c>
      <c r="D114" s="617" t="str">
        <f>IF(OR(COUNTIF(Protokoll!G32:Y32,"D1")+COUNTIF(Protokoll!AE32,"D1")&gt;0,COUNTIF(Protokoll!G33:Y33,3)+COUNTIF(Protokoll!AE33,3)&gt;0,AND(Protokoll!AB33&lt;&gt;"",Protokoll!AB33=0),Protokoll!AB33=1),"","D1")</f>
        <v/>
      </c>
      <c r="E114" s="618" t="str">
        <f>IF(OR(COUNTIF(Protokoll!G32:AB32,"D1")&gt;0,COUNTIF(Protokoll!G33:AB33,3)&gt;0,AND(Protokoll!AE33&lt;&gt;"",Protokoll!AE33=0),Protokoll!AE33=1),"","D1")</f>
        <v/>
      </c>
      <c r="F114" s="199">
        <f>COUNTIF(J$113:J114,J114)</f>
        <v>1</v>
      </c>
      <c r="G114" t="s">
        <v>113</v>
      </c>
      <c r="H114" s="330">
        <v>1440</v>
      </c>
      <c r="I114" s="330">
        <v>14</v>
      </c>
      <c r="J114" t="s">
        <v>114</v>
      </c>
      <c r="K114" s="143"/>
      <c r="L114" s="220" t="str">
        <f>IF(Protokoll!I$1&lt;&gt;"",IF(N113=N$113,IF(AND(DMAX(F$113:J$403,F$113,O113:O114)&gt;COUNTA(L$111:L112)-2,DCOUNTA(F$113:J$403,G$113,N113:O114)=1),DGET(F$113:J$403,G$113,N113:O114),""),IF(AND(DMAX(F$113:J$403,F$113,Q113:Q114)&gt;COUNTA(L$111:L112)-2,DCOUNTA(F$113:J$403,G$113,P113:Q114)=1),DGET(F$113:J$403,G$113,P113:Q114),"")),G114)</f>
        <v>Falkenberg</v>
      </c>
      <c r="M114" s="143"/>
      <c r="N114" s="221">
        <f>IF(N113=N$113,IF(COUNT(N$113:Q113)&lt;DMAX(F$113:J$403,F$113,O113:O114),COUNT(N$113:Q113)+1,""),IF(COUNT(N$113:Q113)&lt;DMAX(F$113:J$403,F$113,Q113:Q114),N$113,""))</f>
        <v>1</v>
      </c>
      <c r="O114" s="222" t="str">
        <f>IF(O113=O$113,IF(COUNTA(L$111:L112)-2&lt;DMAX(F$113:J$403,F$113,Q112:Q113),Protokoll!I$1,""),IF(O113&lt;&gt;"",IF(COUNTA(L$111:L112)-1&lt;DMAX(F$113:J$403,F$113,O112:O113),O$113,""),""))</f>
        <v>Hallands län</v>
      </c>
      <c r="P114" s="223" t="str">
        <f>IF(N113=N$113,IF(COUNT(N$113:Q113)&lt;DMAX(F$113:J$403,F$113,O113:O114),N$113,""),IF(COUNT(N$113:Q113)&lt;DMAX(F$113:J$403,F$113,Q113:Q114),COUNT(N$113:Q113)+1,""))</f>
        <v>NR</v>
      </c>
      <c r="Q114" s="199" t="str">
        <f>IF(O113=O$113,IF(COUNTA(L$111:L112)-2&lt;DMAX(F$113:J$403,F$113,Q112:Q113),O$113,""),IF(Q113&lt;&gt;"",IF(COUNTA(L$111:L112)-2&lt;DMAX(F$113:J$403,F$113,O112:O113),Protokoll!I$1,""),""))</f>
        <v>LN_NAMN</v>
      </c>
      <c r="T114" s="331" t="str">
        <f>IF(OR(Protokoll!$X$5&lt;&gt;"",Lokalbeskrivn!$M$4&lt;&gt;""),"",U114)</f>
        <v/>
      </c>
      <c r="U114" s="330" t="s">
        <v>1120</v>
      </c>
      <c r="V114" s="351" t="s">
        <v>1119</v>
      </c>
      <c r="W114" s="2"/>
      <c r="Y114" s="401" t="s">
        <v>1937</v>
      </c>
      <c r="Z114" s="401" t="s">
        <v>1938</v>
      </c>
      <c r="AB114" s="476" t="str">
        <f>IF(COUNT(AB113:AB113)&gt;0,MAX(AB113:AB113)+1,"")</f>
        <v/>
      </c>
      <c r="AC114" s="433" t="str">
        <f>IF(AND(AH114&lt;&gt;"",AG114&lt;&gt;"",AI114&gt;0,AH114&gt;0),MAX(AC$2:AC113)+1,"XX")</f>
        <v>XX</v>
      </c>
      <c r="AD114" s="428" t="str">
        <f>IF('Antal &amp; Längder (vikter)'!$C$8&lt;&gt;"",'Antal &amp; Längder (vikter)'!$C$8,"XX")</f>
        <v>XX</v>
      </c>
      <c r="AE114" s="405" t="str">
        <f>IF(AND('Antal &amp; Längder (vikter)'!L$10&lt;&gt;"",ISNUMBER($AH114)),'Antal &amp; Längder (vikter)'!L$10,"")</f>
        <v/>
      </c>
      <c r="AF114" s="425" t="str">
        <f t="shared" si="4"/>
        <v/>
      </c>
      <c r="AG114" s="426" t="str">
        <f t="shared" si="5"/>
        <v/>
      </c>
      <c r="AH114" s="409" t="str">
        <f>IF('Antal &amp; Längder (vikter)'!M$11="Längd (mm)",IF('Antal &amp; Längder (vikter)'!M13&lt;&gt;"",'Antal &amp; Längder (vikter)'!M13,"XX"),"XX")</f>
        <v>XX</v>
      </c>
      <c r="AI114" s="7">
        <v>-9</v>
      </c>
      <c r="AN114" s="357"/>
      <c r="AO114" s="357"/>
      <c r="AP114" s="357"/>
      <c r="AQ114" s="357"/>
      <c r="AR114" s="357"/>
      <c r="AS114" s="357"/>
      <c r="AT114" s="357"/>
      <c r="AU114" s="357"/>
      <c r="AV114" s="357"/>
    </row>
    <row r="115" spans="1:48" hidden="1" x14ac:dyDescent="0.25">
      <c r="A115" s="595" t="str">
        <f>IF(OR(COUNTIF(Protokoll!G32:P32,"D2")+COUNTIF(Protokoll!V32:AE32,"D2")&gt;0,AND(Protokoll!S33&lt;&gt;"",Protokoll!S33=0),Protokoll!S33=3),"","D2")</f>
        <v/>
      </c>
      <c r="B115" s="607" t="str">
        <f>IF(OR(COUNTIF(Protokoll!G32:S32,"D2")+COUNTIF(Protokoll!Y32:AE32,"D2")&gt;0,AND(Protokoll!V33&lt;&gt;"",Protokoll!V33=0),Protokoll!V33=3),"","D2")</f>
        <v/>
      </c>
      <c r="C115" s="601" t="str">
        <f>IF(OR(COUNTIF(Protokoll!G32:V32,"D2")+COUNTIF(Protokoll!AB32:AE32,"D2")&gt;0,AND(Protokoll!Y33&lt;&gt;"",Protokoll!Y33=0),Protokoll!Y33=3),"","D2")</f>
        <v/>
      </c>
      <c r="D115" s="595" t="str">
        <f>IF(OR(COUNTIF(Protokoll!G32:Y32,"D2")+COUNTIF(Protokoll!AE32,"D2")&gt;0,AND(Protokoll!AB33&lt;&gt;"",Protokoll!AB33=0),Protokoll!AB33=3),"","D2")</f>
        <v/>
      </c>
      <c r="E115" s="613" t="str">
        <f>IF(OR(COUNTIF(Protokoll!G32:AB32,"D2")&gt;0,AND(Protokoll!AE33&lt;&gt;"",Protokoll!AE33=0),Protokoll!AE33=3),"","D2")</f>
        <v/>
      </c>
      <c r="F115" s="199">
        <f>COUNTIF(J$113:J115,J115)</f>
        <v>2</v>
      </c>
      <c r="G115" t="s">
        <v>116</v>
      </c>
      <c r="H115" s="330">
        <v>1489</v>
      </c>
      <c r="I115" s="330">
        <v>14</v>
      </c>
      <c r="J115" t="s">
        <v>114</v>
      </c>
      <c r="K115" s="143"/>
      <c r="L115" s="220" t="str">
        <f>IF(Protokoll!I$1&lt;&gt;"",IF(N114=N$113,IF(AND(DMAX(F$113:J$403,F$113,O114:O115)&gt;COUNTA(L$111:L114)-2,DCOUNTA(F$113:J$403,G$113,N114:O115)=1),DGET(F$113:J$403,G$113,N114:O115),""),IF(AND(DMAX(F$113:J$403,F$113,Q114:Q115)&gt;COUNTA(L$111:L114)-2,DCOUNTA(F$113:J$403,G$113,P114:Q115)=1),DGET(F$113:J$403,G$113,P114:Q115),"")),G115)</f>
        <v>Halmstad</v>
      </c>
      <c r="M115" s="143"/>
      <c r="N115" s="221" t="str">
        <f>IF(N114=N$113,IF(COUNT(N$113:Q114)&lt;DMAX(F$113:J$403,F$113,O114:O115),COUNT(N$113:Q114)+1,""),IF(COUNT(N$113:Q114)&lt;DMAX(F$113:J$403,F$113,Q114:Q115),N$113,""))</f>
        <v>NR</v>
      </c>
      <c r="O115" s="222" t="str">
        <f>IF(O114=O$113,IF(COUNTA(L$111:L114)-2&lt;DMAX(F$113:J$403,F$113,Q113:Q114),Protokoll!I$1,""),IF(O114&lt;&gt;"",IF(COUNTA(L$111:L114)-1&lt;DMAX(F$113:J$403,F$113,O113:O114),O$113,""),""))</f>
        <v>LN_NAMN</v>
      </c>
      <c r="P115" s="223">
        <f>IF(N114=N$113,IF(COUNT(N$113:Q114)&lt;DMAX(F$113:J$403,F$113,O114:O115),N$113,""),IF(COUNT(N$113:Q114)&lt;DMAX(F$113:J$403,F$113,Q114:Q115),COUNT(N$113:Q114)+1,""))</f>
        <v>2</v>
      </c>
      <c r="Q115" s="199" t="str">
        <f>IF(O114=O$113,IF(COUNTA(L$111:L114)-2&lt;DMAX(F$113:J$403,F$113,Q113:Q114),O$113,""),IF(Q114&lt;&gt;"",IF(COUNTA(L$111:L114)-2&lt;DMAX(F$113:J$403,F$113,O113:O114),Protokoll!I$1,""),""))</f>
        <v>Hallands län</v>
      </c>
      <c r="T115" s="331" t="str">
        <f>IF(OR(Protokoll!$X$5&lt;&gt;"",Lokalbeskrivn!$M$4&lt;&gt;""),"",U115)</f>
        <v/>
      </c>
      <c r="U115" s="330" t="s">
        <v>1122</v>
      </c>
      <c r="V115" s="351" t="s">
        <v>1121</v>
      </c>
      <c r="W115" s="2"/>
      <c r="Y115" s="401" t="s">
        <v>1683</v>
      </c>
      <c r="Z115" s="401" t="s">
        <v>1684</v>
      </c>
      <c r="AB115" s="477" t="str">
        <f>IF(COUNT(AB113:AB114)&gt;0,MAX(AB113:AB114)+1,"")</f>
        <v/>
      </c>
      <c r="AC115" s="433" t="str">
        <f>IF(AND(AH115&lt;&gt;"",AG115&lt;&gt;"",AI115&gt;0,AH115&gt;0),MAX(AC$2:AC114)+1,"XX")</f>
        <v>XX</v>
      </c>
      <c r="AD115" s="428" t="str">
        <f>IF('Antal &amp; Längder (vikter)'!$C$8&lt;&gt;"",'Antal &amp; Längder (vikter)'!$C$8,"XX")</f>
        <v>XX</v>
      </c>
      <c r="AE115" s="405" t="str">
        <f>IF(AND('Antal &amp; Längder (vikter)'!L$10&lt;&gt;"",ISNUMBER($AH115)),'Antal &amp; Längder (vikter)'!L$10,"")</f>
        <v/>
      </c>
      <c r="AF115" s="425" t="str">
        <f t="shared" si="4"/>
        <v/>
      </c>
      <c r="AG115" s="426" t="str">
        <f t="shared" si="5"/>
        <v/>
      </c>
      <c r="AH115" s="409" t="str">
        <f>IF('Antal &amp; Längder (vikter)'!M$11="Längd (mm)",IF('Antal &amp; Längder (vikter)'!M14&lt;&gt;"",'Antal &amp; Längder (vikter)'!M14,"XX"),"XX")</f>
        <v>XX</v>
      </c>
      <c r="AI115" s="7">
        <v>-9</v>
      </c>
      <c r="AN115" s="357"/>
      <c r="AO115" s="357"/>
      <c r="AP115" s="357"/>
      <c r="AQ115" s="357"/>
      <c r="AR115" s="357"/>
      <c r="AS115" s="357"/>
      <c r="AT115" s="357"/>
      <c r="AU115" s="357"/>
      <c r="AV115" s="357"/>
    </row>
    <row r="116" spans="1:48" hidden="1" x14ac:dyDescent="0.25">
      <c r="A116" s="604" t="str">
        <f>IF(OR(COUNTIF(Protokoll!G32:P32,"D3")+COUNTIF(Protokoll!V32:AE32,"D3")&gt;0,AND(Protokoll!S33&lt;&gt;"",Protokoll!S33=0),Protokoll!S33=3),"","D3")</f>
        <v>D3</v>
      </c>
      <c r="B116" s="605" t="str">
        <f>IF(OR(COUNTIF(Protokoll!G32:S32,"D3")+COUNTIF(Protokoll!Y32:AE32,"D3")&gt;0,AND(Protokoll!V33&lt;&gt;"",Protokoll!V33=0),Protokoll!V33=3),"","D3")</f>
        <v/>
      </c>
      <c r="C116" s="609" t="str">
        <f>IF(OR(COUNTIF(Protokoll!G32:V32,"D3")+COUNTIF(Protokoll!AB32:AE32,"D3")&gt;0,AND(Protokoll!Y33&lt;&gt;"",Protokoll!Y33=0),Protokoll!Y33=3),"","D3")</f>
        <v/>
      </c>
      <c r="D116" s="606" t="str">
        <f>IF(OR(COUNTIF(Protokoll!G32:Y32,"D3")+COUNTIF(Protokoll!AE32,"D3")&gt;0,AND(Protokoll!AB33&lt;&gt;"",Protokoll!AB33=0),Protokoll!AB33=3),"","D3")</f>
        <v/>
      </c>
      <c r="E116" s="616" t="str">
        <f>IF(OR(COUNTIF(Protokoll!G32:AB32,"D3")&gt;0,AND(Protokoll!AE33&lt;&gt;"",Protokoll!AE33=0),Protokoll!AE33=3),"","D3")</f>
        <v/>
      </c>
      <c r="F116" s="199">
        <f>COUNTIF(J$113:J116,J116)</f>
        <v>1</v>
      </c>
      <c r="G116" t="s">
        <v>118</v>
      </c>
      <c r="H116" s="330">
        <v>764</v>
      </c>
      <c r="I116" s="330">
        <v>7</v>
      </c>
      <c r="J116" t="s">
        <v>119</v>
      </c>
      <c r="K116" s="143"/>
      <c r="L116" s="220" t="str">
        <f>IF(Protokoll!I$1&lt;&gt;"",IF(N115=N$113,IF(AND(DMAX(F$113:J$403,F$113,O115:O116)&gt;COUNTA(L$111:L115)-2,DCOUNTA(F$113:J$403,G$113,N115:O116)=1),DGET(F$113:J$403,G$113,N115:O116),""),IF(AND(DMAX(F$113:J$403,F$113,Q115:Q116)&gt;COUNTA(L$111:L115)-2,DCOUNTA(F$113:J$403,G$113,P115:Q116)=1),DGET(F$113:J$403,G$113,P115:Q116),"")),G116)</f>
        <v>Hylte</v>
      </c>
      <c r="M116" s="143"/>
      <c r="N116" s="221">
        <f>IF(N115=N$113,IF(COUNT(N$113:Q115)&lt;DMAX(F$113:J$403,F$113,O115:O116),COUNT(N$113:Q115)+1,""),IF(COUNT(N$113:Q115)&lt;DMAX(F$113:J$403,F$113,Q115:Q116),N$113,""))</f>
        <v>3</v>
      </c>
      <c r="O116" s="222" t="str">
        <f>IF(O115=O$113,IF(COUNTA(L$111:L115)-2&lt;DMAX(F$113:J$403,F$113,Q114:Q115),Protokoll!I$1,""),IF(O115&lt;&gt;"",IF(COUNTA(L$111:L115)-1&lt;DMAX(F$113:J$403,F$113,O114:O115),O$113,""),""))</f>
        <v>Hallands län</v>
      </c>
      <c r="P116" s="223" t="str">
        <f>IF(N115=N$113,IF(COUNT(N$113:Q115)&lt;DMAX(F$113:J$403,F$113,O115:O116),N$113,""),IF(COUNT(N$113:Q115)&lt;DMAX(F$113:J$403,F$113,Q115:Q116),COUNT(N$113:Q115)+1,""))</f>
        <v>NR</v>
      </c>
      <c r="Q116" s="199" t="str">
        <f>IF(O115=O$113,IF(COUNTA(L$111:L115)-2&lt;DMAX(F$113:J$403,F$113,Q114:Q115),O$113,""),IF(Q115&lt;&gt;"",IF(COUNTA(L$111:L115)-2&lt;DMAX(F$113:J$403,F$113,O114:O115),Protokoll!I$1,""),""))</f>
        <v>LN_NAMN</v>
      </c>
      <c r="T116" s="331" t="str">
        <f>IF(OR(Protokoll!$X$5&lt;&gt;"",Lokalbeskrivn!$M$4&lt;&gt;""),"",U116)</f>
        <v/>
      </c>
      <c r="U116" s="330" t="s">
        <v>1124</v>
      </c>
      <c r="V116" s="351" t="s">
        <v>1123</v>
      </c>
      <c r="W116" s="2"/>
      <c r="Y116" s="401" t="s">
        <v>2145</v>
      </c>
      <c r="Z116" s="401" t="s">
        <v>2146</v>
      </c>
      <c r="AB116" s="434" t="str">
        <f>IF(COUNT(AB113:AB115)&gt;0,MAX(AB113:AB115)+1,"")</f>
        <v/>
      </c>
      <c r="AC116" s="433" t="str">
        <f>IF(AND(AH116&lt;&gt;"",AG116&lt;&gt;"",AI116&gt;0,AH116&gt;0),MAX(AC$2:AC115)+1,"XX")</f>
        <v>XX</v>
      </c>
      <c r="AD116" s="428" t="str">
        <f>IF('Antal &amp; Längder (vikter)'!$C$8&lt;&gt;"",'Antal &amp; Längder (vikter)'!$C$8,"XX")</f>
        <v>XX</v>
      </c>
      <c r="AE116" s="405" t="str">
        <f>IF(AND('Antal &amp; Längder (vikter)'!L$10&lt;&gt;"",ISNUMBER($AH116)),'Antal &amp; Längder (vikter)'!L$10,"")</f>
        <v/>
      </c>
      <c r="AF116" s="425" t="str">
        <f t="shared" si="4"/>
        <v/>
      </c>
      <c r="AG116" s="426" t="str">
        <f t="shared" si="5"/>
        <v/>
      </c>
      <c r="AH116" s="409" t="str">
        <f>IF('Antal &amp; Längder (vikter)'!M$11="Längd (mm)",IF('Antal &amp; Längder (vikter)'!M15&lt;&gt;"",'Antal &amp; Längder (vikter)'!M15,"XX"),"XX")</f>
        <v>XX</v>
      </c>
      <c r="AI116" s="7">
        <v>-9</v>
      </c>
      <c r="AN116" s="357"/>
      <c r="AO116" s="357"/>
      <c r="AP116" s="357"/>
      <c r="AQ116" s="357"/>
      <c r="AR116" s="357"/>
      <c r="AS116" s="357"/>
      <c r="AT116" s="357"/>
      <c r="AU116" s="357"/>
      <c r="AV116" s="357"/>
    </row>
    <row r="117" spans="1:48" hidden="1" x14ac:dyDescent="0.25">
      <c r="F117" s="199">
        <f>COUNTIF(J$113:J117,J117)</f>
        <v>1</v>
      </c>
      <c r="G117" t="s">
        <v>121</v>
      </c>
      <c r="H117" s="330">
        <v>604</v>
      </c>
      <c r="I117" s="330">
        <v>6</v>
      </c>
      <c r="J117" t="s">
        <v>122</v>
      </c>
      <c r="K117" s="143"/>
      <c r="L117" s="220" t="str">
        <f>IF(Protokoll!I$1&lt;&gt;"",IF(N116=N$113,IF(AND(DMAX(F$113:J$403,F$113,O116:O117)&gt;COUNTA(L$111:L116)-2,DCOUNTA(F$113:J$403,G$113,N116:O117)=1),DGET(F$113:J$403,G$113,N116:O117),""),IF(AND(DMAX(F$113:J$403,F$113,Q116:Q117)&gt;COUNTA(L$111:L116)-2,DCOUNTA(F$113:J$403,G$113,P116:Q117)=1),DGET(F$113:J$403,G$113,P116:Q117),"")),G117)</f>
        <v>Kungsbacka</v>
      </c>
      <c r="M117" s="143"/>
      <c r="N117" s="221" t="str">
        <f>IF(N116=N$113,IF(COUNT(N$113:Q116)&lt;DMAX(F$113:J$403,F$113,O116:O117),COUNT(N$113:Q116)+1,""),IF(COUNT(N$113:Q116)&lt;DMAX(F$113:J$403,F$113,Q116:Q117),N$113,""))</f>
        <v>NR</v>
      </c>
      <c r="O117" s="222" t="str">
        <f>IF(O116=O$113,IF(COUNTA(L$111:L116)-2&lt;DMAX(F$113:J$403,F$113,Q115:Q116),Protokoll!I$1,""),IF(O116&lt;&gt;"",IF(COUNTA(L$111:L116)-1&lt;DMAX(F$113:J$403,F$113,O115:O116),O$113,""),""))</f>
        <v>LN_NAMN</v>
      </c>
      <c r="P117" s="223">
        <f>IF(N116=N$113,IF(COUNT(N$113:Q116)&lt;DMAX(F$113:J$403,F$113,O116:O117),N$113,""),IF(COUNT(N$113:Q116)&lt;DMAX(F$113:J$403,F$113,Q116:Q117),COUNT(N$113:Q116)+1,""))</f>
        <v>4</v>
      </c>
      <c r="Q117" s="199" t="str">
        <f>IF(O116=O$113,IF(COUNTA(L$111:L116)-2&lt;DMAX(F$113:J$403,F$113,Q115:Q116),O$113,""),IF(Q116&lt;&gt;"",IF(COUNTA(L$111:L116)-2&lt;DMAX(F$113:J$403,F$113,O115:O116),Protokoll!I$1,""),""))</f>
        <v>Hallands län</v>
      </c>
      <c r="T117" s="331" t="str">
        <f>IF(OR(Protokoll!$X$5&lt;&gt;"",Lokalbeskrivn!$M$4&lt;&gt;""),"",U117)</f>
        <v/>
      </c>
      <c r="U117" s="330" t="s">
        <v>1126</v>
      </c>
      <c r="V117" s="351" t="s">
        <v>1125</v>
      </c>
      <c r="W117" s="2"/>
      <c r="Y117" s="401" t="s">
        <v>1619</v>
      </c>
      <c r="Z117" s="401" t="s">
        <v>1620</v>
      </c>
      <c r="AB117" s="475" t="str">
        <f>IF(COUNT(AB113:AB116)&gt;0,MAX(AB113:AB116)+1,"")</f>
        <v/>
      </c>
      <c r="AC117" s="433" t="str">
        <f>IF(AND(AH117&lt;&gt;"",AG117&lt;&gt;"",AI117&gt;0,AH117&gt;0),MAX(AC$2:AC116)+1,"XX")</f>
        <v>XX</v>
      </c>
      <c r="AD117" s="428" t="str">
        <f>IF('Antal &amp; Längder (vikter)'!$C$8&lt;&gt;"",'Antal &amp; Längder (vikter)'!$C$8,"XX")</f>
        <v>XX</v>
      </c>
      <c r="AE117" s="405" t="str">
        <f>IF(AND('Antal &amp; Längder (vikter)'!L$10&lt;&gt;"",ISNUMBER($AH117)),'Antal &amp; Längder (vikter)'!L$10,"")</f>
        <v/>
      </c>
      <c r="AF117" s="425" t="str">
        <f t="shared" si="4"/>
        <v/>
      </c>
      <c r="AG117" s="426" t="str">
        <f t="shared" si="5"/>
        <v/>
      </c>
      <c r="AH117" s="409" t="str">
        <f>IF('Antal &amp; Längder (vikter)'!M$11="Längd (mm)",IF('Antal &amp; Längder (vikter)'!M16&lt;&gt;"",'Antal &amp; Längder (vikter)'!M16,"XX"),"XX")</f>
        <v>XX</v>
      </c>
      <c r="AI117" s="7">
        <v>-9</v>
      </c>
      <c r="AN117" s="357"/>
      <c r="AO117" s="357"/>
      <c r="AP117" s="357"/>
      <c r="AQ117" s="357"/>
      <c r="AR117" s="357"/>
      <c r="AS117" s="357"/>
      <c r="AT117" s="357"/>
      <c r="AU117" s="357"/>
      <c r="AV117" s="357"/>
    </row>
    <row r="118" spans="1:48" hidden="1" x14ac:dyDescent="0.25">
      <c r="F118" s="199">
        <f>COUNTIF(J$113:J118,J118)</f>
        <v>1</v>
      </c>
      <c r="G118" t="s">
        <v>124</v>
      </c>
      <c r="H118" s="330">
        <v>1984</v>
      </c>
      <c r="I118" s="330">
        <v>19</v>
      </c>
      <c r="J118" t="s">
        <v>125</v>
      </c>
      <c r="K118" s="143"/>
      <c r="L118" s="220" t="str">
        <f>IF(Protokoll!I$1&lt;&gt;"",IF(N117=N$113,IF(AND(DMAX(F$113:J$403,F$113,O117:O118)&gt;COUNTA(L$111:L117)-2,DCOUNTA(F$113:J$403,G$113,N117:O118)=1),DGET(F$113:J$403,G$113,N117:O118),""),IF(AND(DMAX(F$113:J$403,F$113,Q117:Q118)&gt;COUNTA(L$111:L117)-2,DCOUNTA(F$113:J$403,G$113,P117:Q118)=1),DGET(F$113:J$403,G$113,P117:Q118),"")),G118)</f>
        <v>Laholm</v>
      </c>
      <c r="M118" s="143"/>
      <c r="N118" s="221">
        <f>IF(N117=N$113,IF(COUNT(N$113:Q117)&lt;DMAX(F$113:J$403,F$113,O117:O118),COUNT(N$113:Q117)+1,""),IF(COUNT(N$113:Q117)&lt;DMAX(F$113:J$403,F$113,Q117:Q118),N$113,""))</f>
        <v>5</v>
      </c>
      <c r="O118" s="222" t="str">
        <f>IF(O117=O$113,IF(COUNTA(L$111:L117)-2&lt;DMAX(F$113:J$403,F$113,Q116:Q117),Protokoll!I$1,""),IF(O117&lt;&gt;"",IF(COUNTA(L$111:L117)-1&lt;DMAX(F$113:J$403,F$113,O116:O117),O$113,""),""))</f>
        <v>Hallands län</v>
      </c>
      <c r="P118" s="223" t="str">
        <f>IF(N117=N$113,IF(COUNT(N$113:Q117)&lt;DMAX(F$113:J$403,F$113,O117:O118),N$113,""),IF(COUNT(N$113:Q117)&lt;DMAX(F$113:J$403,F$113,Q117:Q118),COUNT(N$113:Q117)+1,""))</f>
        <v>NR</v>
      </c>
      <c r="Q118" s="199" t="str">
        <f>IF(O117=O$113,IF(COUNTA(L$111:L117)-2&lt;DMAX(F$113:J$403,F$113,Q116:Q117),O$113,""),IF(Q117&lt;&gt;"",IF(COUNTA(L$111:L117)-2&lt;DMAX(F$113:J$403,F$113,O116:O117),Protokoll!I$1,""),""))</f>
        <v>LN_NAMN</v>
      </c>
      <c r="T118" s="331" t="str">
        <f>IF(OR(Protokoll!$X$5&lt;&gt;"",Lokalbeskrivn!$M$4&lt;&gt;""),"",U118)</f>
        <v/>
      </c>
      <c r="U118" s="330" t="s">
        <v>1128</v>
      </c>
      <c r="V118" s="351" t="s">
        <v>1127</v>
      </c>
      <c r="W118" s="2"/>
      <c r="Y118" s="401" t="s">
        <v>1621</v>
      </c>
      <c r="Z118" s="401" t="s">
        <v>1622</v>
      </c>
      <c r="AB118" s="471" t="str">
        <f>IF(COUNT(AB113:AB117)&gt;0,MAX(AB113:AB117)+1,"")</f>
        <v/>
      </c>
      <c r="AC118" s="433" t="str">
        <f>IF(AND(AH118&lt;&gt;"",AG118&lt;&gt;"",AI118&gt;0,AH118&gt;0),MAX(AC$2:AC117)+1,"XX")</f>
        <v>XX</v>
      </c>
      <c r="AD118" s="428" t="str">
        <f>IF('Antal &amp; Längder (vikter)'!$C$8&lt;&gt;"",'Antal &amp; Längder (vikter)'!$C$8,"XX")</f>
        <v>XX</v>
      </c>
      <c r="AE118" s="405" t="str">
        <f>IF(AND('Antal &amp; Längder (vikter)'!L$10&lt;&gt;"",ISNUMBER($AH118)),'Antal &amp; Längder (vikter)'!L$10,"")</f>
        <v/>
      </c>
      <c r="AF118" s="425" t="str">
        <f t="shared" si="4"/>
        <v/>
      </c>
      <c r="AG118" s="426" t="str">
        <f t="shared" si="5"/>
        <v/>
      </c>
      <c r="AH118" s="409" t="str">
        <f>IF('Antal &amp; Längder (vikter)'!M$11="Längd (mm)",IF('Antal &amp; Längder (vikter)'!M17&lt;&gt;"",'Antal &amp; Längder (vikter)'!M17,"XX"),"XX")</f>
        <v>XX</v>
      </c>
      <c r="AI118" s="7">
        <v>-9</v>
      </c>
      <c r="AN118" s="357"/>
      <c r="AO118" s="357"/>
      <c r="AP118" s="357"/>
      <c r="AQ118" s="357"/>
      <c r="AR118" s="357"/>
      <c r="AS118" s="357"/>
      <c r="AT118" s="357"/>
      <c r="AU118" s="357"/>
      <c r="AV118" s="357"/>
    </row>
    <row r="119" spans="1:48" hidden="1" x14ac:dyDescent="0.25">
      <c r="A119" t="s">
        <v>2297</v>
      </c>
      <c r="B119" t="s">
        <v>2298</v>
      </c>
      <c r="C119" t="s">
        <v>2299</v>
      </c>
      <c r="D119" t="s">
        <v>2300</v>
      </c>
      <c r="F119" s="199">
        <f>COUNTIF(J$113:J119,J119)</f>
        <v>1</v>
      </c>
      <c r="G119" t="s">
        <v>126</v>
      </c>
      <c r="H119" s="330">
        <v>2506</v>
      </c>
      <c r="I119" s="330">
        <v>25</v>
      </c>
      <c r="J119" t="s">
        <v>127</v>
      </c>
      <c r="K119" s="143"/>
      <c r="L119" s="220" t="str">
        <f>IF(Protokoll!I$1&lt;&gt;"",IF(N118=N$113,IF(AND(DMAX(F$113:J$403,F$113,O118:O119)&gt;COUNTA(L$111:L118)-2,DCOUNTA(F$113:J$403,G$113,N118:O119)=1),DGET(F$113:J$403,G$113,N118:O119),""),IF(AND(DMAX(F$113:J$403,F$113,Q118:Q119)&gt;COUNTA(L$111:L118)-2,DCOUNTA(F$113:J$403,G$113,P118:Q119)=1),DGET(F$113:J$403,G$113,P118:Q119),"")),G119)</f>
        <v>Varberg</v>
      </c>
      <c r="M119" s="143"/>
      <c r="N119" s="221" t="str">
        <f>IF(N118=N$113,IF(COUNT(N$113:Q118)&lt;DMAX(F$113:J$403,F$113,O118:O119),COUNT(N$113:Q118)+1,""),IF(COUNT(N$113:Q118)&lt;DMAX(F$113:J$403,F$113,Q118:Q119),N$113,""))</f>
        <v>NR</v>
      </c>
      <c r="O119" s="222" t="str">
        <f>IF(O118=O$113,IF(COUNTA(L$111:L118)-2&lt;DMAX(F$113:J$403,F$113,Q117:Q118),Protokoll!I$1,""),IF(O118&lt;&gt;"",IF(COUNTA(L$111:L118)-1&lt;DMAX(F$113:J$403,F$113,O117:O118),O$113,""),""))</f>
        <v/>
      </c>
      <c r="P119" s="223">
        <f>IF(N118=N$113,IF(COUNT(N$113:Q118)&lt;DMAX(F$113:J$403,F$113,O118:O119),N$113,""),IF(COUNT(N$113:Q118)&lt;DMAX(F$113:J$403,F$113,Q118:Q119),COUNT(N$113:Q118)+1,""))</f>
        <v>6</v>
      </c>
      <c r="Q119" s="199" t="str">
        <f>IF(O118=O$113,IF(COUNTA(L$111:L118)-2&lt;DMAX(F$113:J$403,F$113,Q117:Q118),O$113,""),IF(Q118&lt;&gt;"",IF(COUNTA(L$111:L118)-2&lt;DMAX(F$113:J$403,F$113,O117:O118),Protokoll!I$1,""),""))</f>
        <v>Hallands län</v>
      </c>
      <c r="T119" s="331" t="str">
        <f>IF(OR(Protokoll!$X$5&lt;&gt;"",Lokalbeskrivn!$M$4&lt;&gt;""),"",U119)</f>
        <v/>
      </c>
      <c r="U119" s="330" t="s">
        <v>1130</v>
      </c>
      <c r="V119" s="351" t="s">
        <v>1129</v>
      </c>
      <c r="W119" s="2"/>
      <c r="Y119" s="401" t="s">
        <v>2249</v>
      </c>
      <c r="Z119" s="401" t="s">
        <v>2250</v>
      </c>
      <c r="AB119" s="474" t="str">
        <f>IF(COUNT(AB113:AB118)&gt;0,MAX(AB113:AB118)+1,"")</f>
        <v/>
      </c>
      <c r="AC119" s="433" t="str">
        <f>IF(AND(AH119&lt;&gt;"",AG119&lt;&gt;"",AI119&gt;0,AH119&gt;0),MAX(AC$2:AC118)+1,"XX")</f>
        <v>XX</v>
      </c>
      <c r="AD119" s="428" t="str">
        <f>IF('Antal &amp; Längder (vikter)'!$C$8&lt;&gt;"",'Antal &amp; Längder (vikter)'!$C$8,"XX")</f>
        <v>XX</v>
      </c>
      <c r="AE119" s="405" t="str">
        <f>IF(AND('Antal &amp; Längder (vikter)'!L$10&lt;&gt;"",ISNUMBER($AH119)),'Antal &amp; Längder (vikter)'!L$10,"")</f>
        <v/>
      </c>
      <c r="AF119" s="425" t="str">
        <f t="shared" si="4"/>
        <v/>
      </c>
      <c r="AG119" s="426" t="str">
        <f t="shared" si="5"/>
        <v/>
      </c>
      <c r="AH119" s="409" t="str">
        <f>IF('Antal &amp; Längder (vikter)'!M$11="Längd (mm)",IF('Antal &amp; Längder (vikter)'!M18&lt;&gt;"",'Antal &amp; Längder (vikter)'!M18,"XX"),"XX")</f>
        <v>XX</v>
      </c>
      <c r="AI119" s="7">
        <v>-9</v>
      </c>
      <c r="AN119" s="357"/>
      <c r="AO119" s="357"/>
      <c r="AP119" s="357"/>
      <c r="AQ119" s="357"/>
      <c r="AR119" s="357"/>
      <c r="AS119" s="357"/>
      <c r="AT119" s="357"/>
      <c r="AU119" s="357"/>
      <c r="AV119" s="357"/>
    </row>
    <row r="120" spans="1:48" hidden="1" x14ac:dyDescent="0.25">
      <c r="A120" s="576" t="str">
        <f>IF(OR(Protokoll!G32="D1",Protokoll!G32="D2",Protokoll!G32="D3"),"",0)</f>
        <v/>
      </c>
      <c r="B120" s="576" t="str">
        <f>IF(OR(Protokoll!J32="D1",Protokoll!J32="D2",Protokoll!J32="D3"),"",0)</f>
        <v/>
      </c>
      <c r="C120" s="576">
        <f>IF(OR(Protokoll!M32="D1",Protokoll!M32="D2",Protokoll!M32="D3"),"",0)</f>
        <v>0</v>
      </c>
      <c r="D120" s="576">
        <f>IF(OR(Protokoll!P32="D1",Protokoll!P32="D2",Protokoll!P32="D3"),"",0)</f>
        <v>0</v>
      </c>
      <c r="F120" s="199">
        <f>COUNTIF(J$113:J120,J120)</f>
        <v>2</v>
      </c>
      <c r="G120" t="s">
        <v>129</v>
      </c>
      <c r="H120" s="330">
        <v>2505</v>
      </c>
      <c r="I120" s="330">
        <v>25</v>
      </c>
      <c r="J120" t="s">
        <v>127</v>
      </c>
      <c r="K120" s="143"/>
      <c r="L120" s="220" t="str">
        <f>IF(Protokoll!I$1&lt;&gt;"",IF(N119=N$113,IF(AND(DMAX(F$113:J$403,F$113,O119:O120)&gt;COUNTA(L$111:L119)-2,DCOUNTA(F$113:J$403,G$113,N119:O120)=1),DGET(F$113:J$403,G$113,N119:O120),""),IF(AND(DMAX(F$113:J$403,F$113,Q119:Q120)&gt;COUNTA(L$111:L119)-2,DCOUNTA(F$113:J$403,G$113,P119:Q120)=1),DGET(F$113:J$403,G$113,P119:Q120),"")),G120)</f>
        <v/>
      </c>
      <c r="M120" s="143"/>
      <c r="N120" s="221" t="str">
        <f>IF(N119=N$113,IF(COUNT(N$113:Q119)&lt;DMAX(F$113:J$403,F$113,O119:O120),COUNT(N$113:Q119)+1,""),IF(COUNT(N$113:Q119)&lt;DMAX(F$113:J$403,F$113,Q119:Q120),N$113,""))</f>
        <v/>
      </c>
      <c r="O120" s="222" t="str">
        <f>IF(O119=O$113,IF(COUNTA(L$111:L119)-2&lt;DMAX(F$113:J$403,F$113,Q118:Q119),Protokoll!I$1,""),IF(O119&lt;&gt;"",IF(COUNTA(L$111:L119)-1&lt;DMAX(F$113:J$403,F$113,O118:O119),O$113,""),""))</f>
        <v/>
      </c>
      <c r="P120" s="223" t="str">
        <f>IF(N119=N$113,IF(COUNT(N$113:Q119)&lt;DMAX(F$113:J$403,F$113,O119:O120),N$113,""),IF(COUNT(N$113:Q119)&lt;DMAX(F$113:J$403,F$113,Q119:Q120),COUNT(N$113:Q119)+1,""))</f>
        <v/>
      </c>
      <c r="Q120" s="199" t="str">
        <f>IF(O119=O$113,IF(COUNTA(L$111:L119)-2&lt;DMAX(F$113:J$403,F$113,Q118:Q119),O$113,""),IF(Q119&lt;&gt;"",IF(COUNTA(L$111:L119)-2&lt;DMAX(F$113:J$403,F$113,O118:O119),Protokoll!I$1,""),""))</f>
        <v/>
      </c>
      <c r="T120" s="331" t="str">
        <f>IF(OR(Protokoll!$X$5&lt;&gt;"",Lokalbeskrivn!$M$4&lt;&gt;""),"",U120)</f>
        <v/>
      </c>
      <c r="U120" s="330" t="s">
        <v>1132</v>
      </c>
      <c r="V120" s="351" t="s">
        <v>1131</v>
      </c>
      <c r="W120" s="2"/>
      <c r="Y120" s="401" t="s">
        <v>2163</v>
      </c>
      <c r="Z120" s="401" t="s">
        <v>2164</v>
      </c>
      <c r="AB120" s="478" t="str">
        <f>IF(COUNT(AB113:AB119)&gt;0,MAX(AB113:AB119)+1,"")</f>
        <v/>
      </c>
      <c r="AC120" s="433" t="str">
        <f>IF(AND(AH120&lt;&gt;"",AG120&lt;&gt;"",AI120&gt;0,AH120&gt;0),MAX(AC$2:AC119)+1,"XX")</f>
        <v>XX</v>
      </c>
      <c r="AD120" s="428" t="str">
        <f>IF('Antal &amp; Längder (vikter)'!$C$8&lt;&gt;"",'Antal &amp; Längder (vikter)'!$C$8,"XX")</f>
        <v>XX</v>
      </c>
      <c r="AE120" s="405" t="str">
        <f>IF(AND('Antal &amp; Längder (vikter)'!L$10&lt;&gt;"",ISNUMBER($AH120)),'Antal &amp; Längder (vikter)'!L$10,"")</f>
        <v/>
      </c>
      <c r="AF120" s="425" t="str">
        <f t="shared" si="4"/>
        <v/>
      </c>
      <c r="AG120" s="426" t="str">
        <f t="shared" si="5"/>
        <v/>
      </c>
      <c r="AH120" s="409" t="str">
        <f>IF('Antal &amp; Längder (vikter)'!M$11="Längd (mm)",IF('Antal &amp; Längder (vikter)'!M19&lt;&gt;"",'Antal &amp; Längder (vikter)'!M19,"XX"),"XX")</f>
        <v>XX</v>
      </c>
      <c r="AI120" s="7">
        <v>-9</v>
      </c>
      <c r="AN120" s="357"/>
      <c r="AO120" s="357"/>
      <c r="AP120" s="357"/>
      <c r="AQ120" s="357"/>
      <c r="AR120" s="357"/>
      <c r="AS120" s="357"/>
      <c r="AT120" s="357"/>
      <c r="AU120" s="357"/>
      <c r="AV120" s="357"/>
    </row>
    <row r="121" spans="1:48" hidden="1" x14ac:dyDescent="0.25">
      <c r="A121" s="577" t="str">
        <f>IF(OR(Protokoll!G32="D1",AND(Protokoll!G32="D2",IF(ISNUMBER(HLOOKUP("D3",Protokoll!G32:AE33,2,FALSE)),IF(HLOOKUP("D3",Protokoll!G32:AE33,2,FALSE)&gt;1,TRUE,FALSE),FALSE))),"",1)</f>
        <v/>
      </c>
      <c r="B121" s="577">
        <f>IF(OR(Protokoll!J32="D1",AND(Protokoll!J32="D2",IF(ISNUMBER(HLOOKUP("D3",Protokoll!G32:AE33,2,FALSE)),IF(HLOOKUP("D3",Protokoll!G32:AE33,2,FALSE)&gt;1,TRUE,FALSE),FALSE))),"",1)</f>
        <v>1</v>
      </c>
      <c r="C121" s="577">
        <f>IF(OR(Protokoll!M32="D1",AND(Protokoll!M32="D2",IF(ISNUMBER(HLOOKUP("D3",Protokoll!G32:AE33,2,FALSE)),IF(HLOOKUP("D3",Protokoll!G32:AE33,2,FALSE)&gt;1,TRUE,FALSE),FALSE))),"",1)</f>
        <v>1</v>
      </c>
      <c r="D121" s="577">
        <f>IF(OR(Protokoll!P32="D1",AND(Protokoll!P32="D2",IF(ISNUMBER(HLOOKUP("D3",Protokoll!G32:AE33,2,FALSE)),IF(HLOOKUP("D3",Protokoll!G32:AE33,2,FALSE)&gt;1,TRUE,FALSE),FALSE))),"",1)</f>
        <v>1</v>
      </c>
      <c r="F121" s="199">
        <f>COUNTIF(J$113:J121,J121)</f>
        <v>1</v>
      </c>
      <c r="G121" t="s">
        <v>130</v>
      </c>
      <c r="H121" s="330">
        <v>1784</v>
      </c>
      <c r="I121" s="330">
        <v>17</v>
      </c>
      <c r="J121" t="s">
        <v>131</v>
      </c>
      <c r="K121" s="143"/>
      <c r="L121" s="220" t="str">
        <f>IF(Protokoll!I$1&lt;&gt;"",IF(N120=N$113,IF(AND(DMAX(F$113:J$403,F$113,O120:O121)&gt;COUNTA(L$111:L120)-2,DCOUNTA(F$113:J$403,G$113,N120:O121)=1),DGET(F$113:J$403,G$113,N120:O121),""),IF(AND(DMAX(F$113:J$403,F$113,Q120:Q121)&gt;COUNTA(L$111:L120)-2,DCOUNTA(F$113:J$403,G$113,P120:Q121)=1),DGET(F$113:J$403,G$113,P120:Q121),"")),G121)</f>
        <v/>
      </c>
      <c r="M121" s="143"/>
      <c r="N121" s="221" t="str">
        <f>IF(N120=N$113,IF(COUNT(N$113:Q120)&lt;DMAX(F$113:J$403,F$113,O120:O121),COUNT(N$113:Q120)+1,""),IF(COUNT(N$113:Q120)&lt;DMAX(F$113:J$403,F$113,Q120:Q121),N$113,""))</f>
        <v/>
      </c>
      <c r="O121" s="222" t="str">
        <f>IF(O120=O$113,IF(COUNTA(L$111:L120)-2&lt;DMAX(F$113:J$403,F$113,Q119:Q120),Protokoll!I$1,""),IF(O120&lt;&gt;"",IF(COUNTA(L$111:L120)-1&lt;DMAX(F$113:J$403,F$113,O119:O120),O$113,""),""))</f>
        <v/>
      </c>
      <c r="P121" s="223" t="str">
        <f>IF(N120=N$113,IF(COUNT(N$113:Q120)&lt;DMAX(F$113:J$403,F$113,O120:O121),N$113,""),IF(COUNT(N$113:Q120)&lt;DMAX(F$113:J$403,F$113,Q120:Q121),COUNT(N$113:Q120)+1,""))</f>
        <v/>
      </c>
      <c r="Q121" s="199" t="str">
        <f>IF(O120=O$113,IF(COUNTA(L$111:L120)-2&lt;DMAX(F$113:J$403,F$113,Q119:Q120),O$113,""),IF(Q120&lt;&gt;"",IF(COUNTA(L$111:L120)-2&lt;DMAX(F$113:J$403,F$113,O119:O120),Protokoll!I$1,""),""))</f>
        <v/>
      </c>
      <c r="T121" s="331" t="str">
        <f>IF(OR(Protokoll!$X$5&lt;&gt;"",Lokalbeskrivn!$M$4&lt;&gt;""),"",U121)</f>
        <v/>
      </c>
      <c r="U121" s="330" t="s">
        <v>1134</v>
      </c>
      <c r="V121" s="351" t="s">
        <v>1133</v>
      </c>
      <c r="W121" s="2"/>
      <c r="Y121" s="401" t="s">
        <v>1727</v>
      </c>
      <c r="Z121" s="401" t="s">
        <v>1728</v>
      </c>
      <c r="AB121" s="472" t="str">
        <f>IF(COUNT(AB113:AB120)&gt;0,MAX(AB113:AB120)+1,"")</f>
        <v/>
      </c>
      <c r="AC121" s="433" t="str">
        <f>IF(AND(AH121&lt;&gt;"",AG121&lt;&gt;"",AI121&gt;0,AH121&gt;0),MAX(AC$2:AC120)+1,"XX")</f>
        <v>XX</v>
      </c>
      <c r="AD121" s="428" t="str">
        <f>IF('Antal &amp; Längder (vikter)'!$C$8&lt;&gt;"",'Antal &amp; Längder (vikter)'!$C$8,"XX")</f>
        <v>XX</v>
      </c>
      <c r="AE121" s="405" t="str">
        <f>IF(AND('Antal &amp; Längder (vikter)'!L$10&lt;&gt;"",ISNUMBER($AH121)),'Antal &amp; Längder (vikter)'!L$10,"")</f>
        <v/>
      </c>
      <c r="AF121" s="425" t="str">
        <f t="shared" si="4"/>
        <v/>
      </c>
      <c r="AG121" s="426" t="str">
        <f t="shared" si="5"/>
        <v/>
      </c>
      <c r="AH121" s="409" t="str">
        <f>IF('Antal &amp; Längder (vikter)'!M$11="Längd (mm)",IF('Antal &amp; Längder (vikter)'!M20&lt;&gt;"",'Antal &amp; Längder (vikter)'!M20,"XX"),"XX")</f>
        <v>XX</v>
      </c>
      <c r="AI121" s="7">
        <v>-9</v>
      </c>
      <c r="AN121" s="357"/>
      <c r="AO121" s="357"/>
      <c r="AP121" s="357"/>
      <c r="AQ121" s="357"/>
      <c r="AR121" s="357"/>
      <c r="AS121" s="357"/>
      <c r="AT121" s="357"/>
      <c r="AU121" s="357"/>
      <c r="AV121" s="357"/>
    </row>
    <row r="122" spans="1:48" hidden="1" x14ac:dyDescent="0.25">
      <c r="A122" s="580">
        <f>IF(OR(AND(Protokoll!G32="D3",IF(ISNUMBER(HLOOKUP("D2",Protokoll!G32:AE33,2,FALSE)),IF(HLOOKUP("D2",Protokoll!G32:AE33,2,FALSE)=1,TRUE,FALSE),FALSE)),AND(Protokoll!G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B122" s="577">
        <f>IF(OR(AND(Protokoll!J32="D3",IF(ISNUMBER(HLOOKUP("D2",Protokoll!G32:AE33,2,FALSE)),IF(HLOOKUP("D2",Protokoll!G32:AE33,2,FALSE)=1,TRUE,FALSE),FALSE)),AND(Protokoll!J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C122" s="577" t="str">
        <f>IF(OR(AND(Protokoll!M32="D3",IF(ISNUMBER(HLOOKUP("D2",Protokoll!G32:AE33,2,FALSE)),IF(HLOOKUP("D2",Protokoll!G32:AE33,2,FALSE)=1,TRUE,FALSE),FALSE)),AND(Protokoll!M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D122" s="577" t="str">
        <f>IF(OR(AND(Protokoll!P32="D3",IF(ISNUMBER(HLOOKUP("D2",Protokoll!G32:AE33,2,FALSE)),IF(HLOOKUP("D2",Protokoll!G32:AE33,2,FALSE)=1,TRUE,FALSE),FALSE)),AND(Protokoll!P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F122" s="199">
        <f>COUNTIF(J$113:J122,J122)</f>
        <v>1</v>
      </c>
      <c r="G122" t="s">
        <v>132</v>
      </c>
      <c r="H122" s="330">
        <v>1882</v>
      </c>
      <c r="I122" s="330">
        <v>18</v>
      </c>
      <c r="J122" t="s">
        <v>133</v>
      </c>
      <c r="K122" s="143"/>
      <c r="L122" s="220" t="str">
        <f>IF(Protokoll!I$1&lt;&gt;"",IF(N121=N$113,IF(AND(DMAX(F$113:J$403,F$113,O121:O122)&gt;COUNTA(L$111:L121)-2,DCOUNTA(F$113:J$403,G$113,N121:O122)=1),DGET(F$113:J$403,G$113,N121:O122),""),IF(AND(DMAX(F$113:J$403,F$113,Q121:Q122)&gt;COUNTA(L$111:L121)-2,DCOUNTA(F$113:J$403,G$113,P121:Q122)=1),DGET(F$113:J$403,G$113,P121:Q122),"")),G122)</f>
        <v/>
      </c>
      <c r="M122" s="143"/>
      <c r="N122" s="221" t="str">
        <f>IF(N121=N$113,IF(COUNT(N$113:Q121)&lt;DMAX(F$113:J$403,F$113,O121:O122),COUNT(N$113:Q121)+1,""),IF(COUNT(N$113:Q121)&lt;DMAX(F$113:J$403,F$113,Q121:Q122),N$113,""))</f>
        <v/>
      </c>
      <c r="O122" s="222" t="str">
        <f>IF(O121=O$113,IF(COUNTA(L$111:L121)-2&lt;DMAX(F$113:J$403,F$113,Q120:Q121),Protokoll!I$1,""),IF(O121&lt;&gt;"",IF(COUNTA(L$111:L121)-1&lt;DMAX(F$113:J$403,F$113,O120:O121),O$113,""),""))</f>
        <v/>
      </c>
      <c r="P122" s="223" t="str">
        <f>IF(N121=N$113,IF(COUNT(N$113:Q121)&lt;DMAX(F$113:J$403,F$113,O121:O122),N$113,""),IF(COUNT(N$113:Q121)&lt;DMAX(F$113:J$403,F$113,Q121:Q122),COUNT(N$113:Q121)+1,""))</f>
        <v/>
      </c>
      <c r="Q122" s="199" t="str">
        <f>IF(O121=O$113,IF(COUNTA(L$111:L121)-2&lt;DMAX(F$113:J$403,F$113,Q120:Q121),O$113,""),IF(Q121&lt;&gt;"",IF(COUNTA(L$111:L121)-2&lt;DMAX(F$113:J$403,F$113,O120:O121),Protokoll!I$1,""),""))</f>
        <v/>
      </c>
      <c r="T122" s="331" t="str">
        <f>IF(OR(Protokoll!$X$5&lt;&gt;"",Lokalbeskrivn!$M$4&lt;&gt;""),"",U122)</f>
        <v/>
      </c>
      <c r="U122" s="330" t="s">
        <v>1136</v>
      </c>
      <c r="V122" s="351" t="s">
        <v>1135</v>
      </c>
      <c r="W122" s="2"/>
      <c r="Y122" s="401" t="s">
        <v>1623</v>
      </c>
      <c r="Z122" s="401" t="s">
        <v>1624</v>
      </c>
      <c r="AB122" s="479" t="str">
        <f>IF(COUNT(AB113:AB121)&gt;0,MAX(AB113:AB121)+1,"")</f>
        <v/>
      </c>
      <c r="AC122" s="433" t="str">
        <f>IF(AND(AH122&lt;&gt;"",AG122&lt;&gt;"",AI122&gt;0,AH122&gt;0),MAX(AC$2:AC121)+1,"XX")</f>
        <v>XX</v>
      </c>
      <c r="AD122" s="428" t="str">
        <f>IF('Antal &amp; Längder (vikter)'!$C$8&lt;&gt;"",'Antal &amp; Längder (vikter)'!$C$8,"XX")</f>
        <v>XX</v>
      </c>
      <c r="AE122" s="405" t="str">
        <f>IF(AND('Antal &amp; Längder (vikter)'!L$10&lt;&gt;"",ISNUMBER($AH122)),'Antal &amp; Längder (vikter)'!L$10,"")</f>
        <v/>
      </c>
      <c r="AF122" s="425" t="str">
        <f t="shared" si="4"/>
        <v/>
      </c>
      <c r="AG122" s="426" t="str">
        <f t="shared" si="5"/>
        <v/>
      </c>
      <c r="AH122" s="409" t="str">
        <f>IF('Antal &amp; Längder (vikter)'!M$11="Längd (mm)",IF('Antal &amp; Längder (vikter)'!M21&lt;&gt;"",'Antal &amp; Längder (vikter)'!M21,"XX"),"XX")</f>
        <v>XX</v>
      </c>
      <c r="AI122" s="7">
        <v>-9</v>
      </c>
      <c r="AN122" s="357"/>
      <c r="AO122" s="357"/>
      <c r="AP122" s="357"/>
      <c r="AQ122" s="357"/>
      <c r="AR122" s="357"/>
      <c r="AS122" s="357"/>
      <c r="AT122" s="357"/>
      <c r="AU122" s="357"/>
      <c r="AV122" s="357"/>
    </row>
    <row r="123" spans="1:48" hidden="1" x14ac:dyDescent="0.25">
      <c r="A123" s="578">
        <f>IF(OR(COUNTIF(Protokoll!J32:AE32,"D1")&gt;0,COUNTIF(Protokoll!J33:AE33,3)&gt;0,Protokoll!G32="D2",Protokoll!G32="D3"),"",3)</f>
        <v>3</v>
      </c>
      <c r="B123" s="578" t="str">
        <f>IF(OR(COUNTIF(Protokoll!G32,"D1")+COUNTIF(Protokoll!M32:AE32,"D1")&gt;0,COUNTIF(Protokoll!G33,3)+COUNTIF(Protokoll!M33:AE33,3)&gt;0,Protokoll!J32="D2",Protokoll!J32="D3"),"",3)</f>
        <v/>
      </c>
      <c r="C123" s="578" t="str">
        <f>IF(OR(COUNTIF(Protokoll!G32:J32,"D1")+COUNTIF(Protokoll!P32:AE32,"D1")&gt;0,COUNTIF(Protokoll!G33:J33,3)+COUNTIF(Protokoll!P33:AE33,3)&gt;0,Protokoll!M32="D2",Protokoll!M32="D3"),"",3)</f>
        <v/>
      </c>
      <c r="D123" s="578" t="str">
        <f>IF(OR(COUNTIF(Protokoll!G32:M32,"D1")+COUNTIF(Protokoll!S32:AE32,"D1")&gt;0,COUNTIF(Protokoll!G33:M33,3)+COUNTIF(Protokoll!S33:AE33,3)&gt;0,Protokoll!P32="D2",Protokoll!P32="D3"),"",3)</f>
        <v/>
      </c>
      <c r="F123" s="199">
        <f>COUNTIF(J$113:J123,J123)</f>
        <v>1</v>
      </c>
      <c r="G123" t="s">
        <v>135</v>
      </c>
      <c r="H123" s="330">
        <v>2084</v>
      </c>
      <c r="I123" s="330">
        <v>20</v>
      </c>
      <c r="J123" t="s">
        <v>112</v>
      </c>
      <c r="K123" s="143"/>
      <c r="L123" s="220" t="str">
        <f>IF(Protokoll!I$1&lt;&gt;"",IF(N122=N$113,IF(AND(DMAX(F$113:J$403,F$113,O122:O123)&gt;COUNTA(L$111:L122)-2,DCOUNTA(F$113:J$403,G$113,N122:O123)=1),DGET(F$113:J$403,G$113,N122:O123),""),IF(AND(DMAX(F$113:J$403,F$113,Q122:Q123)&gt;COUNTA(L$111:L122)-2,DCOUNTA(F$113:J$403,G$113,P122:Q123)=1),DGET(F$113:J$403,G$113,P122:Q123),"")),G123)</f>
        <v/>
      </c>
      <c r="M123" s="143"/>
      <c r="N123" s="221" t="str">
        <f>IF(N122=N$113,IF(COUNT(N$113:Q122)&lt;DMAX(F$113:J$403,F$113,O122:O123),COUNT(N$113:Q122)+1,""),IF(COUNT(N$113:Q122)&lt;DMAX(F$113:J$403,F$113,Q122:Q123),N$113,""))</f>
        <v/>
      </c>
      <c r="O123" s="222" t="str">
        <f>IF(O122=O$113,IF(COUNTA(L$111:L122)-2&lt;DMAX(F$113:J$403,F$113,Q121:Q122),Protokoll!I$1,""),IF(O122&lt;&gt;"",IF(COUNTA(L$111:L122)-1&lt;DMAX(F$113:J$403,F$113,O121:O122),O$113,""),""))</f>
        <v/>
      </c>
      <c r="P123" s="223" t="str">
        <f>IF(N122=N$113,IF(COUNT(N$113:Q122)&lt;DMAX(F$113:J$403,F$113,O122:O123),N$113,""),IF(COUNT(N$113:Q122)&lt;DMAX(F$113:J$403,F$113,Q122:Q123),COUNT(N$113:Q122)+1,""))</f>
        <v/>
      </c>
      <c r="Q123" s="199" t="str">
        <f>IF(O122=O$113,IF(COUNTA(L$111:L122)-2&lt;DMAX(F$113:J$403,F$113,Q121:Q122),O$113,""),IF(Q122&lt;&gt;"",IF(COUNTA(L$111:L122)-2&lt;DMAX(F$113:J$403,F$113,O121:O122),Protokoll!I$1,""),""))</f>
        <v/>
      </c>
      <c r="T123" s="331" t="str">
        <f>IF(OR(Protokoll!$X$5&lt;&gt;"",Lokalbeskrivn!$M$4&lt;&gt;""),"",U123)</f>
        <v/>
      </c>
      <c r="U123" s="330" t="s">
        <v>1138</v>
      </c>
      <c r="V123" s="351" t="s">
        <v>1137</v>
      </c>
      <c r="W123" s="2"/>
      <c r="Y123" s="401" t="s">
        <v>2147</v>
      </c>
      <c r="Z123" s="401" t="s">
        <v>2148</v>
      </c>
      <c r="AB123" s="480" t="str">
        <f>IF(AND(ISNUMBER(AH123),AH123&gt;0),IF(MAX(AB$3:AB122)&gt;0,MAX(AB$3:AB122)+1,10+COUNTIF(F$38:F$49,"&gt;0")*10+1),"")</f>
        <v/>
      </c>
      <c r="AC123" s="433" t="str">
        <f>IF(AND(AH123&lt;&gt;"",AG123&lt;&gt;"",AI123&gt;0,AH123&gt;0),MAX(AC$2:AC122)+1,"XX")</f>
        <v>XX</v>
      </c>
      <c r="AD123" s="429" t="str">
        <f>IF('Antal &amp; Längder (vikter)'!$C$23&lt;&gt;"",'Antal &amp; Längder (vikter)'!$C$23,"XX")</f>
        <v>XX</v>
      </c>
      <c r="AE123" s="406" t="str">
        <f>IF(AND('Antal &amp; Längder (vikter)'!B$25&lt;&gt;"",ISNUMBER($AH123)),'Antal &amp; Längder (vikter)'!B$25,"")</f>
        <v/>
      </c>
      <c r="AF123" s="425" t="str">
        <f t="shared" si="4"/>
        <v/>
      </c>
      <c r="AG123" s="426" t="str">
        <f t="shared" si="5"/>
        <v/>
      </c>
      <c r="AH123" s="407" t="str">
        <f>IF('Antal &amp; Längder (vikter)'!B27&lt;&gt;"",'Antal &amp; Längder (vikter)'!B27,"XX")</f>
        <v>XX</v>
      </c>
      <c r="AI123" s="436">
        <f>IF('Antal &amp; Längder (vikter)'!C$26="Vikt (g)",'Antal &amp; Längder (vikter)'!C27,-9)</f>
        <v>-9</v>
      </c>
      <c r="AN123" s="357"/>
      <c r="AO123" s="357"/>
      <c r="AP123" s="357"/>
      <c r="AQ123" s="357"/>
      <c r="AR123" s="357"/>
      <c r="AS123" s="357"/>
      <c r="AT123" s="357"/>
      <c r="AU123" s="357"/>
      <c r="AV123" s="357"/>
    </row>
    <row r="124" spans="1:48" hidden="1" x14ac:dyDescent="0.25">
      <c r="F124" s="199">
        <f>COUNTIF(J$113:J124,J124)</f>
        <v>3</v>
      </c>
      <c r="G124" t="s">
        <v>137</v>
      </c>
      <c r="H124" s="330">
        <v>1460</v>
      </c>
      <c r="I124" s="330">
        <v>14</v>
      </c>
      <c r="J124" t="s">
        <v>114</v>
      </c>
      <c r="K124" s="143"/>
      <c r="L124" s="220" t="str">
        <f>IF(Protokoll!I$1&lt;&gt;"",IF(N123=N$113,IF(AND(DMAX(F$113:J$403,F$113,O123:O124)&gt;COUNTA(L$111:L123)-2,DCOUNTA(F$113:J$403,G$113,N123:O124)=1),DGET(F$113:J$403,G$113,N123:O124),""),IF(AND(DMAX(F$113:J$403,F$113,Q123:Q124)&gt;COUNTA(L$111:L123)-2,DCOUNTA(F$113:J$403,G$113,P123:Q124)=1),DGET(F$113:J$403,G$113,P123:Q124),"")),G124)</f>
        <v/>
      </c>
      <c r="M124" s="143"/>
      <c r="N124" s="221" t="str">
        <f>IF(N123=N$113,IF(COUNT(N$113:Q123)&lt;DMAX(F$113:J$403,F$113,O123:O124),COUNT(N$113:Q123)+1,""),IF(COUNT(N$113:Q123)&lt;DMAX(F$113:J$403,F$113,Q123:Q124),N$113,""))</f>
        <v/>
      </c>
      <c r="O124" s="222" t="str">
        <f>IF(O123=O$113,IF(COUNTA(L$111:L123)-2&lt;DMAX(F$113:J$403,F$113,Q122:Q123),Protokoll!I$1,""),IF(O123&lt;&gt;"",IF(COUNTA(L$111:L123)-1&lt;DMAX(F$113:J$403,F$113,O122:O123),O$113,""),""))</f>
        <v/>
      </c>
      <c r="P124" s="223" t="str">
        <f>IF(N123=N$113,IF(COUNT(N$113:Q123)&lt;DMAX(F$113:J$403,F$113,O123:O124),N$113,""),IF(COUNT(N$113:Q123)&lt;DMAX(F$113:J$403,F$113,Q123:Q124),COUNT(N$113:Q123)+1,""))</f>
        <v/>
      </c>
      <c r="Q124" s="199" t="str">
        <f>IF(O123=O$113,IF(COUNTA(L$111:L123)-2&lt;DMAX(F$113:J$403,F$113,Q122:Q123),O$113,""),IF(Q123&lt;&gt;"",IF(COUNTA(L$111:L123)-2&lt;DMAX(F$113:J$403,F$113,O122:O123),Protokoll!I$1,""),""))</f>
        <v/>
      </c>
      <c r="T124" s="331" t="str">
        <f>IF(OR(Protokoll!$X$5&lt;&gt;"",Lokalbeskrivn!$M$4&lt;&gt;""),"",U124)</f>
        <v/>
      </c>
      <c r="U124" s="330" t="s">
        <v>1140</v>
      </c>
      <c r="V124" s="351" t="s">
        <v>1139</v>
      </c>
      <c r="W124" s="2"/>
      <c r="Y124" s="401" t="s">
        <v>1749</v>
      </c>
      <c r="Z124" s="401" t="s">
        <v>1750</v>
      </c>
      <c r="AB124" s="476" t="str">
        <f>IF(COUNT(AB123:AB123)&gt;0,MAX(AB123:AB123)+1,"")</f>
        <v/>
      </c>
      <c r="AC124" s="433" t="str">
        <f>IF(AND(AH124&lt;&gt;"",AG124&lt;&gt;"",AI124&gt;0,AH124&gt;0),MAX(AC$2:AC123)+1,"XX")</f>
        <v>XX</v>
      </c>
      <c r="AD124" s="429" t="str">
        <f>IF('Antal &amp; Längder (vikter)'!$C$23&lt;&gt;"",'Antal &amp; Längder (vikter)'!$C$23,"XX")</f>
        <v>XX</v>
      </c>
      <c r="AE124" s="406" t="str">
        <f>IF(AND('Antal &amp; Längder (vikter)'!B$25&lt;&gt;"",ISNUMBER($AH124)),'Antal &amp; Längder (vikter)'!B$25,"")</f>
        <v/>
      </c>
      <c r="AF124" s="425" t="str">
        <f t="shared" si="4"/>
        <v/>
      </c>
      <c r="AG124" s="426" t="str">
        <f t="shared" si="5"/>
        <v/>
      </c>
      <c r="AH124" s="407" t="str">
        <f>IF('Antal &amp; Längder (vikter)'!B28&lt;&gt;"",'Antal &amp; Längder (vikter)'!B28,"XX")</f>
        <v>XX</v>
      </c>
      <c r="AI124" s="436">
        <f>IF('Antal &amp; Längder (vikter)'!C$26="Vikt (g)",'Antal &amp; Längder (vikter)'!C28,-9)</f>
        <v>-9</v>
      </c>
      <c r="AN124" s="357"/>
      <c r="AO124" s="357"/>
      <c r="AP124" s="357"/>
      <c r="AQ124" s="357"/>
      <c r="AR124" s="357"/>
      <c r="AS124" s="357"/>
      <c r="AT124" s="357"/>
      <c r="AU124" s="357"/>
      <c r="AV124" s="357"/>
    </row>
    <row r="125" spans="1:48" hidden="1" x14ac:dyDescent="0.25">
      <c r="F125" s="199">
        <f>COUNTIF(J$113:J125,J125)</f>
        <v>1</v>
      </c>
      <c r="G125" t="s">
        <v>139</v>
      </c>
      <c r="H125" s="330">
        <v>2326</v>
      </c>
      <c r="I125" s="330">
        <v>23</v>
      </c>
      <c r="J125" t="s">
        <v>123</v>
      </c>
      <c r="K125" s="143"/>
      <c r="L125" s="220" t="str">
        <f>IF(Protokoll!I$1&lt;&gt;"",IF(N124=N$113,IF(AND(DMAX(F$113:J$403,F$113,O124:O125)&gt;COUNTA(L$111:L124)-2,DCOUNTA(F$113:J$403,G$113,N124:O125)=1),DGET(F$113:J$403,G$113,N124:O125),""),IF(AND(DMAX(F$113:J$403,F$113,Q124:Q125)&gt;COUNTA(L$111:L124)-2,DCOUNTA(F$113:J$403,G$113,P124:Q125)=1),DGET(F$113:J$403,G$113,P124:Q125),"")),G125)</f>
        <v/>
      </c>
      <c r="M125" s="143"/>
      <c r="N125" s="221" t="str">
        <f>IF(N124=N$113,IF(COUNT(N$113:Q124)&lt;DMAX(F$113:J$403,F$113,O124:O125),COUNT(N$113:Q124)+1,""),IF(COUNT(N$113:Q124)&lt;DMAX(F$113:J$403,F$113,Q124:Q125),N$113,""))</f>
        <v/>
      </c>
      <c r="O125" s="222" t="str">
        <f>IF(O124=O$113,IF(COUNTA(L$111:L124)-2&lt;DMAX(F$113:J$403,F$113,Q123:Q124),Protokoll!I$1,""),IF(O124&lt;&gt;"",IF(COUNTA(L$111:L124)-1&lt;DMAX(F$113:J$403,F$113,O123:O124),O$113,""),""))</f>
        <v/>
      </c>
      <c r="P125" s="223" t="str">
        <f>IF(N124=N$113,IF(COUNT(N$113:Q124)&lt;DMAX(F$113:J$403,F$113,O124:O125),N$113,""),IF(COUNT(N$113:Q124)&lt;DMAX(F$113:J$403,F$113,Q124:Q125),COUNT(N$113:Q124)+1,""))</f>
        <v/>
      </c>
      <c r="Q125" s="199" t="str">
        <f>IF(O124=O$113,IF(COUNTA(L$111:L124)-2&lt;DMAX(F$113:J$403,F$113,Q123:Q124),O$113,""),IF(Q124&lt;&gt;"",IF(COUNTA(L$111:L124)-2&lt;DMAX(F$113:J$403,F$113,O123:O124),Protokoll!I$1,""),""))</f>
        <v/>
      </c>
      <c r="T125" s="331" t="str">
        <f>IF(OR(Protokoll!$X$5&lt;&gt;"",Lokalbeskrivn!$M$4&lt;&gt;""),"",U125)</f>
        <v/>
      </c>
      <c r="U125" s="330" t="s">
        <v>1142</v>
      </c>
      <c r="V125" s="351" t="s">
        <v>1141</v>
      </c>
      <c r="W125" s="2"/>
      <c r="Y125" s="401" t="s">
        <v>1707</v>
      </c>
      <c r="Z125" s="401" t="s">
        <v>1708</v>
      </c>
      <c r="AB125" s="477" t="str">
        <f>IF(COUNT(AB123:AB124)&gt;0,MAX(AB123:AB124)+1,"")</f>
        <v/>
      </c>
      <c r="AC125" s="433" t="str">
        <f>IF(AND(AH125&lt;&gt;"",AG125&lt;&gt;"",AI125&gt;0,AH125&gt;0),MAX(AC$2:AC124)+1,"XX")</f>
        <v>XX</v>
      </c>
      <c r="AD125" s="429" t="str">
        <f>IF('Antal &amp; Längder (vikter)'!$C$23&lt;&gt;"",'Antal &amp; Längder (vikter)'!$C$23,"XX")</f>
        <v>XX</v>
      </c>
      <c r="AE125" s="406" t="str">
        <f>IF(AND('Antal &amp; Längder (vikter)'!B$25&lt;&gt;"",ISNUMBER($AH125)),'Antal &amp; Längder (vikter)'!B$25,"")</f>
        <v/>
      </c>
      <c r="AF125" s="425" t="str">
        <f t="shared" si="4"/>
        <v/>
      </c>
      <c r="AG125" s="426" t="str">
        <f t="shared" si="5"/>
        <v/>
      </c>
      <c r="AH125" s="407" t="str">
        <f>IF('Antal &amp; Längder (vikter)'!B29&lt;&gt;"",'Antal &amp; Längder (vikter)'!B29,"XX")</f>
        <v>XX</v>
      </c>
      <c r="AI125" s="436">
        <f>IF('Antal &amp; Längder (vikter)'!C$26="Vikt (g)",'Antal &amp; Längder (vikter)'!C29,-9)</f>
        <v>-9</v>
      </c>
      <c r="AN125" s="357"/>
      <c r="AO125" s="357"/>
      <c r="AP125" s="357"/>
      <c r="AQ125" s="357"/>
      <c r="AR125" s="357"/>
      <c r="AS125" s="357"/>
      <c r="AT125" s="357"/>
      <c r="AU125" s="357"/>
      <c r="AV125" s="357"/>
    </row>
    <row r="126" spans="1:48" hidden="1" x14ac:dyDescent="0.25">
      <c r="A126" t="s">
        <v>2301</v>
      </c>
      <c r="B126" t="s">
        <v>2302</v>
      </c>
      <c r="C126" t="s">
        <v>2303</v>
      </c>
      <c r="D126" t="s">
        <v>2304</v>
      </c>
      <c r="E126" s="115" t="s">
        <v>2305</v>
      </c>
      <c r="F126" s="199">
        <f>COUNTIF(J$113:J126,J126)</f>
        <v>1</v>
      </c>
      <c r="G126" t="s">
        <v>141</v>
      </c>
      <c r="H126" s="330">
        <v>2403</v>
      </c>
      <c r="I126" s="330">
        <v>24</v>
      </c>
      <c r="J126" t="s">
        <v>142</v>
      </c>
      <c r="K126" s="143"/>
      <c r="L126" s="220" t="str">
        <f>IF(Protokoll!I$1&lt;&gt;"",IF(N125=N$113,IF(AND(DMAX(F$113:J$403,F$113,O125:O126)&gt;COUNTA(L$111:L125)-2,DCOUNTA(F$113:J$403,G$113,N125:O126)=1),DGET(F$113:J$403,G$113,N125:O126),""),IF(AND(DMAX(F$113:J$403,F$113,Q125:Q126)&gt;COUNTA(L$111:L125)-2,DCOUNTA(F$113:J$403,G$113,P125:Q126)=1),DGET(F$113:J$403,G$113,P125:Q126),"")),G126)</f>
        <v/>
      </c>
      <c r="M126" s="143"/>
      <c r="N126" s="221" t="str">
        <f>IF(N125=N$113,IF(COUNT(N$113:Q125)&lt;DMAX(F$113:J$403,F$113,O125:O126),COUNT(N$113:Q125)+1,""),IF(COUNT(N$113:Q125)&lt;DMAX(F$113:J$403,F$113,Q125:Q126),N$113,""))</f>
        <v/>
      </c>
      <c r="O126" s="222" t="str">
        <f>IF(O125=O$113,IF(COUNTA(L$111:L125)-2&lt;DMAX(F$113:J$403,F$113,Q124:Q125),Protokoll!I$1,""),IF(O125&lt;&gt;"",IF(COUNTA(L$111:L125)-1&lt;DMAX(F$113:J$403,F$113,O124:O125),O$113,""),""))</f>
        <v/>
      </c>
      <c r="P126" s="223" t="str">
        <f>IF(N125=N$113,IF(COUNT(N$113:Q125)&lt;DMAX(F$113:J$403,F$113,O125:O126),N$113,""),IF(COUNT(N$113:Q125)&lt;DMAX(F$113:J$403,F$113,Q125:Q126),COUNT(N$113:Q125)+1,""))</f>
        <v/>
      </c>
      <c r="Q126" s="199" t="str">
        <f>IF(O125=O$113,IF(COUNTA(L$111:L125)-2&lt;DMAX(F$113:J$403,F$113,Q124:Q125),O$113,""),IF(Q125&lt;&gt;"",IF(COUNTA(L$111:L125)-2&lt;DMAX(F$113:J$403,F$113,O124:O125),Protokoll!I$1,""),""))</f>
        <v/>
      </c>
      <c r="T126" s="331" t="str">
        <f>IF(OR(Protokoll!$X$5&lt;&gt;"",Lokalbeskrivn!$M$4&lt;&gt;""),"",U126)</f>
        <v/>
      </c>
      <c r="U126" s="330" t="s">
        <v>1144</v>
      </c>
      <c r="V126" s="351" t="s">
        <v>1143</v>
      </c>
      <c r="W126" s="2"/>
      <c r="Y126" s="401" t="s">
        <v>1625</v>
      </c>
      <c r="Z126" s="401" t="s">
        <v>1626</v>
      </c>
      <c r="AB126" s="434" t="str">
        <f>IF(COUNT(AB123:AB125)&gt;0,MAX(AB123:AB125)+1,"")</f>
        <v/>
      </c>
      <c r="AC126" s="433" t="str">
        <f>IF(AND(AH126&lt;&gt;"",AG126&lt;&gt;"",AI126&gt;0,AH126&gt;0),MAX(AC$2:AC125)+1,"XX")</f>
        <v>XX</v>
      </c>
      <c r="AD126" s="429" t="str">
        <f>IF('Antal &amp; Längder (vikter)'!$C$23&lt;&gt;"",'Antal &amp; Längder (vikter)'!$C$23,"XX")</f>
        <v>XX</v>
      </c>
      <c r="AE126" s="406" t="str">
        <f>IF(AND('Antal &amp; Längder (vikter)'!B$25&lt;&gt;"",ISNUMBER($AH126)),'Antal &amp; Längder (vikter)'!B$25,"")</f>
        <v/>
      </c>
      <c r="AF126" s="425" t="str">
        <f t="shared" si="4"/>
        <v/>
      </c>
      <c r="AG126" s="426" t="str">
        <f t="shared" si="5"/>
        <v/>
      </c>
      <c r="AH126" s="407" t="str">
        <f>IF('Antal &amp; Längder (vikter)'!B30&lt;&gt;"",'Antal &amp; Längder (vikter)'!B30,"XX")</f>
        <v>XX</v>
      </c>
      <c r="AI126" s="436">
        <f>IF('Antal &amp; Längder (vikter)'!C$26="Vikt (g)",'Antal &amp; Längder (vikter)'!C30,-9)</f>
        <v>-9</v>
      </c>
      <c r="AN126" s="357"/>
      <c r="AO126" s="357"/>
      <c r="AP126" s="357"/>
      <c r="AQ126" s="357"/>
      <c r="AR126" s="357"/>
      <c r="AS126" s="357"/>
      <c r="AT126" s="357"/>
      <c r="AU126" s="357"/>
      <c r="AV126" s="357"/>
    </row>
    <row r="127" spans="1:48" hidden="1" x14ac:dyDescent="0.25">
      <c r="A127" s="576" t="str">
        <f>IF(OR(Protokoll!S32="D1",Protokoll!S32="D2",Protokoll!S32="D3"),"",0)</f>
        <v/>
      </c>
      <c r="B127" s="576">
        <f>IF(OR(Protokoll!V32="D1",Protokoll!V32="D2",Protokoll!V32="D3"),"",0)</f>
        <v>0</v>
      </c>
      <c r="C127" s="576">
        <f>IF(OR(Protokoll!Y32="D1",Protokoll!Y32="D2",Protokoll!Y32="D3"),"",0)</f>
        <v>0</v>
      </c>
      <c r="D127" s="576">
        <f>IF(OR(Protokoll!AB32="D1",Protokoll!AB32="D2",Protokoll!AB32="D3"),"",0)</f>
        <v>0</v>
      </c>
      <c r="E127" s="576">
        <f>IF(OR(Protokoll!AE32="D1",Protokoll!AE32="D2",Protokoll!AE32="D3"),"",0)</f>
        <v>0</v>
      </c>
      <c r="F127" s="199">
        <f>COUNTIF(J$113:J127,J127)</f>
        <v>1</v>
      </c>
      <c r="G127" t="s">
        <v>143</v>
      </c>
      <c r="H127" s="330">
        <v>1260</v>
      </c>
      <c r="I127" s="330">
        <v>12</v>
      </c>
      <c r="J127" t="s">
        <v>134</v>
      </c>
      <c r="K127" s="143"/>
      <c r="L127" s="220" t="str">
        <f>IF(Protokoll!I$1&lt;&gt;"",IF(N126=N$113,IF(AND(DMAX(F$113:J$403,F$113,O126:O127)&gt;COUNTA(L$111:L126)-2,DCOUNTA(F$113:J$403,G$113,N126:O127)=1),DGET(F$113:J$403,G$113,N126:O127),""),IF(AND(DMAX(F$113:J$403,F$113,Q126:Q127)&gt;COUNTA(L$111:L126)-2,DCOUNTA(F$113:J$403,G$113,P126:Q127)=1),DGET(F$113:J$403,G$113,P126:Q127),"")),G127)</f>
        <v/>
      </c>
      <c r="M127" s="143"/>
      <c r="N127" s="221" t="str">
        <f>IF(N126=N$113,IF(COUNT(N$113:Q126)&lt;DMAX(F$113:J$403,F$113,O126:O127),COUNT(N$113:Q126)+1,""),IF(COUNT(N$113:Q126)&lt;DMAX(F$113:J$403,F$113,Q126:Q127),N$113,""))</f>
        <v/>
      </c>
      <c r="O127" s="222" t="str">
        <f>IF(O126=O$113,IF(COUNTA(L$111:L126)-2&lt;DMAX(F$113:J$403,F$113,Q125:Q126),Protokoll!I$1,""),IF(O126&lt;&gt;"",IF(COUNTA(L$111:L126)-1&lt;DMAX(F$113:J$403,F$113,O125:O126),O$113,""),""))</f>
        <v/>
      </c>
      <c r="P127" s="223" t="str">
        <f>IF(N126=N$113,IF(COUNT(N$113:Q126)&lt;DMAX(F$113:J$403,F$113,O126:O127),N$113,""),IF(COUNT(N$113:Q126)&lt;DMAX(F$113:J$403,F$113,Q126:Q127),COUNT(N$113:Q126)+1,""))</f>
        <v/>
      </c>
      <c r="Q127" s="199" t="str">
        <f>IF(O126=O$113,IF(COUNTA(L$111:L126)-2&lt;DMAX(F$113:J$403,F$113,Q125:Q126),O$113,""),IF(Q126&lt;&gt;"",IF(COUNTA(L$111:L126)-2&lt;DMAX(F$113:J$403,F$113,O125:O126),Protokoll!I$1,""),""))</f>
        <v/>
      </c>
      <c r="T127" s="331" t="str">
        <f>IF(OR(Protokoll!$X$5&lt;&gt;"",Lokalbeskrivn!$M$4&lt;&gt;""),"",U127)</f>
        <v/>
      </c>
      <c r="U127" s="330" t="s">
        <v>1146</v>
      </c>
      <c r="V127" s="351" t="s">
        <v>1145</v>
      </c>
      <c r="W127" s="2"/>
      <c r="Y127" s="401" t="s">
        <v>1631</v>
      </c>
      <c r="Z127" s="401" t="s">
        <v>1632</v>
      </c>
      <c r="AB127" s="475" t="str">
        <f>IF(COUNT(AB123:AB126)&gt;0,MAX(AB123:AB126)+1,"")</f>
        <v/>
      </c>
      <c r="AC127" s="433" t="str">
        <f>IF(AND(AH127&lt;&gt;"",AG127&lt;&gt;"",AI127&gt;0,AH127&gt;0),MAX(AC$2:AC126)+1,"XX")</f>
        <v>XX</v>
      </c>
      <c r="AD127" s="429" t="str">
        <f>IF('Antal &amp; Längder (vikter)'!$C$23&lt;&gt;"",'Antal &amp; Längder (vikter)'!$C$23,"XX")</f>
        <v>XX</v>
      </c>
      <c r="AE127" s="406" t="str">
        <f>IF(AND('Antal &amp; Längder (vikter)'!B$25&lt;&gt;"",ISNUMBER($AH127)),'Antal &amp; Längder (vikter)'!B$25,"")</f>
        <v/>
      </c>
      <c r="AF127" s="425" t="str">
        <f t="shared" si="4"/>
        <v/>
      </c>
      <c r="AG127" s="426" t="str">
        <f t="shared" si="5"/>
        <v/>
      </c>
      <c r="AH127" s="407" t="str">
        <f>IF('Antal &amp; Längder (vikter)'!B31&lt;&gt;"",'Antal &amp; Längder (vikter)'!B31,"XX")</f>
        <v>XX</v>
      </c>
      <c r="AI127" s="436">
        <f>IF('Antal &amp; Längder (vikter)'!C$26="Vikt (g)",'Antal &amp; Längder (vikter)'!C31,-9)</f>
        <v>-9</v>
      </c>
      <c r="AN127" s="357"/>
      <c r="AO127" s="357"/>
      <c r="AP127" s="357"/>
      <c r="AQ127" s="357"/>
      <c r="AR127" s="357"/>
      <c r="AS127" s="357"/>
      <c r="AT127" s="357"/>
      <c r="AU127" s="357"/>
      <c r="AV127" s="357"/>
    </row>
    <row r="128" spans="1:48" hidden="1" x14ac:dyDescent="0.25">
      <c r="A128" s="577">
        <f>IF(OR(Protokoll!S32="D1",AND(Protokoll!S32="D2",IF(ISNUMBER(HLOOKUP("D3",Protokoll!G32:AE33,2,FALSE)),IF(HLOOKUP("D3",Protokoll!G32:AE33,2,FALSE)&gt;1,TRUE,FALSE),FALSE))),"",1)</f>
        <v>1</v>
      </c>
      <c r="B128" s="577">
        <f>IF(OR(Protokoll!V32="D1",AND(Protokoll!V32="D2",IF(ISNUMBER(HLOOKUP("D3",Protokoll!G32:AE33,2,FALSE)),IF(HLOOKUP("D3",Protokoll!G32:AE33,2,FALSE)&gt;1,TRUE,FALSE),FALSE))),"",1)</f>
        <v>1</v>
      </c>
      <c r="C128" s="577">
        <f>IF(OR(Protokoll!Y32="D1",AND(Protokoll!Y32="D2",IF(ISNUMBER(HLOOKUP("D3",Protokoll!G32:AE33,2,FALSE)),IF(HLOOKUP("D3",Protokoll!G32:AE33,2,FALSE)&gt;1,TRUE,FALSE),FALSE))),"",1)</f>
        <v>1</v>
      </c>
      <c r="D128" s="577">
        <f>IF(OR(Protokoll!AB32="D1",AND(Protokoll!AB32="D2",IF(ISNUMBER(HLOOKUP("D3",Protokoll!G32:AE33,2,FALSE)),IF(HLOOKUP("D3",Protokoll!G32:AE33,2,FALSE)&gt;1,TRUE,FALSE),FALSE))),"",1)</f>
        <v>1</v>
      </c>
      <c r="E128" s="577">
        <f>IF(OR(Protokoll!AE32="D1",AND(Protokoll!AE32="D2",IF(ISNUMBER(HLOOKUP("D3",Protokoll!G32:AE33,2,FALSE)),IF(HLOOKUP("D3",Protokoll!G32:AE33,2,FALSE)&gt;1,TRUE,FALSE),FALSE))),"",1)</f>
        <v>1</v>
      </c>
      <c r="F128" s="199">
        <f>COUNTIF(J$113:J128,J128)</f>
        <v>3</v>
      </c>
      <c r="G128" t="s">
        <v>144</v>
      </c>
      <c r="H128" s="330">
        <v>2582</v>
      </c>
      <c r="I128" s="330">
        <v>25</v>
      </c>
      <c r="J128" t="s">
        <v>127</v>
      </c>
      <c r="K128" s="143"/>
      <c r="L128" s="220" t="str">
        <f>IF(Protokoll!I$1&lt;&gt;"",IF(N127=N$113,IF(AND(DMAX(F$113:J$403,F$113,O127:O128)&gt;COUNTA(L$111:L127)-2,DCOUNTA(F$113:J$403,G$113,N127:O128)=1),DGET(F$113:J$403,G$113,N127:O128),""),IF(AND(DMAX(F$113:J$403,F$113,Q127:Q128)&gt;COUNTA(L$111:L127)-2,DCOUNTA(F$113:J$403,G$113,P127:Q128)=1),DGET(F$113:J$403,G$113,P127:Q128),"")),G128)</f>
        <v/>
      </c>
      <c r="M128" s="143"/>
      <c r="N128" s="221" t="str">
        <f>IF(N127=N$113,IF(COUNT(N$113:Q127)&lt;DMAX(F$113:J$403,F$113,O127:O128),COUNT(N$113:Q127)+1,""),IF(COUNT(N$113:Q127)&lt;DMAX(F$113:J$403,F$113,Q127:Q128),N$113,""))</f>
        <v/>
      </c>
      <c r="O128" s="222" t="str">
        <f>IF(O127=O$113,IF(COUNTA(L$111:L127)-2&lt;DMAX(F$113:J$403,F$113,Q126:Q127),Protokoll!I$1,""),IF(O127&lt;&gt;"",IF(COUNTA(L$111:L127)-1&lt;DMAX(F$113:J$403,F$113,O126:O127),O$113,""),""))</f>
        <v/>
      </c>
      <c r="P128" s="223" t="str">
        <f>IF(N127=N$113,IF(COUNT(N$113:Q127)&lt;DMAX(F$113:J$403,F$113,O127:O128),N$113,""),IF(COUNT(N$113:Q127)&lt;DMAX(F$113:J$403,F$113,Q127:Q128),COUNT(N$113:Q127)+1,""))</f>
        <v/>
      </c>
      <c r="Q128" s="199" t="str">
        <f>IF(O127=O$113,IF(COUNTA(L$111:L127)-2&lt;DMAX(F$113:J$403,F$113,Q126:Q127),O$113,""),IF(Q127&lt;&gt;"",IF(COUNTA(L$111:L127)-2&lt;DMAX(F$113:J$403,F$113,O126:O127),Protokoll!I$1,""),""))</f>
        <v/>
      </c>
      <c r="T128" s="331" t="str">
        <f>IF(OR(Protokoll!$X$5&lt;&gt;"",Lokalbeskrivn!$M$4&lt;&gt;""),"",U128)</f>
        <v/>
      </c>
      <c r="U128" s="330" t="s">
        <v>1148</v>
      </c>
      <c r="V128" s="351" t="s">
        <v>1147</v>
      </c>
      <c r="W128" s="2"/>
      <c r="Y128" s="401" t="s">
        <v>1629</v>
      </c>
      <c r="Z128" s="401" t="s">
        <v>1630</v>
      </c>
      <c r="AB128" s="471" t="str">
        <f>IF(COUNT(AB123:AB127)&gt;0,MAX(AB123:AB127)+1,"")</f>
        <v/>
      </c>
      <c r="AC128" s="433" t="str">
        <f>IF(AND(AH128&lt;&gt;"",AG128&lt;&gt;"",AI128&gt;0,AH128&gt;0),MAX(AC$2:AC127)+1,"XX")</f>
        <v>XX</v>
      </c>
      <c r="AD128" s="429" t="str">
        <f>IF('Antal &amp; Längder (vikter)'!$C$23&lt;&gt;"",'Antal &amp; Längder (vikter)'!$C$23,"XX")</f>
        <v>XX</v>
      </c>
      <c r="AE128" s="406" t="str">
        <f>IF(AND('Antal &amp; Längder (vikter)'!B$25&lt;&gt;"",ISNUMBER($AH128)),'Antal &amp; Längder (vikter)'!B$25,"")</f>
        <v/>
      </c>
      <c r="AF128" s="425" t="str">
        <f t="shared" si="4"/>
        <v/>
      </c>
      <c r="AG128" s="426" t="str">
        <f t="shared" si="5"/>
        <v/>
      </c>
      <c r="AH128" s="407" t="str">
        <f>IF('Antal &amp; Längder (vikter)'!B32&lt;&gt;"",'Antal &amp; Längder (vikter)'!B32,"XX")</f>
        <v>XX</v>
      </c>
      <c r="AI128" s="436">
        <f>IF('Antal &amp; Längder (vikter)'!C$26="Vikt (g)",'Antal &amp; Längder (vikter)'!C32,-9)</f>
        <v>-9</v>
      </c>
      <c r="AN128" s="357"/>
      <c r="AO128" s="357"/>
      <c r="AP128" s="357"/>
      <c r="AQ128" s="357"/>
      <c r="AR128" s="357"/>
      <c r="AS128" s="357"/>
      <c r="AT128" s="357"/>
      <c r="AU128" s="357"/>
      <c r="AV128" s="357"/>
    </row>
    <row r="129" spans="1:48" hidden="1" x14ac:dyDescent="0.25">
      <c r="A129" s="577">
        <f>IF(OR(AND(Protokoll!S32="D3",IF(ISNUMBER(HLOOKUP("D2",Protokoll!G32:AE33,2,FALSE)),IF(HLOOKUP("D2",Protokoll!G32:AE33,2,FALSE)=1,TRUE,FALSE),FALSE)),AND(Protokoll!S32="",OR(IF(ISNUMBER(HLOOKUP("D1",Protokoll!G32:AE33,2,FALSE)),IF(HLOOKUP("D1",Protokoll!G32:AE33,2,FALSE)=1,TRUE,FALSE),FALSE),IF(ISNUMBER(HLOOKUP("D2",Protokoll!G32:AE33,2,FALSE)),IF(HLOOKUP("D2",Protokoll!G32:AE33,2,FALSE)=1,TRUE,FALSE),FALSE),IF(ISNUMBER(HLOOKUP("D3",Protokoll!G32:AE33,2,FALSE)),IF(HLOOKUP("D3",Protokoll!G32:AE33,2,FALSE)=1,TRUE,FALSE),FALSE)))),"",2)</f>
        <v>2</v>
      </c>
      <c r="B129" s="577" t="str">
        <f>IF(OR(AND(Protokoll!V32="D3",IF(ISNUMBER(HLOOKUP("D2",Protokoll!G32:AE33,2,FALSE)),IF(HLOOKUP("D2",Protokoll!G32:AE33,2,FALSE)=1,TRUE,FALSE),FALSE)),AND(Protokoll!V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C129" s="577" t="str">
        <f>IF(OR(AND(Protokoll!Y32="D3",IF(ISNUMBER(HLOOKUP("D2",Protokoll!G32:AE33,2,FALSE)),IF(HLOOKUP("D2",Protokoll!G32:AE33,2,FALSE)=1,TRUE,FALSE),FALSE)),AND(Protokoll!Y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D129" s="577" t="str">
        <f>IF(OR(AND(Protokoll!AB32="D3",IF(ISNUMBER(HLOOKUP("D2",Protokoll!G32:AE33,2,FALSE)),IF(HLOOKUP("D2",Protokoll!G32:AE33,2,FALSE)=1,TRUE,FALSE),FALSE)),AND(Protokoll!AB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E129" s="577" t="str">
        <f>IF(OR(AND(Protokoll!AE32="D3",IF(ISNUMBER(HLOOKUP("D2",Protokoll!G32:AE33,2,FALSE)),IF(HLOOKUP("D2",Protokoll!G32:AE33,2,FALSE)=1,TRUE,FALSE),FALSE)),AND(Protokoll!AE32="",OR(IF(ISNUMBER(HLOOKUP("D1",Protokoll!G32:AE33,2,FALSE)),IF(HLOOKUP("D1",Protokoll!G32:AE33,2,FALSE)=1,TRUE,FALSE),FALSE),IF(ISNUMBER(HLOOKUP("D2",Protokoll!G32:AE33,2,FALSE)),IF(HLOOKUP("D2",Protokoll!G32:AE33,2,FALSE)=1,TRUE,FALSE),FALSE),IF(ISNUMBER(HLOOKUP("D3",Protokoll!G32:AE33,2,FALSE)),IF(HLOOKUP("D3",Protokoll!G32:AE33,2,FALSE)=1,TRUE,FALSE),FALSE)))),"",2)</f>
        <v/>
      </c>
      <c r="F129" s="199">
        <f>COUNTIF(J$113:J129,J129)</f>
        <v>4</v>
      </c>
      <c r="G129" t="s">
        <v>146</v>
      </c>
      <c r="H129" s="330">
        <v>1443</v>
      </c>
      <c r="I129" s="330">
        <v>14</v>
      </c>
      <c r="J129" t="s">
        <v>114</v>
      </c>
      <c r="K129" s="143"/>
      <c r="L129" s="220" t="str">
        <f>IF(Protokoll!I$1&lt;&gt;"",IF(N128=N$113,IF(AND(DMAX(F$113:J$403,F$113,O128:O129)&gt;COUNTA(L$111:L128)-2,DCOUNTA(F$113:J$403,G$113,N128:O129)=1),DGET(F$113:J$403,G$113,N128:O129),""),IF(AND(DMAX(F$113:J$403,F$113,Q128:Q129)&gt;COUNTA(L$111:L128)-2,DCOUNTA(F$113:J$403,G$113,P128:Q129)=1),DGET(F$113:J$403,G$113,P128:Q129),"")),G129)</f>
        <v/>
      </c>
      <c r="M129" s="143"/>
      <c r="N129" s="221" t="str">
        <f>IF(N128=N$113,IF(COUNT(N$113:Q128)&lt;DMAX(F$113:J$403,F$113,O128:O129),COUNT(N$113:Q128)+1,""),IF(COUNT(N$113:Q128)&lt;DMAX(F$113:J$403,F$113,Q128:Q129),N$113,""))</f>
        <v/>
      </c>
      <c r="O129" s="222" t="str">
        <f>IF(O128=O$113,IF(COUNTA(L$111:L128)-2&lt;DMAX(F$113:J$403,F$113,Q127:Q128),Protokoll!I$1,""),IF(O128&lt;&gt;"",IF(COUNTA(L$111:L128)-1&lt;DMAX(F$113:J$403,F$113,O127:O128),O$113,""),""))</f>
        <v/>
      </c>
      <c r="P129" s="223" t="str">
        <f>IF(N128=N$113,IF(COUNT(N$113:Q128)&lt;DMAX(F$113:J$403,F$113,O128:O129),N$113,""),IF(COUNT(N$113:Q128)&lt;DMAX(F$113:J$403,F$113,Q128:Q129),COUNT(N$113:Q128)+1,""))</f>
        <v/>
      </c>
      <c r="Q129" s="199" t="str">
        <f>IF(O128=O$113,IF(COUNTA(L$111:L128)-2&lt;DMAX(F$113:J$403,F$113,Q127:Q128),O$113,""),IF(Q128&lt;&gt;"",IF(COUNTA(L$111:L128)-2&lt;DMAX(F$113:J$403,F$113,O127:O128),Protokoll!I$1,""),""))</f>
        <v/>
      </c>
      <c r="T129" s="331" t="str">
        <f>IF(OR(Protokoll!$X$5&lt;&gt;"",Lokalbeskrivn!$M$4&lt;&gt;""),"",U129)</f>
        <v/>
      </c>
      <c r="U129" s="330" t="s">
        <v>1150</v>
      </c>
      <c r="V129" s="351" t="s">
        <v>1149</v>
      </c>
      <c r="W129" s="2"/>
      <c r="Y129" s="401" t="s">
        <v>1637</v>
      </c>
      <c r="Z129" s="401" t="s">
        <v>1638</v>
      </c>
      <c r="AB129" s="474" t="str">
        <f>IF(COUNT(AB123:AB128)&gt;0,MAX(AB123:AB128)+1,"")</f>
        <v/>
      </c>
      <c r="AC129" s="433" t="str">
        <f>IF(AND(AH129&lt;&gt;"",AG129&lt;&gt;"",AI129&gt;0,AH129&gt;0),MAX(AC$2:AC128)+1,"XX")</f>
        <v>XX</v>
      </c>
      <c r="AD129" s="429" t="str">
        <f>IF('Antal &amp; Längder (vikter)'!$C$23&lt;&gt;"",'Antal &amp; Längder (vikter)'!$C$23,"XX")</f>
        <v>XX</v>
      </c>
      <c r="AE129" s="406" t="str">
        <f>IF(AND('Antal &amp; Längder (vikter)'!B$25&lt;&gt;"",ISNUMBER($AH129)),'Antal &amp; Längder (vikter)'!B$25,"")</f>
        <v/>
      </c>
      <c r="AF129" s="425" t="str">
        <f t="shared" si="4"/>
        <v/>
      </c>
      <c r="AG129" s="426" t="str">
        <f t="shared" si="5"/>
        <v/>
      </c>
      <c r="AH129" s="407" t="str">
        <f>IF('Antal &amp; Längder (vikter)'!B33&lt;&gt;"",'Antal &amp; Längder (vikter)'!B33,"XX")</f>
        <v>XX</v>
      </c>
      <c r="AI129" s="436">
        <f>IF('Antal &amp; Längder (vikter)'!C$26="Vikt (g)",'Antal &amp; Längder (vikter)'!C33,-9)</f>
        <v>-9</v>
      </c>
      <c r="AN129" s="357"/>
      <c r="AO129" s="357"/>
      <c r="AP129" s="357"/>
      <c r="AQ129" s="357"/>
      <c r="AR129" s="357"/>
      <c r="AS129" s="357"/>
      <c r="AT129" s="357"/>
      <c r="AU129" s="357"/>
      <c r="AV129" s="357"/>
    </row>
    <row r="130" spans="1:48" hidden="1" x14ac:dyDescent="0.25">
      <c r="A130" s="578" t="str">
        <f>IF(OR(COUNTIF(Protokoll!G32:P32,"D1")+COUNTIF(Protokoll!V32:AE32,"D1")&gt;0,COUNTIF(Protokoll!G33:P33,3)+COUNTIF(Protokoll!V33:AE33,3)&gt;0,Protokoll!S32="D2",Protokoll!S32="D3"),"",3)</f>
        <v/>
      </c>
      <c r="B130" s="578" t="str">
        <f>IF(OR(COUNTIF(Protokoll!G32:S32,"D1")+COUNTIF(Protokoll!Y32:AE32,"D1")&gt;0,COUNTIF(Protokoll!G33:S33,3)+COUNTIF(Protokoll!Y33:AE33,3)&gt;0,Protokoll!V32="D2",Protokoll!V32="D3"),"",3)</f>
        <v/>
      </c>
      <c r="C130" s="578" t="str">
        <f>IF(OR(COUNTIF(Protokoll!G32:V32,"D1")+COUNTIF(Protokoll!AB32:AE32,"D1")&gt;0,COUNTIF(Protokoll!G33:V33,3)+COUNTIF(Protokoll!AB33:AE33,3)&gt;0,Protokoll!Y32="D2",Protokoll!Y32="D3"),"",3)</f>
        <v/>
      </c>
      <c r="D130" s="578" t="str">
        <f>IF(OR(COUNTIF(Protokoll!G32:Y32,"D1")+COUNTIF(Protokoll!AE32,"D1")&gt;0,COUNTIF(Protokoll!G33:Y33,3)+COUNTIF(Protokoll!AE33,3)&gt;0,Protokoll!AB32="D2",Protokoll!AB32="D3"),"",3)</f>
        <v/>
      </c>
      <c r="E130" s="578" t="str">
        <f>IF(OR(COUNTIF(Protokoll!G32:AB32,"D1")&gt;0,COUNTIF(Protokoll!G33:AB33,3)&gt;0,Protokoll!AE32="D2",Protokoll!AE32="D3"),"",3)</f>
        <v/>
      </c>
      <c r="F130" s="199">
        <f>COUNTIF(J$113:J130,J130)</f>
        <v>1</v>
      </c>
      <c r="G130" t="s">
        <v>147</v>
      </c>
      <c r="H130" s="330">
        <v>2183</v>
      </c>
      <c r="I130" s="330">
        <v>21</v>
      </c>
      <c r="J130" t="s">
        <v>117</v>
      </c>
      <c r="K130" s="143"/>
      <c r="L130" s="220" t="str">
        <f>IF(Protokoll!I$1&lt;&gt;"",IF(N129=N$113,IF(AND(DMAX(F$113:J$403,F$113,O129:O130)&gt;COUNTA(L$111:L129)-2,DCOUNTA(F$113:J$403,G$113,N129:O130)=1),DGET(F$113:J$403,G$113,N129:O130),""),IF(AND(DMAX(F$113:J$403,F$113,Q129:Q130)&gt;COUNTA(L$111:L129)-2,DCOUNTA(F$113:J$403,G$113,P129:Q130)=1),DGET(F$113:J$403,G$113,P129:Q130),"")),G130)</f>
        <v/>
      </c>
      <c r="M130" s="143"/>
      <c r="N130" s="221" t="str">
        <f>IF(N129=N$113,IF(COUNT(N$113:Q129)&lt;DMAX(F$113:J$403,F$113,O129:O130),COUNT(N$113:Q129)+1,""),IF(COUNT(N$113:Q129)&lt;DMAX(F$113:J$403,F$113,Q129:Q130),N$113,""))</f>
        <v/>
      </c>
      <c r="O130" s="222" t="str">
        <f>IF(O129=O$113,IF(COUNTA(L$111:L129)-2&lt;DMAX(F$113:J$403,F$113,Q128:Q129),Protokoll!I$1,""),IF(O129&lt;&gt;"",IF(COUNTA(L$111:L129)-1&lt;DMAX(F$113:J$403,F$113,O128:O129),O$113,""),""))</f>
        <v/>
      </c>
      <c r="P130" s="223" t="str">
        <f>IF(N129=N$113,IF(COUNT(N$113:Q129)&lt;DMAX(F$113:J$403,F$113,O129:O130),N$113,""),IF(COUNT(N$113:Q129)&lt;DMAX(F$113:J$403,F$113,Q129:Q130),COUNT(N$113:Q129)+1,""))</f>
        <v/>
      </c>
      <c r="Q130" s="199" t="str">
        <f>IF(O129=O$113,IF(COUNTA(L$111:L129)-2&lt;DMAX(F$113:J$403,F$113,Q128:Q129),O$113,""),IF(Q129&lt;&gt;"",IF(COUNTA(L$111:L129)-2&lt;DMAX(F$113:J$403,F$113,O128:O129),Protokoll!I$1,""),""))</f>
        <v/>
      </c>
      <c r="T130" s="331" t="str">
        <f>IF(OR(Protokoll!$X$5&lt;&gt;"",Lokalbeskrivn!$M$4&lt;&gt;""),"",U130)</f>
        <v/>
      </c>
      <c r="U130" s="330" t="s">
        <v>1152</v>
      </c>
      <c r="V130" s="351" t="s">
        <v>1151</v>
      </c>
      <c r="W130" s="2"/>
      <c r="Y130" s="401" t="s">
        <v>1633</v>
      </c>
      <c r="Z130" s="401" t="s">
        <v>1634</v>
      </c>
      <c r="AB130" s="478" t="str">
        <f>IF(COUNT(AB123:AB129)&gt;0,MAX(AB123:AB129)+1,"")</f>
        <v/>
      </c>
      <c r="AC130" s="433" t="str">
        <f>IF(AND(AH130&lt;&gt;"",AG130&lt;&gt;"",AI130&gt;0,AH130&gt;0),MAX(AC$2:AC129)+1,"XX")</f>
        <v>XX</v>
      </c>
      <c r="AD130" s="429" t="str">
        <f>IF('Antal &amp; Längder (vikter)'!$C$23&lt;&gt;"",'Antal &amp; Längder (vikter)'!$C$23,"XX")</f>
        <v>XX</v>
      </c>
      <c r="AE130" s="406" t="str">
        <f>IF(AND('Antal &amp; Längder (vikter)'!B$25&lt;&gt;"",ISNUMBER($AH130)),'Antal &amp; Längder (vikter)'!B$25,"")</f>
        <v/>
      </c>
      <c r="AF130" s="425" t="str">
        <f t="shared" si="4"/>
        <v/>
      </c>
      <c r="AG130" s="426" t="str">
        <f t="shared" si="5"/>
        <v/>
      </c>
      <c r="AH130" s="407" t="str">
        <f>IF('Antal &amp; Längder (vikter)'!B34&lt;&gt;"",'Antal &amp; Längder (vikter)'!B34,"XX")</f>
        <v>XX</v>
      </c>
      <c r="AI130" s="436">
        <f>IF('Antal &amp; Längder (vikter)'!C$26="Vikt (g)",'Antal &amp; Längder (vikter)'!C34,-9)</f>
        <v>-9</v>
      </c>
      <c r="AN130" s="357"/>
      <c r="AO130" s="357"/>
      <c r="AP130" s="357"/>
      <c r="AQ130" s="357"/>
      <c r="AR130" s="357"/>
      <c r="AS130" s="357"/>
      <c r="AT130" s="357"/>
      <c r="AU130" s="357"/>
      <c r="AV130" s="357"/>
    </row>
    <row r="131" spans="1:48" hidden="1" x14ac:dyDescent="0.25">
      <c r="A131" s="357"/>
      <c r="B131" s="357"/>
      <c r="C131" s="357"/>
      <c r="D131" s="357"/>
      <c r="E131" s="357"/>
      <c r="F131" s="199">
        <f>COUNTIF(J$113:J131,J131)</f>
        <v>1</v>
      </c>
      <c r="G131" t="s">
        <v>148</v>
      </c>
      <c r="H131" s="330">
        <v>885</v>
      </c>
      <c r="I131" s="330">
        <v>8</v>
      </c>
      <c r="J131" t="s">
        <v>128</v>
      </c>
      <c r="K131" s="143"/>
      <c r="L131" s="220" t="str">
        <f>IF(Protokoll!I$1&lt;&gt;"",IF(N130=N$113,IF(AND(DMAX(F$113:J$403,F$113,O130:O131)&gt;COUNTA(L$111:L130)-2,DCOUNTA(F$113:J$403,G$113,N130:O131)=1),DGET(F$113:J$403,G$113,N130:O131),""),IF(AND(DMAX(F$113:J$403,F$113,Q130:Q131)&gt;COUNTA(L$111:L130)-2,DCOUNTA(F$113:J$403,G$113,P130:Q131)=1),DGET(F$113:J$403,G$113,P130:Q131),"")),G131)</f>
        <v/>
      </c>
      <c r="M131" s="143"/>
      <c r="N131" s="221" t="str">
        <f>IF(N130=N$113,IF(COUNT(N$113:Q130)&lt;DMAX(F$113:J$403,F$113,O130:O131),COUNT(N$113:Q130)+1,""),IF(COUNT(N$113:Q130)&lt;DMAX(F$113:J$403,F$113,Q130:Q131),N$113,""))</f>
        <v/>
      </c>
      <c r="O131" s="222" t="str">
        <f>IF(O130=O$113,IF(COUNTA(L$111:L130)-2&lt;DMAX(F$113:J$403,F$113,Q129:Q130),Protokoll!I$1,""),IF(O130&lt;&gt;"",IF(COUNTA(L$111:L130)-1&lt;DMAX(F$113:J$403,F$113,O129:O130),O$113,""),""))</f>
        <v/>
      </c>
      <c r="P131" s="223" t="str">
        <f>IF(N130=N$113,IF(COUNT(N$113:Q130)&lt;DMAX(F$113:J$403,F$113,O130:O131),N$113,""),IF(COUNT(N$113:Q130)&lt;DMAX(F$113:J$403,F$113,Q130:Q131),COUNT(N$113:Q130)+1,""))</f>
        <v/>
      </c>
      <c r="Q131" s="199" t="str">
        <f>IF(O130=O$113,IF(COUNTA(L$111:L130)-2&lt;DMAX(F$113:J$403,F$113,Q129:Q130),O$113,""),IF(Q130&lt;&gt;"",IF(COUNTA(L$111:L130)-2&lt;DMAX(F$113:J$403,F$113,O129:O130),Protokoll!I$1,""),""))</f>
        <v/>
      </c>
      <c r="T131" s="331" t="str">
        <f>IF(OR(Protokoll!$X$5&lt;&gt;"",Lokalbeskrivn!$M$4&lt;&gt;""),"",U131)</f>
        <v/>
      </c>
      <c r="U131" s="330" t="s">
        <v>1154</v>
      </c>
      <c r="V131" s="351" t="s">
        <v>1153</v>
      </c>
      <c r="W131" s="2"/>
      <c r="Y131" s="401" t="s">
        <v>1635</v>
      </c>
      <c r="Z131" s="401" t="s">
        <v>1636</v>
      </c>
      <c r="AB131" s="472" t="str">
        <f>IF(COUNT(AB123:AB130)&gt;0,MAX(AB123:AB130)+1,"")</f>
        <v/>
      </c>
      <c r="AC131" s="433" t="str">
        <f>IF(AND(AH131&lt;&gt;"",AG131&lt;&gt;"",AI131&gt;0,AH131&gt;0),MAX(AC$2:AC130)+1,"XX")</f>
        <v>XX</v>
      </c>
      <c r="AD131" s="429" t="str">
        <f>IF('Antal &amp; Längder (vikter)'!$C$23&lt;&gt;"",'Antal &amp; Längder (vikter)'!$C$23,"XX")</f>
        <v>XX</v>
      </c>
      <c r="AE131" s="406" t="str">
        <f>IF(AND('Antal &amp; Längder (vikter)'!B$25&lt;&gt;"",ISNUMBER($AH131)),'Antal &amp; Längder (vikter)'!B$25,"")</f>
        <v/>
      </c>
      <c r="AF131" s="425" t="str">
        <f t="shared" ref="AF131:AF194" si="6">IF(AND(ISNUMBER(AH131),AE131&lt;&gt;""),VLOOKUP(AE131,$N$2:$O$60,2,FALSE),"")</f>
        <v/>
      </c>
      <c r="AG131" s="426" t="str">
        <f t="shared" ref="AG131:AG194" si="7">IF(AF131&lt;&gt;"",VLOOKUP(AF131,O$2:U$60,7,FALSE),"")</f>
        <v/>
      </c>
      <c r="AH131" s="407" t="str">
        <f>IF('Antal &amp; Längder (vikter)'!B35&lt;&gt;"",'Antal &amp; Längder (vikter)'!B35,"XX")</f>
        <v>XX</v>
      </c>
      <c r="AI131" s="436">
        <f>IF('Antal &amp; Längder (vikter)'!C$26="Vikt (g)",'Antal &amp; Längder (vikter)'!C35,-9)</f>
        <v>-9</v>
      </c>
      <c r="AN131" s="357"/>
      <c r="AO131" s="357"/>
      <c r="AP131" s="357"/>
      <c r="AQ131" s="357"/>
      <c r="AR131" s="357"/>
      <c r="AS131" s="357"/>
      <c r="AT131" s="357"/>
      <c r="AU131" s="357"/>
      <c r="AV131" s="357"/>
    </row>
    <row r="132" spans="1:48" hidden="1" x14ac:dyDescent="0.25">
      <c r="A132" s="357"/>
      <c r="B132" s="357"/>
      <c r="C132" s="357"/>
      <c r="D132" s="357"/>
      <c r="E132" s="357"/>
      <c r="F132" s="199">
        <f>COUNTIF(J$113:J132,J132)</f>
        <v>2</v>
      </c>
      <c r="G132" t="s">
        <v>149</v>
      </c>
      <c r="H132" s="330">
        <v>2081</v>
      </c>
      <c r="I132" s="330">
        <v>20</v>
      </c>
      <c r="J132" t="s">
        <v>112</v>
      </c>
      <c r="K132" s="143"/>
      <c r="L132" s="220" t="str">
        <f>IF(Protokoll!I$1&lt;&gt;"",IF(N131=N$113,IF(AND(DMAX(F$113:J$403,F$113,O131:O132)&gt;COUNTA(L$111:L131)-2,DCOUNTA(F$113:J$403,G$113,N131:O132)=1),DGET(F$113:J$403,G$113,N131:O132),""),IF(AND(DMAX(F$113:J$403,F$113,Q131:Q132)&gt;COUNTA(L$111:L131)-2,DCOUNTA(F$113:J$403,G$113,P131:Q132)=1),DGET(F$113:J$403,G$113,P131:Q132),"")),G132)</f>
        <v/>
      </c>
      <c r="M132" s="143"/>
      <c r="N132" s="221" t="str">
        <f>IF(N131=N$113,IF(COUNT(N$113:Q131)&lt;DMAX(F$113:J$403,F$113,O131:O132),COUNT(N$113:Q131)+1,""),IF(COUNT(N$113:Q131)&lt;DMAX(F$113:J$403,F$113,Q131:Q132),N$113,""))</f>
        <v/>
      </c>
      <c r="O132" s="222" t="str">
        <f>IF(O131=O$113,IF(COUNTA(L$111:L131)-2&lt;DMAX(F$113:J$403,F$113,Q130:Q131),Protokoll!I$1,""),IF(O131&lt;&gt;"",IF(COUNTA(L$111:L131)-1&lt;DMAX(F$113:J$403,F$113,O130:O131),O$113,""),""))</f>
        <v/>
      </c>
      <c r="P132" s="223" t="str">
        <f>IF(N131=N$113,IF(COUNT(N$113:Q131)&lt;DMAX(F$113:J$403,F$113,O131:O132),N$113,""),IF(COUNT(N$113:Q131)&lt;DMAX(F$113:J$403,F$113,Q131:Q132),COUNT(N$113:Q131)+1,""))</f>
        <v/>
      </c>
      <c r="Q132" s="199" t="str">
        <f>IF(O131=O$113,IF(COUNTA(L$111:L131)-2&lt;DMAX(F$113:J$403,F$113,Q130:Q131),O$113,""),IF(Q131&lt;&gt;"",IF(COUNTA(L$111:L131)-2&lt;DMAX(F$113:J$403,F$113,O130:O131),Protokoll!I$1,""),""))</f>
        <v/>
      </c>
      <c r="T132" s="331" t="str">
        <f>IF(OR(Protokoll!$X$5&lt;&gt;"",Lokalbeskrivn!$M$4&lt;&gt;""),"",U132)</f>
        <v/>
      </c>
      <c r="U132" s="330" t="s">
        <v>1156</v>
      </c>
      <c r="V132" s="351" t="s">
        <v>1155</v>
      </c>
      <c r="W132" s="2"/>
      <c r="Y132" s="401" t="s">
        <v>1627</v>
      </c>
      <c r="Z132" s="401" t="s">
        <v>1628</v>
      </c>
      <c r="AB132" s="479" t="str">
        <f>IF(COUNT(AB123:AB131)&gt;0,MAX(AB123:AB131)+1,"")</f>
        <v/>
      </c>
      <c r="AC132" s="433" t="str">
        <f>IF(AND(AH132&lt;&gt;"",AG132&lt;&gt;"",AI132&gt;0,AH132&gt;0),MAX(AC$2:AC131)+1,"XX")</f>
        <v>XX</v>
      </c>
      <c r="AD132" s="429" t="str">
        <f>IF('Antal &amp; Längder (vikter)'!$C$23&lt;&gt;"",'Antal &amp; Längder (vikter)'!$C$23,"XX")</f>
        <v>XX</v>
      </c>
      <c r="AE132" s="406" t="str">
        <f>IF(AND('Antal &amp; Längder (vikter)'!B$25&lt;&gt;"",ISNUMBER($AH132)),'Antal &amp; Längder (vikter)'!B$25,"")</f>
        <v/>
      </c>
      <c r="AF132" s="425" t="str">
        <f t="shared" si="6"/>
        <v/>
      </c>
      <c r="AG132" s="426" t="str">
        <f t="shared" si="7"/>
        <v/>
      </c>
      <c r="AH132" s="407" t="str">
        <f>IF('Antal &amp; Längder (vikter)'!B36&lt;&gt;"",'Antal &amp; Längder (vikter)'!B36,"XX")</f>
        <v>XX</v>
      </c>
      <c r="AI132" s="436">
        <f>IF('Antal &amp; Längder (vikter)'!C$26="Vikt (g)",'Antal &amp; Längder (vikter)'!C36,-9)</f>
        <v>-9</v>
      </c>
      <c r="AN132" s="357"/>
      <c r="AO132" s="357"/>
      <c r="AP132" s="357"/>
      <c r="AQ132" s="357"/>
      <c r="AR132" s="357"/>
      <c r="AS132" s="357"/>
      <c r="AT132" s="357"/>
      <c r="AU132" s="357"/>
      <c r="AV132" s="357"/>
    </row>
    <row r="133" spans="1:48" hidden="1" x14ac:dyDescent="0.25">
      <c r="A133" s="357"/>
      <c r="B133" s="357" t="s">
        <v>2306</v>
      </c>
      <c r="C133" s="357" t="s">
        <v>2307</v>
      </c>
      <c r="D133" s="357" t="s">
        <v>2308</v>
      </c>
      <c r="E133" s="357"/>
      <c r="F133" s="199">
        <f>COUNTIF(J$113:J133,J133)</f>
        <v>5</v>
      </c>
      <c r="G133" t="s">
        <v>151</v>
      </c>
      <c r="H133" s="330">
        <v>1490</v>
      </c>
      <c r="I133" s="330">
        <v>14</v>
      </c>
      <c r="J133" t="s">
        <v>114</v>
      </c>
      <c r="K133" s="143"/>
      <c r="L133" s="220" t="str">
        <f>IF(Protokoll!I$1&lt;&gt;"",IF(N132=N$113,IF(AND(DMAX(F$113:J$403,F$113,O132:O133)&gt;COUNTA(L$111:L132)-2,DCOUNTA(F$113:J$403,G$113,N132:O133)=1),DGET(F$113:J$403,G$113,N132:O133),""),IF(AND(DMAX(F$113:J$403,F$113,Q132:Q133)&gt;COUNTA(L$111:L132)-2,DCOUNTA(F$113:J$403,G$113,P132:Q133)=1),DGET(F$113:J$403,G$113,P132:Q133),"")),G133)</f>
        <v/>
      </c>
      <c r="M133" s="143"/>
      <c r="N133" s="221" t="str">
        <f>IF(N132=N$113,IF(COUNT(N$113:Q132)&lt;DMAX(F$113:J$403,F$113,O132:O133),COUNT(N$113:Q132)+1,""),IF(COUNT(N$113:Q132)&lt;DMAX(F$113:J$403,F$113,Q132:Q133),N$113,""))</f>
        <v/>
      </c>
      <c r="O133" s="222" t="str">
        <f>IF(O132=O$113,IF(COUNTA(L$111:L132)-2&lt;DMAX(F$113:J$403,F$113,Q131:Q132),Protokoll!I$1,""),IF(O132&lt;&gt;"",IF(COUNTA(L$111:L132)-1&lt;DMAX(F$113:J$403,F$113,O131:O132),O$113,""),""))</f>
        <v/>
      </c>
      <c r="P133" s="223" t="str">
        <f>IF(N132=N$113,IF(COUNT(N$113:Q132)&lt;DMAX(F$113:J$403,F$113,O132:O133),N$113,""),IF(COUNT(N$113:Q132)&lt;DMAX(F$113:J$403,F$113,Q132:Q133),COUNT(N$113:Q132)+1,""))</f>
        <v/>
      </c>
      <c r="Q133" s="199" t="str">
        <f>IF(O132=O$113,IF(COUNTA(L$111:L132)-2&lt;DMAX(F$113:J$403,F$113,Q131:Q132),O$113,""),IF(Q132&lt;&gt;"",IF(COUNTA(L$111:L132)-2&lt;DMAX(F$113:J$403,F$113,O131:O132),Protokoll!I$1,""),""))</f>
        <v/>
      </c>
      <c r="T133" s="331" t="str">
        <f>IF(OR(Protokoll!$X$5&lt;&gt;"",Lokalbeskrivn!$M$4&lt;&gt;""),"",U133)</f>
        <v/>
      </c>
      <c r="U133" s="330" t="s">
        <v>1158</v>
      </c>
      <c r="V133" s="351" t="s">
        <v>1157</v>
      </c>
      <c r="W133" s="2"/>
      <c r="Y133" s="401" t="s">
        <v>1639</v>
      </c>
      <c r="Z133" s="401" t="s">
        <v>1640</v>
      </c>
      <c r="AB133" s="480" t="str">
        <f>IF(AND(ISNUMBER(AH133),AH133&gt;0),IF(MAX(AB$3:AB132)&gt;0,MAX(AB$3:AB132)+1,10+COUNTIF(F$38:F$49,"&gt;0")*10+1),"")</f>
        <v/>
      </c>
      <c r="AC133" s="433" t="str">
        <f>IF(AND(AH133&lt;&gt;"",AG133&lt;&gt;"",AI133&gt;0,AH133&gt;0),MAX(AC$2:AC132)+1,"XX")</f>
        <v>XX</v>
      </c>
      <c r="AD133" s="429" t="str">
        <f>IF('Antal &amp; Längder (vikter)'!$C$23&lt;&gt;"",'Antal &amp; Längder (vikter)'!$C$23,"XX")</f>
        <v>XX</v>
      </c>
      <c r="AE133" s="406" t="str">
        <f>IF(AND('Antal &amp; Längder (vikter)'!B$25&lt;&gt;"",ISNUMBER($AH133)),'Antal &amp; Längder (vikter)'!B$25,"")</f>
        <v/>
      </c>
      <c r="AF133" s="425" t="str">
        <f t="shared" si="6"/>
        <v/>
      </c>
      <c r="AG133" s="426" t="str">
        <f t="shared" si="7"/>
        <v/>
      </c>
      <c r="AH133" s="409" t="str">
        <f>IF('Antal &amp; Längder (vikter)'!C$26="Längd (mm)",IF('Antal &amp; Längder (vikter)'!C27&lt;&gt;"",'Antal &amp; Längder (vikter)'!C27,"XX"),"XX")</f>
        <v>XX</v>
      </c>
      <c r="AI133" s="7">
        <v>-9</v>
      </c>
      <c r="AN133" s="357"/>
      <c r="AO133" s="357"/>
      <c r="AP133" s="357"/>
      <c r="AQ133" s="357"/>
      <c r="AR133" s="357"/>
      <c r="AS133" s="357"/>
      <c r="AT133" s="357"/>
      <c r="AU133" s="357"/>
      <c r="AV133" s="357"/>
    </row>
    <row r="134" spans="1:48" hidden="1" x14ac:dyDescent="0.25">
      <c r="A134" s="357"/>
      <c r="B134" s="581" t="str">
        <f>IF(OR(COUNTIF(Protokoll!G34,"D1")+COUNTIF(Protokoll!M34:AE34,"D1")&gt;0,COUNTIF(Protokoll!G35,3)+COUNTIF(Protokoll!M35:AE35,3)&gt;0,AND(Protokoll!J35&lt;&gt;"",Protokoll!J35=0),Protokoll!J35=1),"","D1")</f>
        <v/>
      </c>
      <c r="C134" s="581" t="str">
        <f>IF(OR(COUNTIF(Protokoll!G34:J34,"D1")+COUNTIF(Protokoll!P34:AE34,"D1")&gt;0,COUNTIF(Protokoll!G35:J35,3)+COUNTIF(Protokoll!P35:AE35,3)&gt;0,AND(Protokoll!M35&lt;&gt;"",Protokoll!M35=0),Protokoll!M35=1),"","D1")</f>
        <v/>
      </c>
      <c r="D134" s="581" t="str">
        <f>IF(OR(COUNTIF(Protokoll!G34:M34,"D1")+COUNTIF(Protokoll!S34:AE34,"D1")&gt;0,COUNTIF(Protokoll!G35:M35,3)+COUNTIF(Protokoll!S35:AE35,3)&gt;0,AND(Protokoll!P35&lt;&gt;"",Protokoll!P35=0),Protokoll!P35=1),"","D1")</f>
        <v/>
      </c>
      <c r="E134" s="357"/>
      <c r="F134" s="199">
        <f>COUNTIF(J$113:J134,J134)</f>
        <v>1</v>
      </c>
      <c r="G134" t="s">
        <v>152</v>
      </c>
      <c r="H134" s="330">
        <v>127</v>
      </c>
      <c r="I134" s="330">
        <v>1</v>
      </c>
      <c r="J134" t="s">
        <v>136</v>
      </c>
      <c r="K134" s="143"/>
      <c r="L134" s="220" t="str">
        <f>IF(Protokoll!I$1&lt;&gt;"",IF(N133=N$113,IF(AND(DMAX(F$113:J$403,F$113,O133:O134)&gt;COUNTA(L$111:L133)-2,DCOUNTA(F$113:J$403,G$113,N133:O134)=1),DGET(F$113:J$403,G$113,N133:O134),""),IF(AND(DMAX(F$113:J$403,F$113,Q133:Q134)&gt;COUNTA(L$111:L133)-2,DCOUNTA(F$113:J$403,G$113,P133:Q134)=1),DGET(F$113:J$403,G$113,P133:Q134),"")),G134)</f>
        <v/>
      </c>
      <c r="M134" s="143"/>
      <c r="N134" s="221" t="str">
        <f>IF(N133=N$113,IF(COUNT(N$113:Q133)&lt;DMAX(F$113:J$403,F$113,O133:O134),COUNT(N$113:Q133)+1,""),IF(COUNT(N$113:Q133)&lt;DMAX(F$113:J$403,F$113,Q133:Q134),N$113,""))</f>
        <v/>
      </c>
      <c r="O134" s="222" t="str">
        <f>IF(O133=O$113,IF(COUNTA(L$111:L133)-2&lt;DMAX(F$113:J$403,F$113,Q132:Q133),Protokoll!I$1,""),IF(O133&lt;&gt;"",IF(COUNTA(L$111:L133)-1&lt;DMAX(F$113:J$403,F$113,O132:O133),O$113,""),""))</f>
        <v/>
      </c>
      <c r="P134" s="223" t="str">
        <f>IF(N133=N$113,IF(COUNT(N$113:Q133)&lt;DMAX(F$113:J$403,F$113,O133:O134),N$113,""),IF(COUNT(N$113:Q133)&lt;DMAX(F$113:J$403,F$113,Q133:Q134),COUNT(N$113:Q133)+1,""))</f>
        <v/>
      </c>
      <c r="Q134" s="199" t="str">
        <f>IF(O133=O$113,IF(COUNTA(L$111:L133)-2&lt;DMAX(F$113:J$403,F$113,Q132:Q133),O$113,""),IF(Q133&lt;&gt;"",IF(COUNTA(L$111:L133)-2&lt;DMAX(F$113:J$403,F$113,O132:O133),Protokoll!I$1,""),""))</f>
        <v/>
      </c>
      <c r="T134" s="331" t="str">
        <f>IF(OR(Protokoll!$X$5&lt;&gt;"",Lokalbeskrivn!$M$4&lt;&gt;""),"",U134)</f>
        <v/>
      </c>
      <c r="U134" s="330" t="s">
        <v>1160</v>
      </c>
      <c r="V134" s="351" t="s">
        <v>1159</v>
      </c>
      <c r="W134" s="2"/>
      <c r="Y134" s="401" t="s">
        <v>1533</v>
      </c>
      <c r="Z134" s="401" t="s">
        <v>1534</v>
      </c>
      <c r="AB134" s="476" t="str">
        <f>IF(COUNT(AB133:AB133)&gt;0,MAX(AB133:AB133)+1,"")</f>
        <v/>
      </c>
      <c r="AC134" s="433" t="str">
        <f>IF(AND(AH134&lt;&gt;"",AG134&lt;&gt;"",AI134&gt;0,AH134&gt;0),MAX(AC$2:AC133)+1,"XX")</f>
        <v>XX</v>
      </c>
      <c r="AD134" s="429" t="str">
        <f>IF('Antal &amp; Längder (vikter)'!$C$23&lt;&gt;"",'Antal &amp; Längder (vikter)'!$C$23,"XX")</f>
        <v>XX</v>
      </c>
      <c r="AE134" s="406" t="str">
        <f>IF(AND('Antal &amp; Längder (vikter)'!B$25&lt;&gt;"",ISNUMBER($AH134)),'Antal &amp; Längder (vikter)'!B$25,"")</f>
        <v/>
      </c>
      <c r="AF134" s="425" t="str">
        <f t="shared" si="6"/>
        <v/>
      </c>
      <c r="AG134" s="426" t="str">
        <f t="shared" si="7"/>
        <v/>
      </c>
      <c r="AH134" s="409" t="str">
        <f>IF('Antal &amp; Längder (vikter)'!C$26="Längd (mm)",IF('Antal &amp; Längder (vikter)'!C28&lt;&gt;"",'Antal &amp; Längder (vikter)'!C28,"XX"),"XX")</f>
        <v>XX</v>
      </c>
      <c r="AI134" s="7">
        <v>-9</v>
      </c>
      <c r="AN134" s="357"/>
      <c r="AO134" s="357"/>
      <c r="AP134" s="357"/>
      <c r="AQ134" s="357"/>
      <c r="AR134" s="357"/>
      <c r="AS134" s="357"/>
      <c r="AT134" s="357"/>
      <c r="AU134" s="357"/>
      <c r="AV134" s="357"/>
    </row>
    <row r="135" spans="1:48" hidden="1" x14ac:dyDescent="0.25">
      <c r="A135" s="357"/>
      <c r="B135" s="580" t="str">
        <f>IF(OR(COUNTIF(Protokoll!G34,"D2")+COUNTIF(Protokoll!M34:AE34,"D2")&gt;0,AND(Protokoll!J35&lt;&gt;"",Protokoll!J35=0),Protokoll!J35=3),"","D2")</f>
        <v/>
      </c>
      <c r="C135" s="580" t="str">
        <f>IF(OR(COUNTIF(Protokoll!G34:J34,"D2")+COUNTIF(Protokoll!P34:AE34,"D2")&gt;0,AND(Protokoll!M35&lt;&gt;"",Protokoll!M35=0),Protokoll!M35=3),"","D2")</f>
        <v/>
      </c>
      <c r="D135" s="580" t="str">
        <f>IF(OR(COUNTIF(Protokoll!G34:M34,"D2")+COUNTIF(Protokoll!S34:AE34,"D2")&gt;0,AND(Protokoll!P35&lt;&gt;"",Protokoll!P35=0),Protokoll!P35=3),"","D2")</f>
        <v>D2</v>
      </c>
      <c r="E135" s="357"/>
      <c r="F135" s="199">
        <f>COUNTIF(J$113:J135,J135)</f>
        <v>1</v>
      </c>
      <c r="G135" t="s">
        <v>153</v>
      </c>
      <c r="H135" s="330">
        <v>560</v>
      </c>
      <c r="I135" s="330">
        <v>5</v>
      </c>
      <c r="J135" t="s">
        <v>150</v>
      </c>
      <c r="K135" s="143"/>
      <c r="L135" s="220" t="str">
        <f>IF(Protokoll!I$1&lt;&gt;"",IF(N134=N$113,IF(AND(DMAX(F$113:J$403,F$113,O134:O135)&gt;COUNTA(L$111:L134)-2,DCOUNTA(F$113:J$403,G$113,N134:O135)=1),DGET(F$113:J$403,G$113,N134:O135),""),IF(AND(DMAX(F$113:J$403,F$113,Q134:Q135)&gt;COUNTA(L$111:L134)-2,DCOUNTA(F$113:J$403,G$113,P134:Q135)=1),DGET(F$113:J$403,G$113,P134:Q135),"")),G135)</f>
        <v/>
      </c>
      <c r="M135" s="143"/>
      <c r="N135" s="221" t="str">
        <f>IF(N134=N$113,IF(COUNT(N$113:Q134)&lt;DMAX(F$113:J$403,F$113,O134:O135),COUNT(N$113:Q134)+1,""),IF(COUNT(N$113:Q134)&lt;DMAX(F$113:J$403,F$113,Q134:Q135),N$113,""))</f>
        <v/>
      </c>
      <c r="O135" s="222" t="str">
        <f>IF(O134=O$113,IF(COUNTA(L$111:L134)-2&lt;DMAX(F$113:J$403,F$113,Q133:Q134),Protokoll!I$1,""),IF(O134&lt;&gt;"",IF(COUNTA(L$111:L134)-1&lt;DMAX(F$113:J$403,F$113,O133:O134),O$113,""),""))</f>
        <v/>
      </c>
      <c r="P135" s="223" t="str">
        <f>IF(N134=N$113,IF(COUNT(N$113:Q134)&lt;DMAX(F$113:J$403,F$113,O134:O135),N$113,""),IF(COUNT(N$113:Q134)&lt;DMAX(F$113:J$403,F$113,Q134:Q135),COUNT(N$113:Q134)+1,""))</f>
        <v/>
      </c>
      <c r="Q135" s="199" t="str">
        <f>IF(O134=O$113,IF(COUNTA(L$111:L134)-2&lt;DMAX(F$113:J$403,F$113,Q133:Q134),O$113,""),IF(Q134&lt;&gt;"",IF(COUNTA(L$111:L134)-2&lt;DMAX(F$113:J$403,F$113,O133:O134),Protokoll!I$1,""),""))</f>
        <v/>
      </c>
      <c r="T135" s="331" t="str">
        <f>IF(OR(Protokoll!$X$5&lt;&gt;"",Lokalbeskrivn!$M$4&lt;&gt;""),"",U135)</f>
        <v/>
      </c>
      <c r="U135" s="330" t="s">
        <v>1162</v>
      </c>
      <c r="V135" s="351" t="s">
        <v>1161</v>
      </c>
      <c r="W135" s="2"/>
      <c r="Y135" s="401" t="s">
        <v>1725</v>
      </c>
      <c r="Z135" s="401" t="s">
        <v>1726</v>
      </c>
      <c r="AB135" s="477" t="str">
        <f>IF(COUNT(AB133:AB134)&gt;0,MAX(AB133:AB134)+1,"")</f>
        <v/>
      </c>
      <c r="AC135" s="433" t="str">
        <f>IF(AND(AH135&lt;&gt;"",AG135&lt;&gt;"",AI135&gt;0,AH135&gt;0),MAX(AC$2:AC134)+1,"XX")</f>
        <v>XX</v>
      </c>
      <c r="AD135" s="429" t="str">
        <f>IF('Antal &amp; Längder (vikter)'!$C$23&lt;&gt;"",'Antal &amp; Längder (vikter)'!$C$23,"XX")</f>
        <v>XX</v>
      </c>
      <c r="AE135" s="406" t="str">
        <f>IF(AND('Antal &amp; Längder (vikter)'!B$25&lt;&gt;"",ISNUMBER($AH135)),'Antal &amp; Längder (vikter)'!B$25,"")</f>
        <v/>
      </c>
      <c r="AF135" s="425" t="str">
        <f t="shared" si="6"/>
        <v/>
      </c>
      <c r="AG135" s="426" t="str">
        <f t="shared" si="7"/>
        <v/>
      </c>
      <c r="AH135" s="409" t="str">
        <f>IF('Antal &amp; Längder (vikter)'!C$26="Längd (mm)",IF('Antal &amp; Längder (vikter)'!C29&lt;&gt;"",'Antal &amp; Längder (vikter)'!C29,"XX"),"XX")</f>
        <v>XX</v>
      </c>
      <c r="AI135" s="7">
        <v>-9</v>
      </c>
      <c r="AN135" s="357"/>
      <c r="AO135" s="357"/>
      <c r="AP135" s="357"/>
      <c r="AQ135" s="357"/>
      <c r="AR135" s="357"/>
      <c r="AS135" s="357"/>
      <c r="AT135" s="357"/>
      <c r="AU135" s="357"/>
      <c r="AV135" s="357"/>
    </row>
    <row r="136" spans="1:48" hidden="1" x14ac:dyDescent="0.25">
      <c r="A136" s="357"/>
      <c r="B136" s="582" t="str">
        <f>IF(OR(COUNTIF(Protokoll!G34,"D3")+COUNTIF(Protokoll!M34:AE34,"D3")&gt;0,AND(Protokoll!J35&lt;&gt;"",Protokoll!J35)=0,Protokoll!J35=3),"","D3")</f>
        <v>D3</v>
      </c>
      <c r="C136" s="582" t="str">
        <f>IF(OR(COUNTIF(Protokoll!G34:J34,"D3")+COUNTIF(Protokoll!P34:AE34,"D3")&gt;0,AND(Protokoll!M35&lt;&gt;"",Protokoll!M35=0),Protokoll!M35=3),"","D3")</f>
        <v>D3</v>
      </c>
      <c r="D136" s="582" t="str">
        <f>IF(OR(COUNTIF(Protokoll!G34:M34,"D3")+COUNTIF(Protokoll!S34:AE34,"D3")&gt;0,AND(Protokoll!P35&lt;&gt;"",Protokoll!P35=0),Protokoll!P35=3),"","D3")</f>
        <v>D3</v>
      </c>
      <c r="E136" s="357"/>
      <c r="F136" s="199">
        <f>COUNTIF(J$113:J136,J136)</f>
        <v>2</v>
      </c>
      <c r="G136" t="s">
        <v>154</v>
      </c>
      <c r="H136" s="330">
        <v>1272</v>
      </c>
      <c r="I136" s="330">
        <v>12</v>
      </c>
      <c r="J136" t="s">
        <v>134</v>
      </c>
      <c r="K136" s="143"/>
      <c r="L136" s="220" t="str">
        <f>IF(Protokoll!I$1&lt;&gt;"",IF(N135=N$113,IF(AND(DMAX(F$113:J$403,F$113,O135:O136)&gt;COUNTA(L$111:L135)-2,DCOUNTA(F$113:J$403,G$113,N135:O136)=1),DGET(F$113:J$403,G$113,N135:O136),""),IF(AND(DMAX(F$113:J$403,F$113,Q135:Q136)&gt;COUNTA(L$111:L135)-2,DCOUNTA(F$113:J$403,G$113,P135:Q136)=1),DGET(F$113:J$403,G$113,P135:Q136),"")),G136)</f>
        <v/>
      </c>
      <c r="M136" s="143"/>
      <c r="N136" s="221" t="str">
        <f>IF(N135=N$113,IF(COUNT(N$113:Q135)&lt;DMAX(F$113:J$403,F$113,O135:O136),COUNT(N$113:Q135)+1,""),IF(COUNT(N$113:Q135)&lt;DMAX(F$113:J$403,F$113,Q135:Q136),N$113,""))</f>
        <v/>
      </c>
      <c r="O136" s="222" t="str">
        <f>IF(O135=O$113,IF(COUNTA(L$111:L135)-2&lt;DMAX(F$113:J$403,F$113,Q134:Q135),Protokoll!I$1,""),IF(O135&lt;&gt;"",IF(COUNTA(L$111:L135)-1&lt;DMAX(F$113:J$403,F$113,O134:O135),O$113,""),""))</f>
        <v/>
      </c>
      <c r="P136" s="223" t="str">
        <f>IF(N135=N$113,IF(COUNT(N$113:Q135)&lt;DMAX(F$113:J$403,F$113,O135:O136),N$113,""),IF(COUNT(N$113:Q135)&lt;DMAX(F$113:J$403,F$113,Q135:Q136),COUNT(N$113:Q135)+1,""))</f>
        <v/>
      </c>
      <c r="Q136" s="199" t="str">
        <f>IF(O135=O$113,IF(COUNTA(L$111:L135)-2&lt;DMAX(F$113:J$403,F$113,Q134:Q135),O$113,""),IF(Q135&lt;&gt;"",IF(COUNTA(L$111:L135)-2&lt;DMAX(F$113:J$403,F$113,O134:O135),Protokoll!I$1,""),""))</f>
        <v/>
      </c>
      <c r="T136" s="331" t="str">
        <f>IF(OR(Protokoll!$X$5&lt;&gt;"",Lokalbeskrivn!$M$4&lt;&gt;""),"",U136)</f>
        <v/>
      </c>
      <c r="U136" s="330" t="s">
        <v>1164</v>
      </c>
      <c r="V136" s="351" t="s">
        <v>1163</v>
      </c>
      <c r="W136" s="2"/>
      <c r="Y136" s="401" t="s">
        <v>2392</v>
      </c>
      <c r="Z136" s="401" t="s">
        <v>2393</v>
      </c>
      <c r="AB136" s="434" t="str">
        <f>IF(COUNT(AB133:AB135)&gt;0,MAX(AB133:AB135)+1,"")</f>
        <v/>
      </c>
      <c r="AC136" s="433" t="str">
        <f>IF(AND(AH136&lt;&gt;"",AG136&lt;&gt;"",AI136&gt;0,AH136&gt;0),MAX(AC$2:AC135)+1,"XX")</f>
        <v>XX</v>
      </c>
      <c r="AD136" s="429" t="str">
        <f>IF('Antal &amp; Längder (vikter)'!$C$23&lt;&gt;"",'Antal &amp; Längder (vikter)'!$C$23,"XX")</f>
        <v>XX</v>
      </c>
      <c r="AE136" s="406" t="str">
        <f>IF(AND('Antal &amp; Längder (vikter)'!B$25&lt;&gt;"",ISNUMBER($AH136)),'Antal &amp; Längder (vikter)'!B$25,"")</f>
        <v/>
      </c>
      <c r="AF136" s="425" t="str">
        <f t="shared" si="6"/>
        <v/>
      </c>
      <c r="AG136" s="426" t="str">
        <f t="shared" si="7"/>
        <v/>
      </c>
      <c r="AH136" s="409" t="str">
        <f>IF('Antal &amp; Längder (vikter)'!C$26="Längd (mm)",IF('Antal &amp; Längder (vikter)'!C30&lt;&gt;"",'Antal &amp; Längder (vikter)'!C30,"XX"),"XX")</f>
        <v>XX</v>
      </c>
      <c r="AI136" s="7">
        <v>-9</v>
      </c>
      <c r="AN136" s="357"/>
      <c r="AO136" s="357"/>
      <c r="AP136" s="357"/>
      <c r="AQ136" s="357"/>
      <c r="AR136" s="357"/>
      <c r="AS136" s="357"/>
      <c r="AT136" s="357"/>
      <c r="AU136" s="357"/>
      <c r="AV136" s="357"/>
    </row>
    <row r="137" spans="1:48" hidden="1" x14ac:dyDescent="0.25">
      <c r="A137" s="357"/>
      <c r="B137" s="357"/>
      <c r="C137" s="357"/>
      <c r="D137" s="357"/>
      <c r="E137" s="357"/>
      <c r="F137" s="199">
        <f>COUNTIF(J$113:J137,J137)</f>
        <v>2</v>
      </c>
      <c r="G137" t="s">
        <v>155</v>
      </c>
      <c r="H137" s="330">
        <v>2305</v>
      </c>
      <c r="I137" s="330">
        <v>23</v>
      </c>
      <c r="J137" t="s">
        <v>123</v>
      </c>
      <c r="K137" s="143"/>
      <c r="L137" s="220" t="str">
        <f>IF(Protokoll!I$1&lt;&gt;"",IF(N136=N$113,IF(AND(DMAX(F$113:J$403,F$113,O136:O137)&gt;COUNTA(L$111:L136)-2,DCOUNTA(F$113:J$403,G$113,N136:O137)=1),DGET(F$113:J$403,G$113,N136:O137),""),IF(AND(DMAX(F$113:J$403,F$113,Q136:Q137)&gt;COUNTA(L$111:L136)-2,DCOUNTA(F$113:J$403,G$113,P136:Q137)=1),DGET(F$113:J$403,G$113,P136:Q137),"")),G137)</f>
        <v/>
      </c>
      <c r="M137" s="143"/>
      <c r="N137" s="221" t="str">
        <f>IF(N136=N$113,IF(COUNT(N$113:Q136)&lt;DMAX(F$113:J$403,F$113,O136:O137),COUNT(N$113:Q136)+1,""),IF(COUNT(N$113:Q136)&lt;DMAX(F$113:J$403,F$113,Q136:Q137),N$113,""))</f>
        <v/>
      </c>
      <c r="O137" s="222" t="str">
        <f>IF(O136=O$113,IF(COUNTA(L$111:L136)-2&lt;DMAX(F$113:J$403,F$113,Q135:Q136),Protokoll!I$1,""),IF(O136&lt;&gt;"",IF(COUNTA(L$111:L136)-1&lt;DMAX(F$113:J$403,F$113,O135:O136),O$113,""),""))</f>
        <v/>
      </c>
      <c r="P137" s="223" t="str">
        <f>IF(N136=N$113,IF(COUNT(N$113:Q136)&lt;DMAX(F$113:J$403,F$113,O136:O137),N$113,""),IF(COUNT(N$113:Q136)&lt;DMAX(F$113:J$403,F$113,Q136:Q137),COUNT(N$113:Q136)+1,""))</f>
        <v/>
      </c>
      <c r="Q137" s="199" t="str">
        <f>IF(O136=O$113,IF(COUNTA(L$111:L136)-2&lt;DMAX(F$113:J$403,F$113,Q135:Q136),O$113,""),IF(Q136&lt;&gt;"",IF(COUNTA(L$111:L136)-2&lt;DMAX(F$113:J$403,F$113,O135:O136),Protokoll!I$1,""),""))</f>
        <v/>
      </c>
      <c r="T137" s="331" t="str">
        <f>IF(OR(Protokoll!$X$5&lt;&gt;"",Lokalbeskrivn!$M$4&lt;&gt;""),"",U137)</f>
        <v/>
      </c>
      <c r="U137" s="330" t="s">
        <v>1166</v>
      </c>
      <c r="V137" s="351" t="s">
        <v>1165</v>
      </c>
      <c r="W137" s="2"/>
      <c r="Y137" s="401" t="s">
        <v>1703</v>
      </c>
      <c r="Z137" s="401" t="s">
        <v>1704</v>
      </c>
      <c r="AB137" s="475" t="str">
        <f>IF(COUNT(AB133:AB136)&gt;0,MAX(AB133:AB136)+1,"")</f>
        <v/>
      </c>
      <c r="AC137" s="433" t="str">
        <f>IF(AND(AH137&lt;&gt;"",AG137&lt;&gt;"",AI137&gt;0,AH137&gt;0),MAX(AC$2:AC136)+1,"XX")</f>
        <v>XX</v>
      </c>
      <c r="AD137" s="429" t="str">
        <f>IF('Antal &amp; Längder (vikter)'!$C$23&lt;&gt;"",'Antal &amp; Längder (vikter)'!$C$23,"XX")</f>
        <v>XX</v>
      </c>
      <c r="AE137" s="406" t="str">
        <f>IF(AND('Antal &amp; Längder (vikter)'!B$25&lt;&gt;"",ISNUMBER($AH137)),'Antal &amp; Längder (vikter)'!B$25,"")</f>
        <v/>
      </c>
      <c r="AF137" s="425" t="str">
        <f t="shared" si="6"/>
        <v/>
      </c>
      <c r="AG137" s="426" t="str">
        <f t="shared" si="7"/>
        <v/>
      </c>
      <c r="AH137" s="409" t="str">
        <f>IF('Antal &amp; Längder (vikter)'!C$26="Längd (mm)",IF('Antal &amp; Längder (vikter)'!C31&lt;&gt;"",'Antal &amp; Längder (vikter)'!C31,"XX"),"XX")</f>
        <v>XX</v>
      </c>
      <c r="AI137" s="7">
        <v>-9</v>
      </c>
      <c r="AN137" s="357"/>
      <c r="AO137" s="357"/>
      <c r="AP137" s="357"/>
      <c r="AQ137" s="357"/>
      <c r="AR137" s="357"/>
      <c r="AS137" s="357"/>
      <c r="AT137" s="357"/>
      <c r="AU137" s="357"/>
      <c r="AV137" s="357"/>
    </row>
    <row r="138" spans="1:48" hidden="1" x14ac:dyDescent="0.25">
      <c r="A138" s="357"/>
      <c r="B138" s="579" t="s">
        <v>2309</v>
      </c>
      <c r="C138" s="357" t="s">
        <v>2310</v>
      </c>
      <c r="D138" s="357" t="s">
        <v>2311</v>
      </c>
      <c r="E138" s="579"/>
      <c r="F138" s="199">
        <f>COUNTIF(J$113:J138,J138)</f>
        <v>3</v>
      </c>
      <c r="G138" t="s">
        <v>156</v>
      </c>
      <c r="H138" s="330">
        <v>1231</v>
      </c>
      <c r="I138" s="330">
        <v>12</v>
      </c>
      <c r="J138" t="s">
        <v>134</v>
      </c>
      <c r="K138" s="143"/>
      <c r="L138" s="220" t="str">
        <f>IF(Protokoll!I$1&lt;&gt;"",IF(N137=N$113,IF(AND(DMAX(F$113:J$403,F$113,O137:O138)&gt;COUNTA(L$111:L137)-2,DCOUNTA(F$113:J$403,G$113,N137:O138)=1),DGET(F$113:J$403,G$113,N137:O138),""),IF(AND(DMAX(F$113:J$403,F$113,Q137:Q138)&gt;COUNTA(L$111:L137)-2,DCOUNTA(F$113:J$403,G$113,P137:Q138)=1),DGET(F$113:J$403,G$113,P137:Q138),"")),G138)</f>
        <v/>
      </c>
      <c r="M138" s="143"/>
      <c r="N138" s="221" t="str">
        <f>IF(N137=N$113,IF(COUNT(N$113:Q137)&lt;DMAX(F$113:J$403,F$113,O137:O138),COUNT(N$113:Q137)+1,""),IF(COUNT(N$113:Q137)&lt;DMAX(F$113:J$403,F$113,Q137:Q138),N$113,""))</f>
        <v/>
      </c>
      <c r="O138" s="222" t="str">
        <f>IF(O137=O$113,IF(COUNTA(L$111:L137)-2&lt;DMAX(F$113:J$403,F$113,Q136:Q137),Protokoll!I$1,""),IF(O137&lt;&gt;"",IF(COUNTA(L$111:L137)-1&lt;DMAX(F$113:J$403,F$113,O136:O137),O$113,""),""))</f>
        <v/>
      </c>
      <c r="P138" s="223" t="str">
        <f>IF(N137=N$113,IF(COUNT(N$113:Q137)&lt;DMAX(F$113:J$403,F$113,O137:O138),N$113,""),IF(COUNT(N$113:Q137)&lt;DMAX(F$113:J$403,F$113,Q137:Q138),COUNT(N$113:Q137)+1,""))</f>
        <v/>
      </c>
      <c r="Q138" s="199" t="str">
        <f>IF(O137=O$113,IF(COUNTA(L$111:L137)-2&lt;DMAX(F$113:J$403,F$113,Q136:Q137),O$113,""),IF(Q137&lt;&gt;"",IF(COUNTA(L$111:L137)-2&lt;DMAX(F$113:J$403,F$113,O136:O137),Protokoll!I$1,""),""))</f>
        <v/>
      </c>
      <c r="T138" s="331" t="str">
        <f>IF(OR(Protokoll!$X$5&lt;&gt;"",Lokalbeskrivn!$M$4&lt;&gt;""),"",U138)</f>
        <v/>
      </c>
      <c r="U138" s="330" t="s">
        <v>1168</v>
      </c>
      <c r="V138" s="351" t="s">
        <v>1167</v>
      </c>
      <c r="W138" s="2"/>
      <c r="Y138" s="401" t="s">
        <v>1885</v>
      </c>
      <c r="Z138" s="401" t="s">
        <v>1886</v>
      </c>
      <c r="AB138" s="471" t="str">
        <f>IF(COUNT(AB133:AB137)&gt;0,MAX(AB133:AB137)+1,"")</f>
        <v/>
      </c>
      <c r="AC138" s="433" t="str">
        <f>IF(AND(AH138&lt;&gt;"",AG138&lt;&gt;"",AI138&gt;0,AH138&gt;0),MAX(AC$2:AC137)+1,"XX")</f>
        <v>XX</v>
      </c>
      <c r="AD138" s="429" t="str">
        <f>IF('Antal &amp; Längder (vikter)'!$C$23&lt;&gt;"",'Antal &amp; Längder (vikter)'!$C$23,"XX")</f>
        <v>XX</v>
      </c>
      <c r="AE138" s="406" t="str">
        <f>IF(AND('Antal &amp; Längder (vikter)'!B$25&lt;&gt;"",ISNUMBER($AH138)),'Antal &amp; Längder (vikter)'!B$25,"")</f>
        <v/>
      </c>
      <c r="AF138" s="425" t="str">
        <f t="shared" si="6"/>
        <v/>
      </c>
      <c r="AG138" s="426" t="str">
        <f t="shared" si="7"/>
        <v/>
      </c>
      <c r="AH138" s="409" t="str">
        <f>IF('Antal &amp; Längder (vikter)'!C$26="Längd (mm)",IF('Antal &amp; Längder (vikter)'!C32&lt;&gt;"",'Antal &amp; Längder (vikter)'!C32,"XX"),"XX")</f>
        <v>XX</v>
      </c>
      <c r="AI138" s="7">
        <v>-9</v>
      </c>
      <c r="AN138" s="357"/>
      <c r="AO138" s="357"/>
      <c r="AP138" s="357"/>
      <c r="AQ138" s="357"/>
      <c r="AR138" s="357"/>
      <c r="AS138" s="357"/>
      <c r="AT138" s="357"/>
      <c r="AU138" s="357"/>
      <c r="AV138" s="357"/>
    </row>
    <row r="139" spans="1:48" hidden="1" x14ac:dyDescent="0.25">
      <c r="A139" s="357"/>
      <c r="B139" s="581" t="str">
        <f>IF(OR(COUNTIF(Protokoll!G34:P34,"D1")+COUNTIF(Protokoll!V34:AE34,"D1")&gt;0,COUNTIF(Protokoll!G35:P35,3)+COUNTIF(Protokoll!V35:AE35,3)&gt;0,AND(Protokoll!S35&lt;&gt;"",Protokoll!S35=0),Protokoll!S35=1),"","D1")</f>
        <v/>
      </c>
      <c r="C139" s="581" t="str">
        <f>IF(OR(COUNTIF(Protokoll!G34:S34,"D1")+COUNTIF(Protokoll!Y34:AE34,"D1")&gt;0,COUNTIF(Protokoll!G35:S35,3)+COUNTIF(Protokoll!Y35:AE35,3)&gt;0,AND(Protokoll!V35&lt;&gt;"",Protokoll!V35=0),Protokoll!V35=1),"","D1")</f>
        <v/>
      </c>
      <c r="D139" s="581" t="str">
        <f>IF(OR(COUNTIF(Protokoll!G34:V34,"D1")+COUNTIF(Protokoll!AB34:AE34,"D1")&gt;0,COUNTIF(Protokoll!G35:V35,3)+COUNTIF(Protokoll!AB35:AE35,3)&gt;0,AND(Protokoll!Y35&lt;&gt;"",Protokoll!Y35=0),Protokoll!Y35=1),"","D1")</f>
        <v>D1</v>
      </c>
      <c r="E139" s="357"/>
      <c r="F139" s="199">
        <f>COUNTIF(J$113:J139,J139)</f>
        <v>4</v>
      </c>
      <c r="G139" t="s">
        <v>157</v>
      </c>
      <c r="H139" s="330">
        <v>1278</v>
      </c>
      <c r="I139" s="330">
        <v>12</v>
      </c>
      <c r="J139" t="s">
        <v>134</v>
      </c>
      <c r="K139" s="143"/>
      <c r="L139" s="220" t="str">
        <f>IF(Protokoll!I$1&lt;&gt;"",IF(N138=N$113,IF(AND(DMAX(F$113:J$403,F$113,O138:O139)&gt;COUNTA(L$111:L138)-2,DCOUNTA(F$113:J$403,G$113,N138:O139)=1),DGET(F$113:J$403,G$113,N138:O139),""),IF(AND(DMAX(F$113:J$403,F$113,Q138:Q139)&gt;COUNTA(L$111:L138)-2,DCOUNTA(F$113:J$403,G$113,P138:Q139)=1),DGET(F$113:J$403,G$113,P138:Q139),"")),G139)</f>
        <v/>
      </c>
      <c r="M139" s="143"/>
      <c r="N139" s="221" t="str">
        <f>IF(N138=N$113,IF(COUNT(N$113:Q138)&lt;DMAX(F$113:J$403,F$113,O138:O139),COUNT(N$113:Q138)+1,""),IF(COUNT(N$113:Q138)&lt;DMAX(F$113:J$403,F$113,Q138:Q139),N$113,""))</f>
        <v/>
      </c>
      <c r="O139" s="222" t="str">
        <f>IF(O138=O$113,IF(COUNTA(L$111:L138)-2&lt;DMAX(F$113:J$403,F$113,Q137:Q138),Protokoll!I$1,""),IF(O138&lt;&gt;"",IF(COUNTA(L$111:L138)-1&lt;DMAX(F$113:J$403,F$113,O137:O138),O$113,""),""))</f>
        <v/>
      </c>
      <c r="P139" s="223" t="str">
        <f>IF(N138=N$113,IF(COUNT(N$113:Q138)&lt;DMAX(F$113:J$403,F$113,O138:O139),N$113,""),IF(COUNT(N$113:Q138)&lt;DMAX(F$113:J$403,F$113,Q138:Q139),COUNT(N$113:Q138)+1,""))</f>
        <v/>
      </c>
      <c r="Q139" s="199" t="str">
        <f>IF(O138=O$113,IF(COUNTA(L$111:L138)-2&lt;DMAX(F$113:J$403,F$113,Q137:Q138),O$113,""),IF(Q138&lt;&gt;"",IF(COUNTA(L$111:L138)-2&lt;DMAX(F$113:J$403,F$113,O137:O138),Protokoll!I$1,""),""))</f>
        <v/>
      </c>
      <c r="T139" s="331" t="str">
        <f>IF(OR(Protokoll!$X$5&lt;&gt;"",Lokalbeskrivn!$M$4&lt;&gt;""),"",U139)</f>
        <v/>
      </c>
      <c r="U139" s="330" t="s">
        <v>1170</v>
      </c>
      <c r="V139" s="351" t="s">
        <v>1169</v>
      </c>
      <c r="W139" s="2"/>
      <c r="Y139" s="401" t="s">
        <v>1883</v>
      </c>
      <c r="Z139" s="401" t="s">
        <v>1884</v>
      </c>
      <c r="AB139" s="474" t="str">
        <f>IF(COUNT(AB133:AB138)&gt;0,MAX(AB133:AB138)+1,"")</f>
        <v/>
      </c>
      <c r="AC139" s="433" t="str">
        <f>IF(AND(AH139&lt;&gt;"",AG139&lt;&gt;"",AI139&gt;0,AH139&gt;0),MAX(AC$2:AC138)+1,"XX")</f>
        <v>XX</v>
      </c>
      <c r="AD139" s="429" t="str">
        <f>IF('Antal &amp; Längder (vikter)'!$C$23&lt;&gt;"",'Antal &amp; Längder (vikter)'!$C$23,"XX")</f>
        <v>XX</v>
      </c>
      <c r="AE139" s="406" t="str">
        <f>IF(AND('Antal &amp; Längder (vikter)'!B$25&lt;&gt;"",ISNUMBER($AH139)),'Antal &amp; Längder (vikter)'!B$25,"")</f>
        <v/>
      </c>
      <c r="AF139" s="425" t="str">
        <f t="shared" si="6"/>
        <v/>
      </c>
      <c r="AG139" s="426" t="str">
        <f t="shared" si="7"/>
        <v/>
      </c>
      <c r="AH139" s="409" t="str">
        <f>IF('Antal &amp; Längder (vikter)'!C$26="Längd (mm)",IF('Antal &amp; Längder (vikter)'!C33&lt;&gt;"",'Antal &amp; Längder (vikter)'!C33,"XX"),"XX")</f>
        <v>XX</v>
      </c>
      <c r="AI139" s="7">
        <v>-9</v>
      </c>
      <c r="AN139" s="357"/>
      <c r="AO139" s="357"/>
      <c r="AP139" s="357"/>
      <c r="AQ139" s="357"/>
      <c r="AR139" s="357"/>
      <c r="AS139" s="357"/>
      <c r="AT139" s="357"/>
      <c r="AU139" s="357"/>
      <c r="AV139" s="357"/>
    </row>
    <row r="140" spans="1:48" hidden="1" x14ac:dyDescent="0.25">
      <c r="A140" s="357"/>
      <c r="B140" s="580" t="str">
        <f>IF(OR(COUNTIF(Protokoll!G34:P34,"D2")+COUNTIF(Protokoll!V34:AE34,"D2")&gt;0,AND(Protokoll!S35&lt;&gt;"",Protokoll!S35=0),Protokoll!S35=3),"","D2")</f>
        <v/>
      </c>
      <c r="C140" s="580" t="str">
        <f>IF(OR(COUNTIF(Protokoll!G34:S34,"D2")+COUNTIF(Protokoll!Y34:AE34,"D2")&gt;0,AND(Protokoll!V35&lt;&gt;"",Protokoll!V35=0),Protokoll!V35=3),"","D2")</f>
        <v/>
      </c>
      <c r="D140" s="580" t="str">
        <f>IF(OR(COUNTIF(Protokoll!G34:V34,"D2")+COUNTIF(Protokoll!AB34:AE34,"D2")&gt;0,AND(Protokoll!Y35&lt;&gt;"",Protokoll!Y35=0),Protokoll!Y35=3),"","D2")</f>
        <v/>
      </c>
      <c r="E140" s="357"/>
      <c r="F140" s="199">
        <f>COUNTIF(J$113:J140,J140)</f>
        <v>6</v>
      </c>
      <c r="G140" t="s">
        <v>158</v>
      </c>
      <c r="H140" s="330">
        <v>1438</v>
      </c>
      <c r="I140" s="330">
        <v>14</v>
      </c>
      <c r="J140" t="s">
        <v>114</v>
      </c>
      <c r="K140" s="143"/>
      <c r="L140" s="220" t="str">
        <f>IF(Protokoll!I$1&lt;&gt;"",IF(N139=N$113,IF(AND(DMAX(F$113:J$403,F$113,O139:O140)&gt;COUNTA(L$111:L139)-2,DCOUNTA(F$113:J$403,G$113,N139:O140)=1),DGET(F$113:J$403,G$113,N139:O140),""),IF(AND(DMAX(F$113:J$403,F$113,Q139:Q140)&gt;COUNTA(L$111:L139)-2,DCOUNTA(F$113:J$403,G$113,P139:Q140)=1),DGET(F$113:J$403,G$113,P139:Q140),"")),G140)</f>
        <v/>
      </c>
      <c r="M140" s="143"/>
      <c r="N140" s="221" t="str">
        <f>IF(N139=N$113,IF(COUNT(N$113:Q139)&lt;DMAX(F$113:J$403,F$113,O139:O140),COUNT(N$113:Q139)+1,""),IF(COUNT(N$113:Q139)&lt;DMAX(F$113:J$403,F$113,Q139:Q140),N$113,""))</f>
        <v/>
      </c>
      <c r="O140" s="222" t="str">
        <f>IF(O139=O$113,IF(COUNTA(L$111:L139)-2&lt;DMAX(F$113:J$403,F$113,Q138:Q139),Protokoll!I$1,""),IF(O139&lt;&gt;"",IF(COUNTA(L$111:L139)-1&lt;DMAX(F$113:J$403,F$113,O138:O139),O$113,""),""))</f>
        <v/>
      </c>
      <c r="P140" s="223" t="str">
        <f>IF(N139=N$113,IF(COUNT(N$113:Q139)&lt;DMAX(F$113:J$403,F$113,O139:O140),N$113,""),IF(COUNT(N$113:Q139)&lt;DMAX(F$113:J$403,F$113,Q139:Q140),COUNT(N$113:Q139)+1,""))</f>
        <v/>
      </c>
      <c r="Q140" s="199" t="str">
        <f>IF(O139=O$113,IF(COUNTA(L$111:L139)-2&lt;DMAX(F$113:J$403,F$113,Q138:Q139),O$113,""),IF(Q139&lt;&gt;"",IF(COUNTA(L$111:L139)-2&lt;DMAX(F$113:J$403,F$113,O138:O139),Protokoll!I$1,""),""))</f>
        <v/>
      </c>
      <c r="T140" s="331" t="str">
        <f>IF(OR(Protokoll!$X$5&lt;&gt;"",Lokalbeskrivn!$M$4&lt;&gt;""),"",U140)</f>
        <v/>
      </c>
      <c r="U140" s="330" t="s">
        <v>1172</v>
      </c>
      <c r="V140" s="351" t="s">
        <v>1171</v>
      </c>
      <c r="W140" s="2"/>
      <c r="Y140" s="401" t="s">
        <v>2258</v>
      </c>
      <c r="Z140" s="401" t="s">
        <v>2259</v>
      </c>
      <c r="AB140" s="478" t="str">
        <f>IF(COUNT(AB133:AB139)&gt;0,MAX(AB133:AB139)+1,"")</f>
        <v/>
      </c>
      <c r="AC140" s="433" t="str">
        <f>IF(AND(AH140&lt;&gt;"",AG140&lt;&gt;"",AI140&gt;0,AH140&gt;0),MAX(AC$2:AC139)+1,"XX")</f>
        <v>XX</v>
      </c>
      <c r="AD140" s="429" t="str">
        <f>IF('Antal &amp; Längder (vikter)'!$C$23&lt;&gt;"",'Antal &amp; Längder (vikter)'!$C$23,"XX")</f>
        <v>XX</v>
      </c>
      <c r="AE140" s="406" t="str">
        <f>IF(AND('Antal &amp; Längder (vikter)'!B$25&lt;&gt;"",ISNUMBER($AH140)),'Antal &amp; Längder (vikter)'!B$25,"")</f>
        <v/>
      </c>
      <c r="AF140" s="425" t="str">
        <f t="shared" si="6"/>
        <v/>
      </c>
      <c r="AG140" s="426" t="str">
        <f t="shared" si="7"/>
        <v/>
      </c>
      <c r="AH140" s="409" t="str">
        <f>IF('Antal &amp; Längder (vikter)'!C$26="Längd (mm)",IF('Antal &amp; Längder (vikter)'!C34&lt;&gt;"",'Antal &amp; Längder (vikter)'!C34,"XX"),"XX")</f>
        <v>XX</v>
      </c>
      <c r="AI140" s="7">
        <v>-9</v>
      </c>
      <c r="AN140" s="357"/>
      <c r="AO140" s="357"/>
      <c r="AP140" s="357"/>
      <c r="AQ140" s="357"/>
      <c r="AR140" s="357"/>
      <c r="AS140" s="357"/>
      <c r="AT140" s="357"/>
      <c r="AU140" s="357"/>
      <c r="AV140" s="357"/>
    </row>
    <row r="141" spans="1:48" hidden="1" x14ac:dyDescent="0.25">
      <c r="A141" s="357"/>
      <c r="B141" s="582" t="str">
        <f>IF(OR(COUNTIF(Protokoll!G34:P34,"D3")+COUNTIF(Protokoll!V34:AE34,"D3")&gt;0,AND(Protokoll!S35&lt;&gt;"",Protokoll!S35=0),Protokoll!S35=3),"","D3")</f>
        <v>D3</v>
      </c>
      <c r="C141" s="582" t="str">
        <f>IF(OR(COUNTIF(Protokoll!G34:S34,"D3")+COUNTIF(Protokoll!Y34:AE34,"D3")&gt;0,AND(Protokoll!V35&lt;&gt;"",Protokoll!V35=0),Protokoll!V35=3),"","D3")</f>
        <v>D3</v>
      </c>
      <c r="D141" s="582" t="str">
        <f>IF(OR(COUNTIF(Protokoll!G34:V34,"D3")+COUNTIF(Protokoll!AB34:AE34,"D3")&gt;0,AND(Protokoll!Y35&lt;&gt;"",Protokoll!Y35=0),Protokoll!Y35=3),"","D3")</f>
        <v/>
      </c>
      <c r="E141" s="357"/>
      <c r="F141" s="199">
        <f>COUNTIF(J$113:J141,J141)</f>
        <v>2</v>
      </c>
      <c r="G141" t="s">
        <v>159</v>
      </c>
      <c r="H141" s="330">
        <v>162</v>
      </c>
      <c r="I141" s="330">
        <v>1</v>
      </c>
      <c r="J141" t="s">
        <v>136</v>
      </c>
      <c r="K141" s="143"/>
      <c r="L141" s="220" t="str">
        <f>IF(Protokoll!I$1&lt;&gt;"",IF(N140=N$113,IF(AND(DMAX(F$113:J$403,F$113,O140:O141)&gt;COUNTA(L$111:L140)-2,DCOUNTA(F$113:J$403,G$113,N140:O141)=1),DGET(F$113:J$403,G$113,N140:O141),""),IF(AND(DMAX(F$113:J$403,F$113,Q140:Q141)&gt;COUNTA(L$111:L140)-2,DCOUNTA(F$113:J$403,G$113,P140:Q141)=1),DGET(F$113:J$403,G$113,P140:Q141),"")),G141)</f>
        <v/>
      </c>
      <c r="M141" s="143"/>
      <c r="N141" s="221" t="str">
        <f>IF(N140=N$113,IF(COUNT(N$113:Q140)&lt;DMAX(F$113:J$403,F$113,O140:O141),COUNT(N$113:Q140)+1,""),IF(COUNT(N$113:Q140)&lt;DMAX(F$113:J$403,F$113,Q140:Q141),N$113,""))</f>
        <v/>
      </c>
      <c r="O141" s="222" t="str">
        <f>IF(O140=O$113,IF(COUNTA(L$111:L140)-2&lt;DMAX(F$113:J$403,F$113,Q139:Q140),Protokoll!I$1,""),IF(O140&lt;&gt;"",IF(COUNTA(L$111:L140)-1&lt;DMAX(F$113:J$403,F$113,O139:O140),O$113,""),""))</f>
        <v/>
      </c>
      <c r="P141" s="223" t="str">
        <f>IF(N140=N$113,IF(COUNT(N$113:Q140)&lt;DMAX(F$113:J$403,F$113,O140:O141),N$113,""),IF(COUNT(N$113:Q140)&lt;DMAX(F$113:J$403,F$113,Q140:Q141),COUNT(N$113:Q140)+1,""))</f>
        <v/>
      </c>
      <c r="Q141" s="199" t="str">
        <f>IF(O140=O$113,IF(COUNTA(L$111:L140)-2&lt;DMAX(F$113:J$403,F$113,Q139:Q140),O$113,""),IF(Q140&lt;&gt;"",IF(COUNTA(L$111:L140)-2&lt;DMAX(F$113:J$403,F$113,O139:O140),Protokoll!I$1,""),""))</f>
        <v/>
      </c>
      <c r="T141" s="331" t="str">
        <f>IF(OR(Protokoll!$X$5&lt;&gt;"",Lokalbeskrivn!$M$4&lt;&gt;""),"",U141)</f>
        <v/>
      </c>
      <c r="U141" s="330" t="s">
        <v>1174</v>
      </c>
      <c r="V141" s="351" t="s">
        <v>1173</v>
      </c>
      <c r="W141" s="2"/>
      <c r="Y141" s="401" t="s">
        <v>1641</v>
      </c>
      <c r="Z141" s="401" t="s">
        <v>1642</v>
      </c>
      <c r="AB141" s="472" t="str">
        <f>IF(COUNT(AB133:AB140)&gt;0,MAX(AB133:AB140)+1,"")</f>
        <v/>
      </c>
      <c r="AC141" s="433" t="str">
        <f>IF(AND(AH141&lt;&gt;"",AG141&lt;&gt;"",AI141&gt;0,AH141&gt;0),MAX(AC$2:AC140)+1,"XX")</f>
        <v>XX</v>
      </c>
      <c r="AD141" s="429" t="str">
        <f>IF('Antal &amp; Längder (vikter)'!$C$23&lt;&gt;"",'Antal &amp; Längder (vikter)'!$C$23,"XX")</f>
        <v>XX</v>
      </c>
      <c r="AE141" s="406" t="str">
        <f>IF(AND('Antal &amp; Längder (vikter)'!B$25&lt;&gt;"",ISNUMBER($AH141)),'Antal &amp; Längder (vikter)'!B$25,"")</f>
        <v/>
      </c>
      <c r="AF141" s="425" t="str">
        <f t="shared" si="6"/>
        <v/>
      </c>
      <c r="AG141" s="426" t="str">
        <f t="shared" si="7"/>
        <v/>
      </c>
      <c r="AH141" s="409" t="str">
        <f>IF('Antal &amp; Längder (vikter)'!C$26="Längd (mm)",IF('Antal &amp; Längder (vikter)'!C35&lt;&gt;"",'Antal &amp; Längder (vikter)'!C35,"XX"),"XX")</f>
        <v>XX</v>
      </c>
      <c r="AI141" s="7">
        <v>-9</v>
      </c>
      <c r="AN141" s="357"/>
      <c r="AO141" s="357"/>
      <c r="AP141" s="357"/>
      <c r="AQ141" s="357"/>
      <c r="AR141" s="357"/>
      <c r="AS141" s="357"/>
      <c r="AT141" s="357"/>
      <c r="AU141" s="357"/>
      <c r="AV141" s="357"/>
    </row>
    <row r="142" spans="1:48" hidden="1" x14ac:dyDescent="0.25">
      <c r="A142" s="357"/>
      <c r="B142" s="357"/>
      <c r="C142" s="357"/>
      <c r="D142" s="357"/>
      <c r="E142" s="357"/>
      <c r="F142" s="199">
        <f>COUNTIF(J$113:J142,J142)</f>
        <v>2</v>
      </c>
      <c r="G142" t="s">
        <v>160</v>
      </c>
      <c r="H142" s="330">
        <v>1862</v>
      </c>
      <c r="I142" s="330">
        <v>18</v>
      </c>
      <c r="J142" t="s">
        <v>133</v>
      </c>
      <c r="K142" s="143"/>
      <c r="L142" s="220" t="str">
        <f>IF(Protokoll!I$1&lt;&gt;"",IF(N141=N$113,IF(AND(DMAX(F$113:J$403,F$113,O141:O142)&gt;COUNTA(L$111:L141)-2,DCOUNTA(F$113:J$403,G$113,N141:O142)=1),DGET(F$113:J$403,G$113,N141:O142),""),IF(AND(DMAX(F$113:J$403,F$113,Q141:Q142)&gt;COUNTA(L$111:L141)-2,DCOUNTA(F$113:J$403,G$113,P141:Q142)=1),DGET(F$113:J$403,G$113,P141:Q142),"")),G142)</f>
        <v/>
      </c>
      <c r="M142" s="143"/>
      <c r="N142" s="221" t="str">
        <f>IF(N141=N$113,IF(COUNT(N$113:Q141)&lt;DMAX(F$113:J$403,F$113,O141:O142),COUNT(N$113:Q141)+1,""),IF(COUNT(N$113:Q141)&lt;DMAX(F$113:J$403,F$113,Q141:Q142),N$113,""))</f>
        <v/>
      </c>
      <c r="O142" s="222" t="str">
        <f>IF(O141=O$113,IF(COUNTA(L$111:L141)-2&lt;DMAX(F$113:J$403,F$113,Q140:Q141),Protokoll!I$1,""),IF(O141&lt;&gt;"",IF(COUNTA(L$111:L141)-1&lt;DMAX(F$113:J$403,F$113,O140:O141),O$113,""),""))</f>
        <v/>
      </c>
      <c r="P142" s="223" t="str">
        <f>IF(N141=N$113,IF(COUNT(N$113:Q141)&lt;DMAX(F$113:J$403,F$113,O141:O142),N$113,""),IF(COUNT(N$113:Q141)&lt;DMAX(F$113:J$403,F$113,Q141:Q142),COUNT(N$113:Q141)+1,""))</f>
        <v/>
      </c>
      <c r="Q142" s="199" t="str">
        <f>IF(O141=O$113,IF(COUNTA(L$111:L141)-2&lt;DMAX(F$113:J$403,F$113,Q140:Q141),O$113,""),IF(Q141&lt;&gt;"",IF(COUNTA(L$111:L141)-2&lt;DMAX(F$113:J$403,F$113,O140:O141),Protokoll!I$1,""),""))</f>
        <v/>
      </c>
      <c r="T142" s="331" t="str">
        <f>IF(OR(Protokoll!$X$5&lt;&gt;"",Lokalbeskrivn!$M$4&lt;&gt;""),"",U142)</f>
        <v/>
      </c>
      <c r="U142" s="330" t="s">
        <v>1176</v>
      </c>
      <c r="V142" s="351" t="s">
        <v>1175</v>
      </c>
      <c r="W142" s="2"/>
      <c r="Y142" s="401" t="s">
        <v>1643</v>
      </c>
      <c r="Z142" s="401" t="s">
        <v>1644</v>
      </c>
      <c r="AB142" s="479" t="str">
        <f>IF(COUNT(AB133:AB141)&gt;0,MAX(AB133:AB141)+1,"")</f>
        <v/>
      </c>
      <c r="AC142" s="433" t="str">
        <f>IF(AND(AH142&lt;&gt;"",AG142&lt;&gt;"",AI142&gt;0,AH142&gt;0),MAX(AC$2:AC141)+1,"XX")</f>
        <v>XX</v>
      </c>
      <c r="AD142" s="429" t="str">
        <f>IF('Antal &amp; Längder (vikter)'!$C$23&lt;&gt;"",'Antal &amp; Längder (vikter)'!$C$23,"XX")</f>
        <v>XX</v>
      </c>
      <c r="AE142" s="406" t="str">
        <f>IF(AND('Antal &amp; Längder (vikter)'!B$25&lt;&gt;"",ISNUMBER($AH142)),'Antal &amp; Längder (vikter)'!B$25,"")</f>
        <v/>
      </c>
      <c r="AF142" s="425" t="str">
        <f t="shared" si="6"/>
        <v/>
      </c>
      <c r="AG142" s="426" t="str">
        <f t="shared" si="7"/>
        <v/>
      </c>
      <c r="AH142" s="409" t="str">
        <f>IF('Antal &amp; Längder (vikter)'!C$26="Längd (mm)",IF('Antal &amp; Längder (vikter)'!C36&lt;&gt;"",'Antal &amp; Längder (vikter)'!C36,"XX"),"XX")</f>
        <v>XX</v>
      </c>
      <c r="AI142" s="7">
        <v>-9</v>
      </c>
      <c r="AN142" s="357"/>
      <c r="AO142" s="357"/>
      <c r="AP142" s="357"/>
      <c r="AQ142" s="357"/>
      <c r="AR142" s="357"/>
      <c r="AS142" s="357"/>
      <c r="AT142" s="357"/>
      <c r="AU142" s="357"/>
      <c r="AV142" s="357"/>
    </row>
    <row r="143" spans="1:48" hidden="1" x14ac:dyDescent="0.25">
      <c r="A143" s="357"/>
      <c r="B143" s="357" t="s">
        <v>2312</v>
      </c>
      <c r="C143" s="357" t="s">
        <v>2313</v>
      </c>
      <c r="D143" s="357" t="s">
        <v>2314</v>
      </c>
      <c r="E143" s="357"/>
      <c r="F143" s="199">
        <f>COUNTIF(J$113:J143,J143)</f>
        <v>2</v>
      </c>
      <c r="G143" t="s">
        <v>161</v>
      </c>
      <c r="H143" s="330">
        <v>2425</v>
      </c>
      <c r="I143" s="330">
        <v>24</v>
      </c>
      <c r="J143" t="s">
        <v>142</v>
      </c>
      <c r="K143" s="143"/>
      <c r="L143" s="220" t="str">
        <f>IF(Protokoll!I$1&lt;&gt;"",IF(N142=N$113,IF(AND(DMAX(F$113:J$403,F$113,O142:O143)&gt;COUNTA(L$111:L142)-2,DCOUNTA(F$113:J$403,G$113,N142:O143)=1),DGET(F$113:J$403,G$113,N142:O143),""),IF(AND(DMAX(F$113:J$403,F$113,Q142:Q143)&gt;COUNTA(L$111:L142)-2,DCOUNTA(F$113:J$403,G$113,P142:Q143)=1),DGET(F$113:J$403,G$113,P142:Q143),"")),G143)</f>
        <v/>
      </c>
      <c r="M143" s="143"/>
      <c r="N143" s="221" t="str">
        <f>IF(N142=N$113,IF(COUNT(N$113:Q142)&lt;DMAX(F$113:J$403,F$113,O142:O143),COUNT(N$113:Q142)+1,""),IF(COUNT(N$113:Q142)&lt;DMAX(F$113:J$403,F$113,Q142:Q143),N$113,""))</f>
        <v/>
      </c>
      <c r="O143" s="222" t="str">
        <f>IF(O142=O$113,IF(COUNTA(L$111:L142)-2&lt;DMAX(F$113:J$403,F$113,Q141:Q142),Protokoll!I$1,""),IF(O142&lt;&gt;"",IF(COUNTA(L$111:L142)-1&lt;DMAX(F$113:J$403,F$113,O141:O142),O$113,""),""))</f>
        <v/>
      </c>
      <c r="P143" s="223" t="str">
        <f>IF(N142=N$113,IF(COUNT(N$113:Q142)&lt;DMAX(F$113:J$403,F$113,O142:O143),N$113,""),IF(COUNT(N$113:Q142)&lt;DMAX(F$113:J$403,F$113,Q142:Q143),COUNT(N$113:Q142)+1,""))</f>
        <v/>
      </c>
      <c r="Q143" s="199" t="str">
        <f>IF(O142=O$113,IF(COUNTA(L$111:L142)-2&lt;DMAX(F$113:J$403,F$113,Q141:Q142),O$113,""),IF(Q142&lt;&gt;"",IF(COUNTA(L$111:L142)-2&lt;DMAX(F$113:J$403,F$113,O141:O142),Protokoll!I$1,""),""))</f>
        <v/>
      </c>
      <c r="T143" s="331" t="str">
        <f>IF(OR(Protokoll!$X$5&lt;&gt;"",Lokalbeskrivn!$M$4&lt;&gt;""),"",U143)</f>
        <v/>
      </c>
      <c r="U143" s="330" t="s">
        <v>1178</v>
      </c>
      <c r="V143" s="351" t="s">
        <v>1177</v>
      </c>
      <c r="W143" s="2"/>
      <c r="Y143" s="401" t="s">
        <v>2189</v>
      </c>
      <c r="Z143" s="401" t="s">
        <v>2190</v>
      </c>
      <c r="AB143" s="480" t="str">
        <f>IF(AND(ISNUMBER(AH143),AH143&gt;0),IF(MAX(AB$3:AB142)&gt;0,MAX(AB$3:AB142)+1,10+COUNTIF(F$38:F$49,"&gt;0")*10+1),"")</f>
        <v/>
      </c>
      <c r="AC143" s="433" t="str">
        <f>IF(AND(AH143&lt;&gt;"",AG143&lt;&gt;"",AI143&gt;0,AH143&gt;0),MAX(AC$2:AC142)+1,"XX")</f>
        <v>XX</v>
      </c>
      <c r="AD143" s="429" t="str">
        <f>IF('Antal &amp; Längder (vikter)'!$C$23&lt;&gt;"",'Antal &amp; Längder (vikter)'!$C$23,"XX")</f>
        <v>XX</v>
      </c>
      <c r="AE143" s="414" t="str">
        <f>IF(AND('Antal &amp; Längder (vikter)'!D$25&lt;&gt;"",ISNUMBER($AH143)),'Antal &amp; Längder (vikter)'!D$25,"")</f>
        <v/>
      </c>
      <c r="AF143" s="425" t="str">
        <f t="shared" si="6"/>
        <v/>
      </c>
      <c r="AG143" s="426" t="str">
        <f t="shared" si="7"/>
        <v/>
      </c>
      <c r="AH143" s="407" t="str">
        <f>IF('Antal &amp; Längder (vikter)'!D27&lt;&gt;"",'Antal &amp; Längder (vikter)'!D27,"XX")</f>
        <v>XX</v>
      </c>
      <c r="AI143" s="436">
        <f>IF('Antal &amp; Längder (vikter)'!E$26="Vikt (g)",'Antal &amp; Längder (vikter)'!E27,-9)</f>
        <v>-9</v>
      </c>
      <c r="AN143" s="357"/>
      <c r="AO143" s="357"/>
      <c r="AP143" s="357"/>
      <c r="AQ143" s="357"/>
      <c r="AR143" s="357"/>
      <c r="AS143" s="357"/>
      <c r="AT143" s="357"/>
      <c r="AU143" s="357"/>
      <c r="AV143" s="357"/>
    </row>
    <row r="144" spans="1:48" hidden="1" x14ac:dyDescent="0.25">
      <c r="A144" s="357"/>
      <c r="B144" s="581">
        <f>IF(OR(Protokoll!J34="D1",Protokoll!J34="D2",Protokoll!J34="D3"),"",0)</f>
        <v>0</v>
      </c>
      <c r="C144" s="581">
        <f>IF(OR(Protokoll!M34="D1",Protokoll!M34="D2",Protokoll!M34="D3"),"",0)</f>
        <v>0</v>
      </c>
      <c r="D144" s="581" t="str">
        <f>IF(OR(Protokoll!P34="D1",Protokoll!P34="D2",Protokoll!P34="D3"),"",0)</f>
        <v/>
      </c>
      <c r="E144" s="357"/>
      <c r="F144" s="199">
        <f>COUNTIF(J$113:J144,J144)</f>
        <v>2</v>
      </c>
      <c r="G144" t="s">
        <v>162</v>
      </c>
      <c r="H144" s="330">
        <v>1730</v>
      </c>
      <c r="I144" s="330">
        <v>17</v>
      </c>
      <c r="J144" t="s">
        <v>131</v>
      </c>
      <c r="K144" s="143"/>
      <c r="L144" s="220" t="str">
        <f>IF(Protokoll!I$1&lt;&gt;"",IF(N143=N$113,IF(AND(DMAX(F$113:J$403,F$113,O143:O144)&gt;COUNTA(L$111:L143)-2,DCOUNTA(F$113:J$403,G$113,N143:O144)=1),DGET(F$113:J$403,G$113,N143:O144),""),IF(AND(DMAX(F$113:J$403,F$113,Q143:Q144)&gt;COUNTA(L$111:L143)-2,DCOUNTA(F$113:J$403,G$113,P143:Q144)=1),DGET(F$113:J$403,G$113,P143:Q144),"")),G144)</f>
        <v/>
      </c>
      <c r="M144" s="143"/>
      <c r="N144" s="221" t="str">
        <f>IF(N143=N$113,IF(COUNT(N$113:Q143)&lt;DMAX(F$113:J$403,F$113,O143:O144),COUNT(N$113:Q143)+1,""),IF(COUNT(N$113:Q143)&lt;DMAX(F$113:J$403,F$113,Q143:Q144),N$113,""))</f>
        <v/>
      </c>
      <c r="O144" s="222" t="str">
        <f>IF(O143=O$113,IF(COUNTA(L$111:L143)-2&lt;DMAX(F$113:J$403,F$113,Q142:Q143),Protokoll!I$1,""),IF(O143&lt;&gt;"",IF(COUNTA(L$111:L143)-1&lt;DMAX(F$113:J$403,F$113,O142:O143),O$113,""),""))</f>
        <v/>
      </c>
      <c r="P144" s="223" t="str">
        <f>IF(N143=N$113,IF(COUNT(N$113:Q143)&lt;DMAX(F$113:J$403,F$113,O143:O144),N$113,""),IF(COUNT(N$113:Q143)&lt;DMAX(F$113:J$403,F$113,Q143:Q144),COUNT(N$113:Q143)+1,""))</f>
        <v/>
      </c>
      <c r="Q144" s="199" t="str">
        <f>IF(O143=O$113,IF(COUNTA(L$111:L143)-2&lt;DMAX(F$113:J$403,F$113,Q142:Q143),O$113,""),IF(Q143&lt;&gt;"",IF(COUNTA(L$111:L143)-2&lt;DMAX(F$113:J$403,F$113,O142:O143),Protokoll!I$1,""),""))</f>
        <v/>
      </c>
      <c r="T144" s="331" t="str">
        <f>IF(OR(Protokoll!$X$5&lt;&gt;"",Lokalbeskrivn!$M$4&lt;&gt;""),"",U144)</f>
        <v/>
      </c>
      <c r="U144" s="330" t="s">
        <v>1180</v>
      </c>
      <c r="V144" s="351" t="s">
        <v>1179</v>
      </c>
      <c r="W144" s="2"/>
      <c r="Y144" s="401" t="s">
        <v>1651</v>
      </c>
      <c r="Z144" s="401" t="s">
        <v>1652</v>
      </c>
      <c r="AB144" s="476" t="str">
        <f>IF(COUNT(AB143:AB143)&gt;0,MAX(AB143:AB143)+1,"")</f>
        <v/>
      </c>
      <c r="AC144" s="433" t="str">
        <f>IF(AND(AH144&lt;&gt;"",AG144&lt;&gt;"",AI144&gt;0,AH144&gt;0),MAX(AC$2:AC143)+1,"XX")</f>
        <v>XX</v>
      </c>
      <c r="AD144" s="429" t="str">
        <f>IF('Antal &amp; Längder (vikter)'!$C$23&lt;&gt;"",'Antal &amp; Längder (vikter)'!$C$23,"XX")</f>
        <v>XX</v>
      </c>
      <c r="AE144" s="414" t="str">
        <f>IF(AND('Antal &amp; Längder (vikter)'!D$25&lt;&gt;"",ISNUMBER($AH144)),'Antal &amp; Längder (vikter)'!D$25,"")</f>
        <v/>
      </c>
      <c r="AF144" s="425" t="str">
        <f t="shared" si="6"/>
        <v/>
      </c>
      <c r="AG144" s="426" t="str">
        <f t="shared" si="7"/>
        <v/>
      </c>
      <c r="AH144" s="407" t="str">
        <f>IF('Antal &amp; Längder (vikter)'!D28&lt;&gt;"",'Antal &amp; Längder (vikter)'!D28,"XX")</f>
        <v>XX</v>
      </c>
      <c r="AI144" s="436">
        <f>IF('Antal &amp; Längder (vikter)'!E$26="Vikt (g)",'Antal &amp; Längder (vikter)'!E28,-9)</f>
        <v>-9</v>
      </c>
      <c r="AN144" s="357"/>
      <c r="AO144" s="357"/>
      <c r="AP144" s="357"/>
      <c r="AQ144" s="357"/>
      <c r="AR144" s="357"/>
      <c r="AS144" s="357"/>
      <c r="AT144" s="357"/>
      <c r="AU144" s="357"/>
      <c r="AV144" s="357"/>
    </row>
    <row r="145" spans="1:48" hidden="1" x14ac:dyDescent="0.25">
      <c r="A145" s="357"/>
      <c r="B145" s="580">
        <f>IF(OR(Protokoll!J34="D1",AND(Protokoll!J34="D2",IF(ISNUMBER(HLOOKUP("D3",Protokoll!G34:AE35,2,FALSE)),IF(HLOOKUP("D3",Protokoll!G34:AE35,2,FALSE)&gt;1,TRUE,FALSE),FALSE))),"",1)</f>
        <v>1</v>
      </c>
      <c r="C145" s="580">
        <f>IF(OR(Protokoll!M34="D1",AND(Protokoll!M34="D2",IF(ISNUMBER(HLOOKUP("D3",Protokoll!G34:AE35,2,FALSE)),IF(HLOOKUP("D3",Protokoll!G34:AE35,2,FALSE)&gt;1,TRUE,FALSE),FALSE))),"",1)</f>
        <v>1</v>
      </c>
      <c r="D145" s="580">
        <f>IF(OR(Protokoll!P34="D1",AND(Protokoll!P34="D2",IF(ISNUMBER(HLOOKUP("D3",Protokoll!G34:AE35,2,FALSE)),IF(HLOOKUP("D3",Protokoll!G34:AE35,2,FALSE)&gt;1,TRUE,FALSE),FALSE))),"",1)</f>
        <v>1</v>
      </c>
      <c r="E145" s="357"/>
      <c r="F145" s="199">
        <f>COUNTIF(J$113:J145,J145)</f>
        <v>3</v>
      </c>
      <c r="G145" t="s">
        <v>163</v>
      </c>
      <c r="H145" s="330">
        <v>125</v>
      </c>
      <c r="I145" s="330">
        <v>1</v>
      </c>
      <c r="J145" t="s">
        <v>136</v>
      </c>
      <c r="K145" s="143"/>
      <c r="L145" s="220" t="str">
        <f>IF(Protokoll!I$1&lt;&gt;"",IF(N144=N$113,IF(AND(DMAX(F$113:J$403,F$113,O144:O145)&gt;COUNTA(L$111:L144)-2,DCOUNTA(F$113:J$403,G$113,N144:O145)=1),DGET(F$113:J$403,G$113,N144:O145),""),IF(AND(DMAX(F$113:J$403,F$113,Q144:Q145)&gt;COUNTA(L$111:L144)-2,DCOUNTA(F$113:J$403,G$113,P144:Q145)=1),DGET(F$113:J$403,G$113,P144:Q145),"")),G145)</f>
        <v/>
      </c>
      <c r="M145" s="143"/>
      <c r="N145" s="221" t="str">
        <f>IF(N144=N$113,IF(COUNT(N$113:Q144)&lt;DMAX(F$113:J$403,F$113,O144:O145),COUNT(N$113:Q144)+1,""),IF(COUNT(N$113:Q144)&lt;DMAX(F$113:J$403,F$113,Q144:Q145),N$113,""))</f>
        <v/>
      </c>
      <c r="O145" s="222" t="str">
        <f>IF(O144=O$113,IF(COUNTA(L$111:L144)-2&lt;DMAX(F$113:J$403,F$113,Q143:Q144),Protokoll!I$1,""),IF(O144&lt;&gt;"",IF(COUNTA(L$111:L144)-1&lt;DMAX(F$113:J$403,F$113,O143:O144),O$113,""),""))</f>
        <v/>
      </c>
      <c r="P145" s="223" t="str">
        <f>IF(N144=N$113,IF(COUNT(N$113:Q144)&lt;DMAX(F$113:J$403,F$113,O144:O145),N$113,""),IF(COUNT(N$113:Q144)&lt;DMAX(F$113:J$403,F$113,Q144:Q145),COUNT(N$113:Q144)+1,""))</f>
        <v/>
      </c>
      <c r="Q145" s="199" t="str">
        <f>IF(O144=O$113,IF(COUNTA(L$111:L144)-2&lt;DMAX(F$113:J$403,F$113,Q143:Q144),O$113,""),IF(Q144&lt;&gt;"",IF(COUNTA(L$111:L144)-2&lt;DMAX(F$113:J$403,F$113,O143:O144),Protokoll!I$1,""),""))</f>
        <v/>
      </c>
      <c r="T145" s="331" t="str">
        <f>IF(OR(Protokoll!$X$5&lt;&gt;"",Lokalbeskrivn!$M$4&lt;&gt;""),"",U145)</f>
        <v/>
      </c>
      <c r="U145" s="330" t="s">
        <v>1182</v>
      </c>
      <c r="V145" s="351" t="s">
        <v>1181</v>
      </c>
      <c r="W145" s="2"/>
      <c r="Y145" s="401" t="s">
        <v>2394</v>
      </c>
      <c r="Z145" s="401" t="s">
        <v>2395</v>
      </c>
      <c r="AB145" s="477" t="str">
        <f>IF(COUNT(AB143:AB144)&gt;0,MAX(AB143:AB144)+1,"")</f>
        <v/>
      </c>
      <c r="AC145" s="433" t="str">
        <f>IF(AND(AH145&lt;&gt;"",AG145&lt;&gt;"",AI145&gt;0,AH145&gt;0),MAX(AC$2:AC144)+1,"XX")</f>
        <v>XX</v>
      </c>
      <c r="AD145" s="429" t="str">
        <f>IF('Antal &amp; Längder (vikter)'!$C$23&lt;&gt;"",'Antal &amp; Längder (vikter)'!$C$23,"XX")</f>
        <v>XX</v>
      </c>
      <c r="AE145" s="414" t="str">
        <f>IF(AND('Antal &amp; Längder (vikter)'!D$25&lt;&gt;"",ISNUMBER($AH145)),'Antal &amp; Längder (vikter)'!D$25,"")</f>
        <v/>
      </c>
      <c r="AF145" s="425" t="str">
        <f t="shared" si="6"/>
        <v/>
      </c>
      <c r="AG145" s="426" t="str">
        <f t="shared" si="7"/>
        <v/>
      </c>
      <c r="AH145" s="407" t="str">
        <f>IF('Antal &amp; Längder (vikter)'!D29&lt;&gt;"",'Antal &amp; Längder (vikter)'!D29,"XX")</f>
        <v>XX</v>
      </c>
      <c r="AI145" s="436">
        <f>IF('Antal &amp; Längder (vikter)'!E$26="Vikt (g)",'Antal &amp; Längder (vikter)'!E29,-9)</f>
        <v>-9</v>
      </c>
      <c r="AN145" s="357"/>
      <c r="AO145" s="357"/>
      <c r="AP145" s="357"/>
      <c r="AQ145" s="357"/>
      <c r="AR145" s="357"/>
      <c r="AS145" s="357"/>
      <c r="AT145" s="357"/>
      <c r="AU145" s="357"/>
      <c r="AV145" s="357"/>
    </row>
    <row r="146" spans="1:48" hidden="1" x14ac:dyDescent="0.25">
      <c r="A146" s="357"/>
      <c r="B146" s="580">
        <f>IF(OR(AND(Protokoll!J34="D3",IF(ISNUMBER(HLOOKUP("D2",Protokoll!G34:AE35,2,FALSE)),IF(HLOOKUP("D2",Protokoll!G34:AE35,2,FALSE)=1,TRUE,FALSE),FALSE)),AND(Protokoll!J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C146" s="580">
        <f>IF(OR(AND(Protokoll!M34="D3",IF(ISNUMBER(HLOOKUP("D2",Protokoll!G34:AE35,2,FALSE)),IF(HLOOKUP("D2",Protokoll!G34:AE35,2,FALSE)=1,TRUE,FALSE),FALSE)),AND(Protokoll!M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D146" s="580">
        <f>IF(OR(AND(Protokoll!P34="D3",IF(ISNUMBER(HLOOKUP("D2",Protokoll!G34:AE35,2,FALSE)),IF(HLOOKUP("D2",Protokoll!G34:AE35,2,FALSE)=1,TRUE,FALSE),FALSE)),AND(Protokoll!P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E146" s="357"/>
      <c r="F146" s="199">
        <f>COUNTIF(J$113:J146,J146)</f>
        <v>2</v>
      </c>
      <c r="G146" t="s">
        <v>164</v>
      </c>
      <c r="H146" s="330">
        <v>686</v>
      </c>
      <c r="I146" s="330">
        <v>6</v>
      </c>
      <c r="J146" t="s">
        <v>122</v>
      </c>
      <c r="K146" s="143"/>
      <c r="L146" s="220" t="str">
        <f>IF(Protokoll!I$1&lt;&gt;"",IF(N145=N$113,IF(AND(DMAX(F$113:J$403,F$113,O145:O146)&gt;COUNTA(L$111:L145)-2,DCOUNTA(F$113:J$403,G$113,N145:O146)=1),DGET(F$113:J$403,G$113,N145:O146),""),IF(AND(DMAX(F$113:J$403,F$113,Q145:Q146)&gt;COUNTA(L$111:L145)-2,DCOUNTA(F$113:J$403,G$113,P145:Q146)=1),DGET(F$113:J$403,G$113,P145:Q146),"")),G146)</f>
        <v/>
      </c>
      <c r="M146" s="143"/>
      <c r="N146" s="221" t="str">
        <f>IF(N145=N$113,IF(COUNT(N$113:Q145)&lt;DMAX(F$113:J$403,F$113,O145:O146),COUNT(N$113:Q145)+1,""),IF(COUNT(N$113:Q145)&lt;DMAX(F$113:J$403,F$113,Q145:Q146),N$113,""))</f>
        <v/>
      </c>
      <c r="O146" s="222" t="str">
        <f>IF(O145=O$113,IF(COUNTA(L$111:L145)-2&lt;DMAX(F$113:J$403,F$113,Q144:Q145),Protokoll!I$1,""),IF(O145&lt;&gt;"",IF(COUNTA(L$111:L145)-1&lt;DMAX(F$113:J$403,F$113,O144:O145),O$113,""),""))</f>
        <v/>
      </c>
      <c r="P146" s="223" t="str">
        <f>IF(N145=N$113,IF(COUNT(N$113:Q145)&lt;DMAX(F$113:J$403,F$113,O145:O146),N$113,""),IF(COUNT(N$113:Q145)&lt;DMAX(F$113:J$403,F$113,Q145:Q146),COUNT(N$113:Q145)+1,""))</f>
        <v/>
      </c>
      <c r="Q146" s="199" t="str">
        <f>IF(O145=O$113,IF(COUNTA(L$111:L145)-2&lt;DMAX(F$113:J$403,F$113,Q144:Q145),O$113,""),IF(Q145&lt;&gt;"",IF(COUNTA(L$111:L145)-2&lt;DMAX(F$113:J$403,F$113,O144:O145),Protokoll!I$1,""),""))</f>
        <v/>
      </c>
      <c r="T146" s="331" t="str">
        <f>IF(OR(Protokoll!$X$5&lt;&gt;"",Lokalbeskrivn!$M$4&lt;&gt;""),"",U146)</f>
        <v/>
      </c>
      <c r="U146" s="330" t="s">
        <v>1184</v>
      </c>
      <c r="V146" s="351" t="s">
        <v>1183</v>
      </c>
      <c r="W146" s="2"/>
      <c r="Y146" s="401" t="s">
        <v>1689</v>
      </c>
      <c r="Z146" s="401" t="s">
        <v>1690</v>
      </c>
      <c r="AB146" s="434" t="str">
        <f>IF(COUNT(AB143:AB145)&gt;0,MAX(AB143:AB145)+1,"")</f>
        <v/>
      </c>
      <c r="AC146" s="433" t="str">
        <f>IF(AND(AH146&lt;&gt;"",AG146&lt;&gt;"",AI146&gt;0,AH146&gt;0),MAX(AC$2:AC145)+1,"XX")</f>
        <v>XX</v>
      </c>
      <c r="AD146" s="429" t="str">
        <f>IF('Antal &amp; Längder (vikter)'!$C$23&lt;&gt;"",'Antal &amp; Längder (vikter)'!$C$23,"XX")</f>
        <v>XX</v>
      </c>
      <c r="AE146" s="414" t="str">
        <f>IF(AND('Antal &amp; Längder (vikter)'!D$25&lt;&gt;"",ISNUMBER($AH146)),'Antal &amp; Längder (vikter)'!D$25,"")</f>
        <v/>
      </c>
      <c r="AF146" s="425" t="str">
        <f t="shared" si="6"/>
        <v/>
      </c>
      <c r="AG146" s="426" t="str">
        <f t="shared" si="7"/>
        <v/>
      </c>
      <c r="AH146" s="407" t="str">
        <f>IF('Antal &amp; Längder (vikter)'!D30&lt;&gt;"",'Antal &amp; Längder (vikter)'!D30,"XX")</f>
        <v>XX</v>
      </c>
      <c r="AI146" s="436">
        <f>IF('Antal &amp; Längder (vikter)'!E$26="Vikt (g)",'Antal &amp; Längder (vikter)'!E30,-9)</f>
        <v>-9</v>
      </c>
      <c r="AN146" s="357"/>
      <c r="AO146" s="357"/>
      <c r="AP146" s="357"/>
      <c r="AQ146" s="357"/>
      <c r="AR146" s="357"/>
      <c r="AS146" s="357"/>
      <c r="AT146" s="357"/>
      <c r="AU146" s="357"/>
      <c r="AV146" s="357"/>
    </row>
    <row r="147" spans="1:48" hidden="1" x14ac:dyDescent="0.25">
      <c r="A147" s="357"/>
      <c r="B147" s="582" t="str">
        <f>IF(OR(COUNTIF(Protokoll!G34,"D1")+COUNTIF(Protokoll!M34:AE34,"D1")&gt;0,COUNTIF(Protokoll!G35,3)+COUNTIF(Protokoll!M35:AE35,3)&gt;0,Protokoll!J34="D2",Protokoll!J34="D3"),"",3)</f>
        <v/>
      </c>
      <c r="C147" s="582" t="str">
        <f>IF(OR(COUNTIF(Protokoll!G34:J34,"D1")+COUNTIF(Protokoll!P34:AE34,"D1")&gt;0,COUNTIF(Protokoll!G35:J35,3)+COUNTIF(Protokoll!P35:AE35,3)&gt;0,Protokoll!M34="D2",Protokoll!M34="D3"),"",3)</f>
        <v/>
      </c>
      <c r="D147" s="582" t="str">
        <f>IF(OR(COUNTIF(Protokoll!G34:M34,"D1")+COUNTIF(Protokoll!S34:AE34,"D1")&gt;0,COUNTIF(Protokoll!G35:M35,3)+COUNTIF(Protokoll!S35:AE35,3)&gt;0,Protokoll!P34="D2",Protokoll!P34="D3"),"",3)</f>
        <v/>
      </c>
      <c r="E147" s="357"/>
      <c r="F147" s="199">
        <f>COUNTIF(J$113:J147,J147)</f>
        <v>2</v>
      </c>
      <c r="G147" t="s">
        <v>165</v>
      </c>
      <c r="H147" s="330">
        <v>862</v>
      </c>
      <c r="I147" s="330">
        <v>8</v>
      </c>
      <c r="J147" t="s">
        <v>128</v>
      </c>
      <c r="K147" s="143"/>
      <c r="L147" s="220" t="str">
        <f>IF(Protokoll!I$1&lt;&gt;"",IF(N146=N$113,IF(AND(DMAX(F$113:J$403,F$113,O146:O147)&gt;COUNTA(L$111:L146)-2,DCOUNTA(F$113:J$403,G$113,N146:O147)=1),DGET(F$113:J$403,G$113,N146:O147),""),IF(AND(DMAX(F$113:J$403,F$113,Q146:Q147)&gt;COUNTA(L$111:L146)-2,DCOUNTA(F$113:J$403,G$113,P146:Q147)=1),DGET(F$113:J$403,G$113,P146:Q147),"")),G147)</f>
        <v/>
      </c>
      <c r="M147" s="143"/>
      <c r="N147" s="221" t="str">
        <f>IF(N146=N$113,IF(COUNT(N$113:Q146)&lt;DMAX(F$113:J$403,F$113,O146:O147),COUNT(N$113:Q146)+1,""),IF(COUNT(N$113:Q146)&lt;DMAX(F$113:J$403,F$113,Q146:Q147),N$113,""))</f>
        <v/>
      </c>
      <c r="O147" s="222" t="str">
        <f>IF(O146=O$113,IF(COUNTA(L$111:L146)-2&lt;DMAX(F$113:J$403,F$113,Q145:Q146),Protokoll!I$1,""),IF(O146&lt;&gt;"",IF(COUNTA(L$111:L146)-1&lt;DMAX(F$113:J$403,F$113,O145:O146),O$113,""),""))</f>
        <v/>
      </c>
      <c r="P147" s="223" t="str">
        <f>IF(N146=N$113,IF(COUNT(N$113:Q146)&lt;DMAX(F$113:J$403,F$113,O146:O147),N$113,""),IF(COUNT(N$113:Q146)&lt;DMAX(F$113:J$403,F$113,Q146:Q147),COUNT(N$113:Q146)+1,""))</f>
        <v/>
      </c>
      <c r="Q147" s="199" t="str">
        <f>IF(O146=O$113,IF(COUNTA(L$111:L146)-2&lt;DMAX(F$113:J$403,F$113,Q145:Q146),O$113,""),IF(Q146&lt;&gt;"",IF(COUNTA(L$111:L146)-2&lt;DMAX(F$113:J$403,F$113,O145:O146),Protokoll!I$1,""),""))</f>
        <v/>
      </c>
      <c r="T147" s="331" t="str">
        <f>IF(OR(Protokoll!$X$5&lt;&gt;"",Lokalbeskrivn!$M$4&lt;&gt;""),"",U147)</f>
        <v/>
      </c>
      <c r="U147" s="330" t="s">
        <v>1186</v>
      </c>
      <c r="V147" s="351" t="s">
        <v>1185</v>
      </c>
      <c r="W147" s="2"/>
      <c r="Y147" s="401" t="s">
        <v>2396</v>
      </c>
      <c r="Z147" s="401" t="s">
        <v>2397</v>
      </c>
      <c r="AB147" s="475" t="str">
        <f>IF(COUNT(AB143:AB146)&gt;0,MAX(AB143:AB146)+1,"")</f>
        <v/>
      </c>
      <c r="AC147" s="433" t="str">
        <f>IF(AND(AH147&lt;&gt;"",AG147&lt;&gt;"",AI147&gt;0,AH147&gt;0),MAX(AC$2:AC146)+1,"XX")</f>
        <v>XX</v>
      </c>
      <c r="AD147" s="429" t="str">
        <f>IF('Antal &amp; Längder (vikter)'!$C$23&lt;&gt;"",'Antal &amp; Längder (vikter)'!$C$23,"XX")</f>
        <v>XX</v>
      </c>
      <c r="AE147" s="414" t="str">
        <f>IF(AND('Antal &amp; Längder (vikter)'!D$25&lt;&gt;"",ISNUMBER($AH147)),'Antal &amp; Längder (vikter)'!D$25,"")</f>
        <v/>
      </c>
      <c r="AF147" s="425" t="str">
        <f t="shared" si="6"/>
        <v/>
      </c>
      <c r="AG147" s="426" t="str">
        <f t="shared" si="7"/>
        <v/>
      </c>
      <c r="AH147" s="407" t="str">
        <f>IF('Antal &amp; Längder (vikter)'!D31&lt;&gt;"",'Antal &amp; Längder (vikter)'!D31,"XX")</f>
        <v>XX</v>
      </c>
      <c r="AI147" s="436">
        <f>IF('Antal &amp; Längder (vikter)'!E$26="Vikt (g)",'Antal &amp; Längder (vikter)'!E31,-9)</f>
        <v>-9</v>
      </c>
      <c r="AN147" s="357"/>
      <c r="AO147" s="357"/>
      <c r="AP147" s="357"/>
      <c r="AQ147" s="357"/>
      <c r="AR147" s="357"/>
      <c r="AS147" s="357"/>
      <c r="AT147" s="357"/>
      <c r="AU147" s="357"/>
      <c r="AV147" s="357"/>
    </row>
    <row r="148" spans="1:48" hidden="1" x14ac:dyDescent="0.25">
      <c r="A148" s="357"/>
      <c r="B148" s="357"/>
      <c r="C148" s="357"/>
      <c r="D148" s="357"/>
      <c r="E148" s="579"/>
      <c r="F148" s="199">
        <f>COUNTIF(J$113:J148,J148)</f>
        <v>1</v>
      </c>
      <c r="G148" t="s">
        <v>166</v>
      </c>
      <c r="H148" s="330">
        <v>381</v>
      </c>
      <c r="I148" s="330">
        <v>3</v>
      </c>
      <c r="J148" t="s">
        <v>140</v>
      </c>
      <c r="K148" s="143"/>
      <c r="L148" s="220" t="str">
        <f>IF(Protokoll!I$1&lt;&gt;"",IF(N147=N$113,IF(AND(DMAX(F$113:J$403,F$113,O147:O148)&gt;COUNTA(L$111:L147)-2,DCOUNTA(F$113:J$403,G$113,N147:O148)=1),DGET(F$113:J$403,G$113,N147:O148),""),IF(AND(DMAX(F$113:J$403,F$113,Q147:Q148)&gt;COUNTA(L$111:L147)-2,DCOUNTA(F$113:J$403,G$113,P147:Q148)=1),DGET(F$113:J$403,G$113,P147:Q148),"")),G148)</f>
        <v/>
      </c>
      <c r="M148" s="143"/>
      <c r="N148" s="221" t="str">
        <f>IF(N147=N$113,IF(COUNT(N$113:Q147)&lt;DMAX(F$113:J$403,F$113,O147:O148),COUNT(N$113:Q147)+1,""),IF(COUNT(N$113:Q147)&lt;DMAX(F$113:J$403,F$113,Q147:Q148),N$113,""))</f>
        <v/>
      </c>
      <c r="O148" s="222" t="str">
        <f>IF(O147=O$113,IF(COUNTA(L$111:L147)-2&lt;DMAX(F$113:J$403,F$113,Q146:Q147),Protokoll!I$1,""),IF(O147&lt;&gt;"",IF(COUNTA(L$111:L147)-1&lt;DMAX(F$113:J$403,F$113,O146:O147),O$113,""),""))</f>
        <v/>
      </c>
      <c r="P148" s="223" t="str">
        <f>IF(N147=N$113,IF(COUNT(N$113:Q147)&lt;DMAX(F$113:J$403,F$113,O147:O148),N$113,""),IF(COUNT(N$113:Q147)&lt;DMAX(F$113:J$403,F$113,Q147:Q148),COUNT(N$113:Q147)+1,""))</f>
        <v/>
      </c>
      <c r="Q148" s="199" t="str">
        <f>IF(O147=O$113,IF(COUNTA(L$111:L147)-2&lt;DMAX(F$113:J$403,F$113,Q146:Q147),O$113,""),IF(Q147&lt;&gt;"",IF(COUNTA(L$111:L147)-2&lt;DMAX(F$113:J$403,F$113,O146:O147),Protokoll!I$1,""),""))</f>
        <v/>
      </c>
      <c r="T148" s="331" t="str">
        <f>IF(OR(Protokoll!$X$5&lt;&gt;"",Lokalbeskrivn!$M$4&lt;&gt;""),"",U148)</f>
        <v/>
      </c>
      <c r="U148" s="330" t="s">
        <v>1188</v>
      </c>
      <c r="V148" s="351" t="s">
        <v>1187</v>
      </c>
      <c r="W148" s="2"/>
      <c r="Y148" s="401" t="s">
        <v>2151</v>
      </c>
      <c r="Z148" s="401" t="s">
        <v>2152</v>
      </c>
      <c r="AB148" s="471" t="str">
        <f>IF(COUNT(AB143:AB147)&gt;0,MAX(AB143:AB147)+1,"")</f>
        <v/>
      </c>
      <c r="AC148" s="433" t="str">
        <f>IF(AND(AH148&lt;&gt;"",AG148&lt;&gt;"",AI148&gt;0,AH148&gt;0),MAX(AC$2:AC147)+1,"XX")</f>
        <v>XX</v>
      </c>
      <c r="AD148" s="429" t="str">
        <f>IF('Antal &amp; Längder (vikter)'!$C$23&lt;&gt;"",'Antal &amp; Längder (vikter)'!$C$23,"XX")</f>
        <v>XX</v>
      </c>
      <c r="AE148" s="414" t="str">
        <f>IF(AND('Antal &amp; Längder (vikter)'!D$25&lt;&gt;"",ISNUMBER($AH148)),'Antal &amp; Längder (vikter)'!D$25,"")</f>
        <v/>
      </c>
      <c r="AF148" s="425" t="str">
        <f t="shared" si="6"/>
        <v/>
      </c>
      <c r="AG148" s="426" t="str">
        <f t="shared" si="7"/>
        <v/>
      </c>
      <c r="AH148" s="407" t="str">
        <f>IF('Antal &amp; Längder (vikter)'!D32&lt;&gt;"",'Antal &amp; Längder (vikter)'!D32,"XX")</f>
        <v>XX</v>
      </c>
      <c r="AI148" s="436">
        <f>IF('Antal &amp; Längder (vikter)'!E$26="Vikt (g)",'Antal &amp; Längder (vikter)'!E32,-9)</f>
        <v>-9</v>
      </c>
      <c r="AN148" s="357"/>
      <c r="AO148" s="357"/>
      <c r="AP148" s="357"/>
      <c r="AQ148" s="357"/>
      <c r="AR148" s="357"/>
      <c r="AS148" s="357"/>
      <c r="AT148" s="357"/>
      <c r="AU148" s="357"/>
      <c r="AV148" s="357"/>
    </row>
    <row r="149" spans="1:48" hidden="1" x14ac:dyDescent="0.25">
      <c r="A149" s="357"/>
      <c r="B149" s="357" t="s">
        <v>2315</v>
      </c>
      <c r="C149" s="357" t="s">
        <v>2316</v>
      </c>
      <c r="D149" s="357" t="s">
        <v>2317</v>
      </c>
      <c r="E149" s="579"/>
      <c r="F149" s="199">
        <f>COUNTIF(J$113:J149,J149)</f>
        <v>1</v>
      </c>
      <c r="G149" t="s">
        <v>168</v>
      </c>
      <c r="H149" s="330">
        <v>484</v>
      </c>
      <c r="I149" s="330">
        <v>4</v>
      </c>
      <c r="J149" t="s">
        <v>138</v>
      </c>
      <c r="K149" s="143"/>
      <c r="L149" s="220" t="str">
        <f>IF(Protokoll!I$1&lt;&gt;"",IF(N148=N$113,IF(AND(DMAX(F$113:J$403,F$113,O148:O149)&gt;COUNTA(L$111:L148)-2,DCOUNTA(F$113:J$403,G$113,N148:O149)=1),DGET(F$113:J$403,G$113,N148:O149),""),IF(AND(DMAX(F$113:J$403,F$113,Q148:Q149)&gt;COUNTA(L$111:L148)-2,DCOUNTA(F$113:J$403,G$113,P148:Q149)=1),DGET(F$113:J$403,G$113,P148:Q149),"")),G149)</f>
        <v/>
      </c>
      <c r="M149" s="143"/>
      <c r="N149" s="221" t="str">
        <f>IF(N148=N$113,IF(COUNT(N$113:Q148)&lt;DMAX(F$113:J$403,F$113,O148:O149),COUNT(N$113:Q148)+1,""),IF(COUNT(N$113:Q148)&lt;DMAX(F$113:J$403,F$113,Q148:Q149),N$113,""))</f>
        <v/>
      </c>
      <c r="O149" s="222" t="str">
        <f>IF(O148=O$113,IF(COUNTA(L$111:L148)-2&lt;DMAX(F$113:J$403,F$113,Q147:Q148),Protokoll!I$1,""),IF(O148&lt;&gt;"",IF(COUNTA(L$111:L148)-1&lt;DMAX(F$113:J$403,F$113,O147:O148),O$113,""),""))</f>
        <v/>
      </c>
      <c r="P149" s="223" t="str">
        <f>IF(N148=N$113,IF(COUNT(N$113:Q148)&lt;DMAX(F$113:J$403,F$113,O148:O149),N$113,""),IF(COUNT(N$113:Q148)&lt;DMAX(F$113:J$403,F$113,Q148:Q149),COUNT(N$113:Q148)+1,""))</f>
        <v/>
      </c>
      <c r="Q149" s="199" t="str">
        <f>IF(O148=O$113,IF(COUNTA(L$111:L148)-2&lt;DMAX(F$113:J$403,F$113,Q147:Q148),O$113,""),IF(Q148&lt;&gt;"",IF(COUNTA(L$111:L148)-2&lt;DMAX(F$113:J$403,F$113,O147:O148),Protokoll!I$1,""),""))</f>
        <v/>
      </c>
      <c r="T149" s="331" t="str">
        <f>IF(OR(Protokoll!$X$5&lt;&gt;"",Lokalbeskrivn!$M$4&lt;&gt;""),"",U149)</f>
        <v/>
      </c>
      <c r="U149" s="330" t="s">
        <v>1190</v>
      </c>
      <c r="V149" s="351" t="s">
        <v>1189</v>
      </c>
      <c r="W149" s="2"/>
      <c r="Y149" s="401" t="s">
        <v>2398</v>
      </c>
      <c r="Z149" s="401" t="s">
        <v>2399</v>
      </c>
      <c r="AB149" s="474" t="str">
        <f>IF(COUNT(AB143:AB148)&gt;0,MAX(AB143:AB148)+1,"")</f>
        <v/>
      </c>
      <c r="AC149" s="433" t="str">
        <f>IF(AND(AH149&lt;&gt;"",AG149&lt;&gt;"",AI149&gt;0,AH149&gt;0),MAX(AC$2:AC148)+1,"XX")</f>
        <v>XX</v>
      </c>
      <c r="AD149" s="429" t="str">
        <f>IF('Antal &amp; Längder (vikter)'!$C$23&lt;&gt;"",'Antal &amp; Längder (vikter)'!$C$23,"XX")</f>
        <v>XX</v>
      </c>
      <c r="AE149" s="414" t="str">
        <f>IF(AND('Antal &amp; Längder (vikter)'!D$25&lt;&gt;"",ISNUMBER($AH149)),'Antal &amp; Längder (vikter)'!D$25,"")</f>
        <v/>
      </c>
      <c r="AF149" s="425" t="str">
        <f t="shared" si="6"/>
        <v/>
      </c>
      <c r="AG149" s="426" t="str">
        <f t="shared" si="7"/>
        <v/>
      </c>
      <c r="AH149" s="407" t="str">
        <f>IF('Antal &amp; Längder (vikter)'!D33&lt;&gt;"",'Antal &amp; Längder (vikter)'!D33,"XX")</f>
        <v>XX</v>
      </c>
      <c r="AI149" s="436">
        <f>IF('Antal &amp; Längder (vikter)'!E$26="Vikt (g)",'Antal &amp; Längder (vikter)'!E33,-9)</f>
        <v>-9</v>
      </c>
      <c r="AN149" s="357"/>
      <c r="AO149" s="357"/>
      <c r="AP149" s="357"/>
      <c r="AQ149" s="357"/>
      <c r="AR149" s="357"/>
      <c r="AS149" s="357"/>
      <c r="AT149" s="357"/>
      <c r="AU149" s="357"/>
      <c r="AV149" s="357"/>
    </row>
    <row r="150" spans="1:48" hidden="1" x14ac:dyDescent="0.25">
      <c r="A150" s="357"/>
      <c r="B150" s="581">
        <f>IF(OR(Protokoll!S34="D1",Protokoll!S34="D2",Protokoll!S34="D3"),"",0)</f>
        <v>0</v>
      </c>
      <c r="C150" s="581">
        <f>IF(OR(Protokoll!V34="D1",Protokoll!V34="D2",Protokoll!V34="D3"),"",0)</f>
        <v>0</v>
      </c>
      <c r="D150" s="581" t="str">
        <f>IF(OR(Protokoll!Y34="D1",Protokoll!Y34="D2",Protokoll!Y34="D3"),"",0)</f>
        <v/>
      </c>
      <c r="E150" s="579"/>
      <c r="F150" s="199">
        <f>COUNTIF(J$113:J150,J150)</f>
        <v>5</v>
      </c>
      <c r="G150" t="s">
        <v>169</v>
      </c>
      <c r="H150" s="330">
        <v>1285</v>
      </c>
      <c r="I150" s="330">
        <v>12</v>
      </c>
      <c r="J150" t="s">
        <v>134</v>
      </c>
      <c r="K150" s="143"/>
      <c r="L150" s="220" t="str">
        <f>IF(Protokoll!I$1&lt;&gt;"",IF(N149=N$113,IF(AND(DMAX(F$113:J$403,F$113,O149:O150)&gt;COUNTA(L$111:L149)-2,DCOUNTA(F$113:J$403,G$113,N149:O150)=1),DGET(F$113:J$403,G$113,N149:O150),""),IF(AND(DMAX(F$113:J$403,F$113,Q149:Q150)&gt;COUNTA(L$111:L149)-2,DCOUNTA(F$113:J$403,G$113,P149:Q150)=1),DGET(F$113:J$403,G$113,P149:Q150),"")),G150)</f>
        <v/>
      </c>
      <c r="M150" s="143"/>
      <c r="N150" s="221" t="str">
        <f>IF(N149=N$113,IF(COUNT(N$113:Q149)&lt;DMAX(F$113:J$403,F$113,O149:O150),COUNT(N$113:Q149)+1,""),IF(COUNT(N$113:Q149)&lt;DMAX(F$113:J$403,F$113,Q149:Q150),N$113,""))</f>
        <v/>
      </c>
      <c r="O150" s="222" t="str">
        <f>IF(O149=O$113,IF(COUNTA(L$111:L149)-2&lt;DMAX(F$113:J$403,F$113,Q148:Q149),Protokoll!I$1,""),IF(O149&lt;&gt;"",IF(COUNTA(L$111:L149)-1&lt;DMAX(F$113:J$403,F$113,O148:O149),O$113,""),""))</f>
        <v/>
      </c>
      <c r="P150" s="223" t="str">
        <f>IF(N149=N$113,IF(COUNT(N$113:Q149)&lt;DMAX(F$113:J$403,F$113,O149:O150),N$113,""),IF(COUNT(N$113:Q149)&lt;DMAX(F$113:J$403,F$113,Q149:Q150),COUNT(N$113:Q149)+1,""))</f>
        <v/>
      </c>
      <c r="Q150" s="199" t="str">
        <f>IF(O149=O$113,IF(COUNTA(L$111:L149)-2&lt;DMAX(F$113:J$403,F$113,Q148:Q149),O$113,""),IF(Q149&lt;&gt;"",IF(COUNTA(L$111:L149)-2&lt;DMAX(F$113:J$403,F$113,O148:O149),Protokoll!I$1,""),""))</f>
        <v/>
      </c>
      <c r="T150" s="331" t="str">
        <f>IF(OR(Protokoll!$X$5&lt;&gt;"",Lokalbeskrivn!$M$4&lt;&gt;""),"",U150)</f>
        <v/>
      </c>
      <c r="U150" s="330" t="s">
        <v>1192</v>
      </c>
      <c r="V150" s="351" t="s">
        <v>1191</v>
      </c>
      <c r="W150" s="2"/>
      <c r="Y150" s="401" t="s">
        <v>2400</v>
      </c>
      <c r="Z150" s="401" t="s">
        <v>2401</v>
      </c>
      <c r="AB150" s="478" t="str">
        <f>IF(COUNT(AB143:AB149)&gt;0,MAX(AB143:AB149)+1,"")</f>
        <v/>
      </c>
      <c r="AC150" s="433" t="str">
        <f>IF(AND(AH150&lt;&gt;"",AG150&lt;&gt;"",AI150&gt;0,AH150&gt;0),MAX(AC$2:AC149)+1,"XX")</f>
        <v>XX</v>
      </c>
      <c r="AD150" s="429" t="str">
        <f>IF('Antal &amp; Längder (vikter)'!$C$23&lt;&gt;"",'Antal &amp; Längder (vikter)'!$C$23,"XX")</f>
        <v>XX</v>
      </c>
      <c r="AE150" s="414" t="str">
        <f>IF(AND('Antal &amp; Längder (vikter)'!D$25&lt;&gt;"",ISNUMBER($AH150)),'Antal &amp; Längder (vikter)'!D$25,"")</f>
        <v/>
      </c>
      <c r="AF150" s="425" t="str">
        <f t="shared" si="6"/>
        <v/>
      </c>
      <c r="AG150" s="426" t="str">
        <f t="shared" si="7"/>
        <v/>
      </c>
      <c r="AH150" s="407" t="str">
        <f>IF('Antal &amp; Längder (vikter)'!D34&lt;&gt;"",'Antal &amp; Längder (vikter)'!D34,"XX")</f>
        <v>XX</v>
      </c>
      <c r="AI150" s="436">
        <f>IF('Antal &amp; Längder (vikter)'!E$26="Vikt (g)",'Antal &amp; Längder (vikter)'!E34,-9)</f>
        <v>-9</v>
      </c>
      <c r="AN150" s="357"/>
      <c r="AO150" s="357"/>
      <c r="AP150" s="357"/>
      <c r="AQ150" s="357"/>
      <c r="AR150" s="357"/>
      <c r="AS150" s="357"/>
      <c r="AT150" s="357"/>
      <c r="AU150" s="357"/>
      <c r="AV150" s="357"/>
    </row>
    <row r="151" spans="1:48" hidden="1" x14ac:dyDescent="0.25">
      <c r="A151" s="357"/>
      <c r="B151" s="580">
        <f>IF(OR(Protokoll!S34="D1",AND(Protokoll!S34="D2",IF(ISNUMBER(HLOOKUP("D3",Protokoll!G34:AE35,2,FALSE)),IF(HLOOKUP("D3",Protokoll!G34:AE35,2,FALSE)&gt;1,TRUE,FALSE),FALSE))),"",1)</f>
        <v>1</v>
      </c>
      <c r="C151" s="580">
        <f>IF(OR(Protokoll!V34="D1",AND(Protokoll!V34="D2",IF(ISNUMBER(HLOOKUP("D3",Protokoll!G34:AE35,2,FALSE)),IF(HLOOKUP("D3",Protokoll!G34:AE35,2,FALSE)&gt;1,TRUE,FALSE),FALSE))),"",1)</f>
        <v>1</v>
      </c>
      <c r="D151" s="580" t="str">
        <f>IF(OR(Protokoll!Y34="D1",AND(Protokoll!Y34="D2",IF(ISNUMBER(HLOOKUP("D3",Protokoll!G34:AE35,2,FALSE)),IF(HLOOKUP("D3",Protokoll!G34:AE35,2,FALSE)&gt;1,TRUE,FALSE),FALSE))),"",1)</f>
        <v/>
      </c>
      <c r="E151" s="579"/>
      <c r="F151" s="199">
        <f>COUNTIF(J$113:J151,J151)</f>
        <v>7</v>
      </c>
      <c r="G151" t="s">
        <v>170</v>
      </c>
      <c r="H151" s="330">
        <v>1445</v>
      </c>
      <c r="I151" s="330">
        <v>14</v>
      </c>
      <c r="J151" t="s">
        <v>114</v>
      </c>
      <c r="K151" s="143"/>
      <c r="L151" s="220" t="str">
        <f>IF(Protokoll!I$1&lt;&gt;"",IF(N150=N$113,IF(AND(DMAX(F$113:J$403,F$113,O150:O151)&gt;COUNTA(L$111:L150)-2,DCOUNTA(F$113:J$403,G$113,N150:O151)=1),DGET(F$113:J$403,G$113,N150:O151),""),IF(AND(DMAX(F$113:J$403,F$113,Q150:Q151)&gt;COUNTA(L$111:L150)-2,DCOUNTA(F$113:J$403,G$113,P150:Q151)=1),DGET(F$113:J$403,G$113,P150:Q151),"")),G151)</f>
        <v/>
      </c>
      <c r="M151" s="143"/>
      <c r="N151" s="221" t="str">
        <f>IF(N150=N$113,IF(COUNT(N$113:Q150)&lt;DMAX(F$113:J$403,F$113,O150:O151),COUNT(N$113:Q150)+1,""),IF(COUNT(N$113:Q150)&lt;DMAX(F$113:J$403,F$113,Q150:Q151),N$113,""))</f>
        <v/>
      </c>
      <c r="O151" s="222" t="str">
        <f>IF(O150=O$113,IF(COUNTA(L$111:L150)-2&lt;DMAX(F$113:J$403,F$113,Q149:Q150),Protokoll!I$1,""),IF(O150&lt;&gt;"",IF(COUNTA(L$111:L150)-1&lt;DMAX(F$113:J$403,F$113,O149:O150),O$113,""),""))</f>
        <v/>
      </c>
      <c r="P151" s="223" t="str">
        <f>IF(N150=N$113,IF(COUNT(N$113:Q150)&lt;DMAX(F$113:J$403,F$113,O150:O151),N$113,""),IF(COUNT(N$113:Q150)&lt;DMAX(F$113:J$403,F$113,Q150:Q151),COUNT(N$113:Q150)+1,""))</f>
        <v/>
      </c>
      <c r="Q151" s="199" t="str">
        <f>IF(O150=O$113,IF(COUNTA(L$111:L150)-2&lt;DMAX(F$113:J$403,F$113,Q149:Q150),O$113,""),IF(Q150&lt;&gt;"",IF(COUNTA(L$111:L150)-2&lt;DMAX(F$113:J$403,F$113,O149:O150),Protokoll!I$1,""),""))</f>
        <v/>
      </c>
      <c r="T151" s="331" t="str">
        <f>IF(OR(Protokoll!$X$5&lt;&gt;"",Lokalbeskrivn!$M$4&lt;&gt;""),"",U151)</f>
        <v/>
      </c>
      <c r="U151" s="330" t="s">
        <v>1194</v>
      </c>
      <c r="V151" s="351" t="s">
        <v>1193</v>
      </c>
      <c r="W151" s="2"/>
      <c r="Y151" s="401" t="s">
        <v>1852</v>
      </c>
      <c r="Z151" s="401" t="s">
        <v>1853</v>
      </c>
      <c r="AB151" s="472" t="str">
        <f>IF(COUNT(AB143:AB150)&gt;0,MAX(AB143:AB150)+1,"")</f>
        <v/>
      </c>
      <c r="AC151" s="433" t="str">
        <f>IF(AND(AH151&lt;&gt;"",AG151&lt;&gt;"",AI151&gt;0,AH151&gt;0),MAX(AC$2:AC150)+1,"XX")</f>
        <v>XX</v>
      </c>
      <c r="AD151" s="429" t="str">
        <f>IF('Antal &amp; Längder (vikter)'!$C$23&lt;&gt;"",'Antal &amp; Längder (vikter)'!$C$23,"XX")</f>
        <v>XX</v>
      </c>
      <c r="AE151" s="414" t="str">
        <f>IF(AND('Antal &amp; Längder (vikter)'!D$25&lt;&gt;"",ISNUMBER($AH151)),'Antal &amp; Längder (vikter)'!D$25,"")</f>
        <v/>
      </c>
      <c r="AF151" s="425" t="str">
        <f t="shared" si="6"/>
        <v/>
      </c>
      <c r="AG151" s="426" t="str">
        <f t="shared" si="7"/>
        <v/>
      </c>
      <c r="AH151" s="407" t="str">
        <f>IF('Antal &amp; Längder (vikter)'!D35&lt;&gt;"",'Antal &amp; Längder (vikter)'!D35,"XX")</f>
        <v>XX</v>
      </c>
      <c r="AI151" s="436">
        <f>IF('Antal &amp; Längder (vikter)'!E$26="Vikt (g)",'Antal &amp; Längder (vikter)'!E35,-9)</f>
        <v>-9</v>
      </c>
      <c r="AN151" s="357"/>
      <c r="AO151" s="357"/>
      <c r="AP151" s="357"/>
      <c r="AQ151" s="357"/>
      <c r="AR151" s="357"/>
      <c r="AS151" s="357"/>
      <c r="AT151" s="357"/>
      <c r="AU151" s="357"/>
      <c r="AV151" s="357"/>
    </row>
    <row r="152" spans="1:48" hidden="1" x14ac:dyDescent="0.25">
      <c r="A152" s="357"/>
      <c r="B152" s="580">
        <f>IF(OR(AND(Protokoll!S34="D3",IF(ISNUMBER(HLOOKUP("D2",Protokoll!G34:AE35,2,FALSE)),IF(HLOOKUP("D2",Protokoll!G34:AE35,2,FALSE)=1,TRUE,FALSE),FALSE)),AND(Protokoll!S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C152" s="580">
        <f>IF(OR(AND(Protokoll!V34="D3",IF(ISNUMBER(HLOOKUP("D2",Protokoll!G34:AE35,2,FALSE)),IF(HLOOKUP("D2",Protokoll!G34:AE35,2,FALSE)=1,TRUE,FALSE),FALSE)),AND(Protokoll!V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D152" s="580">
        <f>IF(OR(AND(Protokoll!Y34="D3",IF(ISNUMBER(HLOOKUP("D2",Protokoll!G34:AE35,2,FALSE)),IF(HLOOKUP("D2",Protokoll!G34:AE35,2,FALSE)=1,TRUE,FALSE),FALSE)),AND(Protokoll!Y34="",OR(IF(ISNUMBER(HLOOKUP("D1",Protokoll!G34:AE35,2,FALSE)),IF(HLOOKUP("D1",Protokoll!G34:AE35,2,FALSE)=1,TRUE,FALSE),FALSE),IF(ISNUMBER(HLOOKUP("D2",Protokoll!G34:AE35,2,FALSE)),IF(HLOOKUP("D2",Protokoll!G34:AE35,2,FALSE)=1,TRUE,FALSE),FALSE),IF(ISNUMBER(HLOOKUP("D3",Protokoll!G34:AE35,2,FALSE)),IF(HLOOKUP("D3",Protokoll!G34:AE35,2,FALSE)=1,TRUE,FALSE),FALSE)))),"",2)</f>
        <v>2</v>
      </c>
      <c r="E152" s="357"/>
      <c r="F152" s="199">
        <f>COUNTIF(J$113:J152,J152)</f>
        <v>2</v>
      </c>
      <c r="G152" t="s">
        <v>171</v>
      </c>
      <c r="H152" s="330">
        <v>1982</v>
      </c>
      <c r="I152" s="330">
        <v>19</v>
      </c>
      <c r="J152" t="s">
        <v>125</v>
      </c>
      <c r="K152" s="143"/>
      <c r="L152" s="220" t="str">
        <f>IF(Protokoll!I$1&lt;&gt;"",IF(N151=N$113,IF(AND(DMAX(F$113:J$403,F$113,O151:O152)&gt;COUNTA(L$111:L151)-2,DCOUNTA(F$113:J$403,G$113,N151:O152)=1),DGET(F$113:J$403,G$113,N151:O152),""),IF(AND(DMAX(F$113:J$403,F$113,Q151:Q152)&gt;COUNTA(L$111:L151)-2,DCOUNTA(F$113:J$403,G$113,P151:Q152)=1),DGET(F$113:J$403,G$113,P151:Q152),"")),G152)</f>
        <v/>
      </c>
      <c r="M152" s="143"/>
      <c r="N152" s="221" t="str">
        <f>IF(N151=N$113,IF(COUNT(N$113:Q151)&lt;DMAX(F$113:J$403,F$113,O151:O152),COUNT(N$113:Q151)+1,""),IF(COUNT(N$113:Q151)&lt;DMAX(F$113:J$403,F$113,Q151:Q152),N$113,""))</f>
        <v/>
      </c>
      <c r="O152" s="222" t="str">
        <f>IF(O151=O$113,IF(COUNTA(L$111:L151)-2&lt;DMAX(F$113:J$403,F$113,Q150:Q151),Protokoll!I$1,""),IF(O151&lt;&gt;"",IF(COUNTA(L$111:L151)-1&lt;DMAX(F$113:J$403,F$113,O150:O151),O$113,""),""))</f>
        <v/>
      </c>
      <c r="P152" s="223" t="str">
        <f>IF(N151=N$113,IF(COUNT(N$113:Q151)&lt;DMAX(F$113:J$403,F$113,O151:O152),N$113,""),IF(COUNT(N$113:Q151)&lt;DMAX(F$113:J$403,F$113,Q151:Q152),COUNT(N$113:Q151)+1,""))</f>
        <v/>
      </c>
      <c r="Q152" s="199" t="str">
        <f>IF(O151=O$113,IF(COUNTA(L$111:L151)-2&lt;DMAX(F$113:J$403,F$113,Q150:Q151),O$113,""),IF(Q151&lt;&gt;"",IF(COUNTA(L$111:L151)-2&lt;DMAX(F$113:J$403,F$113,O150:O151),Protokoll!I$1,""),""))</f>
        <v/>
      </c>
      <c r="T152" s="331" t="str">
        <f>IF(OR(Protokoll!$X$5&lt;&gt;"",Lokalbeskrivn!$M$4&lt;&gt;""),"",U152)</f>
        <v/>
      </c>
      <c r="U152" s="330" t="s">
        <v>1196</v>
      </c>
      <c r="V152" s="351" t="s">
        <v>1195</v>
      </c>
      <c r="W152" s="2"/>
      <c r="Y152" s="401" t="s">
        <v>2402</v>
      </c>
      <c r="Z152" s="401" t="s">
        <v>2403</v>
      </c>
      <c r="AB152" s="479" t="str">
        <f>IF(COUNT(AB143:AB151)&gt;0,MAX(AB143:AB151)+1,"")</f>
        <v/>
      </c>
      <c r="AC152" s="433" t="str">
        <f>IF(AND(AH152&lt;&gt;"",AG152&lt;&gt;"",AI152&gt;0,AH152&gt;0),MAX(AC$2:AC151)+1,"XX")</f>
        <v>XX</v>
      </c>
      <c r="AD152" s="429" t="str">
        <f>IF('Antal &amp; Längder (vikter)'!$C$23&lt;&gt;"",'Antal &amp; Längder (vikter)'!$C$23,"XX")</f>
        <v>XX</v>
      </c>
      <c r="AE152" s="414" t="str">
        <f>IF(AND('Antal &amp; Längder (vikter)'!D$25&lt;&gt;"",ISNUMBER($AH152)),'Antal &amp; Längder (vikter)'!D$25,"")</f>
        <v/>
      </c>
      <c r="AF152" s="425" t="str">
        <f t="shared" si="6"/>
        <v/>
      </c>
      <c r="AG152" s="426" t="str">
        <f t="shared" si="7"/>
        <v/>
      </c>
      <c r="AH152" s="407" t="str">
        <f>IF('Antal &amp; Längder (vikter)'!D36&lt;&gt;"",'Antal &amp; Längder (vikter)'!D36,"XX")</f>
        <v>XX</v>
      </c>
      <c r="AI152" s="436">
        <f>IF('Antal &amp; Längder (vikter)'!E$26="Vikt (g)",'Antal &amp; Längder (vikter)'!E36,-9)</f>
        <v>-9</v>
      </c>
      <c r="AN152" s="357"/>
      <c r="AO152" s="357"/>
      <c r="AP152" s="357"/>
      <c r="AQ152" s="357"/>
      <c r="AR152" s="357"/>
      <c r="AS152" s="357"/>
      <c r="AT152" s="357"/>
      <c r="AU152" s="357"/>
      <c r="AV152" s="357"/>
    </row>
    <row r="153" spans="1:48" hidden="1" x14ac:dyDescent="0.25">
      <c r="A153" s="357"/>
      <c r="B153" s="582" t="str">
        <f>IF(OR(COUNTIF(Protokoll!G34:P34,"D1")+COUNTIF(Protokoll!V34:AE34,"D1")&gt;0,COUNTIF(Protokoll!G35:P35,3)+COUNTIF(Protokoll!V35:AE35,3)&gt;0,Protokoll!S34="D2",Protokoll!S34="D3"),"",3)</f>
        <v/>
      </c>
      <c r="C153" s="582" t="str">
        <f>IF(OR(COUNTIF(Protokoll!G34:S34,"D1")+COUNTIF(Protokoll!Y34:AE34,"D1")&gt;0,COUNTIF(Protokoll!G35:S35,3)+COUNTIF(Protokoll!Y35:AE35,3)&gt;0,Protokoll!V34="D2",Protokoll!V34="D3"),"",3)</f>
        <v/>
      </c>
      <c r="D153" s="582">
        <f>IF(OR(COUNTIF(Protokoll!G34:V34,"D1")+COUNTIF(Protokoll!AB34:AE34,"D1")&gt;0,COUNTIF(Protokoll!G35:V35,3)+COUNTIF(Protokoll!AB35:AE35,3)&gt;0,Protokoll!Y34="D2",Protokoll!Y34="D3"),"",3)</f>
        <v>3</v>
      </c>
      <c r="E153" s="579"/>
      <c r="F153" s="199">
        <f>COUNTIF(J$113:J153,J153)</f>
        <v>1</v>
      </c>
      <c r="G153" t="s">
        <v>172</v>
      </c>
      <c r="H153" s="330">
        <v>1382</v>
      </c>
      <c r="I153" s="330">
        <v>13</v>
      </c>
      <c r="J153" t="s">
        <v>120</v>
      </c>
      <c r="K153" s="143"/>
      <c r="L153" s="220" t="str">
        <f>IF(Protokoll!I$1&lt;&gt;"",IF(N152=N$113,IF(AND(DMAX(F$113:J$403,F$113,O152:O153)&gt;COUNTA(L$111:L152)-2,DCOUNTA(F$113:J$403,G$113,N152:O153)=1),DGET(F$113:J$403,G$113,N152:O153),""),IF(AND(DMAX(F$113:J$403,F$113,Q152:Q153)&gt;COUNTA(L$111:L152)-2,DCOUNTA(F$113:J$403,G$113,P152:Q153)=1),DGET(F$113:J$403,G$113,P152:Q153),"")),G153)</f>
        <v/>
      </c>
      <c r="M153" s="143"/>
      <c r="N153" s="221" t="str">
        <f>IF(N152=N$113,IF(COUNT(N$113:Q152)&lt;DMAX(F$113:J$403,F$113,O152:O153),COUNT(N$113:Q152)+1,""),IF(COUNT(N$113:Q152)&lt;DMAX(F$113:J$403,F$113,Q152:Q153),N$113,""))</f>
        <v/>
      </c>
      <c r="O153" s="222" t="str">
        <f>IF(O152=O$113,IF(COUNTA(L$111:L152)-2&lt;DMAX(F$113:J$403,F$113,Q151:Q152),Protokoll!I$1,""),IF(O152&lt;&gt;"",IF(COUNTA(L$111:L152)-1&lt;DMAX(F$113:J$403,F$113,O151:O152),O$113,""),""))</f>
        <v/>
      </c>
      <c r="P153" s="223" t="str">
        <f>IF(N152=N$113,IF(COUNT(N$113:Q152)&lt;DMAX(F$113:J$403,F$113,O152:O153),N$113,""),IF(COUNT(N$113:Q152)&lt;DMAX(F$113:J$403,F$113,Q152:Q153),COUNT(N$113:Q152)+1,""))</f>
        <v/>
      </c>
      <c r="Q153" s="199" t="str">
        <f>IF(O152=O$113,IF(COUNTA(L$111:L152)-2&lt;DMAX(F$113:J$403,F$113,Q151:Q152),O$113,""),IF(Q152&lt;&gt;"",IF(COUNTA(L$111:L152)-2&lt;DMAX(F$113:J$403,F$113,O151:O152),Protokoll!I$1,""),""))</f>
        <v/>
      </c>
      <c r="T153" s="331" t="str">
        <f>IF(OR(Protokoll!$X$5&lt;&gt;"",Lokalbeskrivn!$M$4&lt;&gt;""),"",U153)</f>
        <v/>
      </c>
      <c r="U153" s="330" t="s">
        <v>1198</v>
      </c>
      <c r="V153" s="351" t="s">
        <v>1197</v>
      </c>
      <c r="W153" s="2"/>
      <c r="Y153" s="401" t="s">
        <v>2404</v>
      </c>
      <c r="Z153" s="401" t="s">
        <v>1939</v>
      </c>
      <c r="AB153" s="480" t="str">
        <f>IF(AND(ISNUMBER(AH153),AH153&gt;0),IF(MAX(AB$3:AB152)&gt;0,MAX(AB$3:AB152)+1,10+COUNTIF(F$38:F$49,"&gt;0")*10+1),"")</f>
        <v/>
      </c>
      <c r="AC153" s="433" t="str">
        <f>IF(AND(AH153&lt;&gt;"",AG153&lt;&gt;"",AI153&gt;0,AH153&gt;0),MAX(AC$2:AC152)+1,"XX")</f>
        <v>XX</v>
      </c>
      <c r="AD153" s="429" t="str">
        <f>IF('Antal &amp; Längder (vikter)'!$C$23&lt;&gt;"",'Antal &amp; Längder (vikter)'!$C$23,"XX")</f>
        <v>XX</v>
      </c>
      <c r="AE153" s="414" t="str">
        <f>IF(AND('Antal &amp; Längder (vikter)'!D$25&lt;&gt;"",ISNUMBER($AH153)),'Antal &amp; Längder (vikter)'!D$25,"")</f>
        <v/>
      </c>
      <c r="AF153" s="425" t="str">
        <f t="shared" si="6"/>
        <v/>
      </c>
      <c r="AG153" s="426" t="str">
        <f t="shared" si="7"/>
        <v/>
      </c>
      <c r="AH153" s="409" t="str">
        <f>IF('Antal &amp; Längder (vikter)'!E$26="Längd (mm)",IF('Antal &amp; Längder (vikter)'!E27&lt;&gt;"",'Antal &amp; Längder (vikter)'!E27,"XX"),"XX")</f>
        <v>XX</v>
      </c>
      <c r="AI153" s="7">
        <v>-9</v>
      </c>
      <c r="AN153" s="357"/>
      <c r="AO153" s="357"/>
      <c r="AP153" s="357"/>
      <c r="AQ153" s="357"/>
      <c r="AR153" s="357"/>
      <c r="AS153" s="357"/>
      <c r="AT153" s="357"/>
      <c r="AU153" s="357"/>
      <c r="AV153" s="357"/>
    </row>
    <row r="154" spans="1:48" hidden="1" x14ac:dyDescent="0.25">
      <c r="E154" s="2"/>
      <c r="F154" s="199">
        <f>COUNTIF(J$113:J154,J154)</f>
        <v>8</v>
      </c>
      <c r="G154" t="s">
        <v>173</v>
      </c>
      <c r="H154" s="330">
        <v>1499</v>
      </c>
      <c r="I154" s="330">
        <v>14</v>
      </c>
      <c r="J154" t="s">
        <v>114</v>
      </c>
      <c r="K154" s="143"/>
      <c r="L154" s="220" t="str">
        <f>IF(Protokoll!I$1&lt;&gt;"",IF(N153=N$113,IF(AND(DMAX(F$113:J$403,F$113,O153:O154)&gt;COUNTA(L$111:L153)-2,DCOUNTA(F$113:J$403,G$113,N153:O154)=1),DGET(F$113:J$403,G$113,N153:O154),""),IF(AND(DMAX(F$113:J$403,F$113,Q153:Q154)&gt;COUNTA(L$111:L153)-2,DCOUNTA(F$113:J$403,G$113,P153:Q154)=1),DGET(F$113:J$403,G$113,P153:Q154),"")),G154)</f>
        <v/>
      </c>
      <c r="M154" s="143"/>
      <c r="N154" s="221" t="str">
        <f>IF(N153=N$113,IF(COUNT(N$113:Q153)&lt;DMAX(F$113:J$403,F$113,O153:O154),COUNT(N$113:Q153)+1,""),IF(COUNT(N$113:Q153)&lt;DMAX(F$113:J$403,F$113,Q153:Q154),N$113,""))</f>
        <v/>
      </c>
      <c r="O154" s="222" t="str">
        <f>IF(O153=O$113,IF(COUNTA(L$111:L153)-2&lt;DMAX(F$113:J$403,F$113,Q152:Q153),Protokoll!I$1,""),IF(O153&lt;&gt;"",IF(COUNTA(L$111:L153)-1&lt;DMAX(F$113:J$403,F$113,O152:O153),O$113,""),""))</f>
        <v/>
      </c>
      <c r="P154" s="223" t="str">
        <f>IF(N153=N$113,IF(COUNT(N$113:Q153)&lt;DMAX(F$113:J$403,F$113,O153:O154),N$113,""),IF(COUNT(N$113:Q153)&lt;DMAX(F$113:J$403,F$113,Q153:Q154),COUNT(N$113:Q153)+1,""))</f>
        <v/>
      </c>
      <c r="Q154" s="199" t="str">
        <f>IF(O153=O$113,IF(COUNTA(L$111:L153)-2&lt;DMAX(F$113:J$403,F$113,Q152:Q153),O$113,""),IF(Q153&lt;&gt;"",IF(COUNTA(L$111:L153)-2&lt;DMAX(F$113:J$403,F$113,O152:O153),Protokoll!I$1,""),""))</f>
        <v/>
      </c>
      <c r="T154" s="331" t="str">
        <f>IF(OR(Protokoll!$X$5&lt;&gt;"",Lokalbeskrivn!$M$4&lt;&gt;""),"",U154)</f>
        <v/>
      </c>
      <c r="U154" s="330" t="s">
        <v>1200</v>
      </c>
      <c r="V154" s="351" t="s">
        <v>1199</v>
      </c>
      <c r="W154" s="2"/>
      <c r="Y154" s="401" t="s">
        <v>2405</v>
      </c>
      <c r="Z154" s="401" t="s">
        <v>2406</v>
      </c>
      <c r="AB154" s="476" t="str">
        <f>IF(COUNT(AB153:AB153)&gt;0,MAX(AB153:AB153)+1,"")</f>
        <v/>
      </c>
      <c r="AC154" s="433" t="str">
        <f>IF(AND(AH154&lt;&gt;"",AG154&lt;&gt;"",AI154&gt;0,AH154&gt;0),MAX(AC$2:AC153)+1,"XX")</f>
        <v>XX</v>
      </c>
      <c r="AD154" s="429" t="str">
        <f>IF('Antal &amp; Längder (vikter)'!$C$23&lt;&gt;"",'Antal &amp; Längder (vikter)'!$C$23,"XX")</f>
        <v>XX</v>
      </c>
      <c r="AE154" s="414" t="str">
        <f>IF(AND('Antal &amp; Längder (vikter)'!D$25&lt;&gt;"",ISNUMBER($AH154)),'Antal &amp; Längder (vikter)'!D$25,"")</f>
        <v/>
      </c>
      <c r="AF154" s="425" t="str">
        <f t="shared" si="6"/>
        <v/>
      </c>
      <c r="AG154" s="426" t="str">
        <f t="shared" si="7"/>
        <v/>
      </c>
      <c r="AH154" s="409" t="str">
        <f>IF('Antal &amp; Längder (vikter)'!E$26="Längd (mm)",IF('Antal &amp; Längder (vikter)'!E28&lt;&gt;"",'Antal &amp; Längder (vikter)'!E28,"XX"),"XX")</f>
        <v>XX</v>
      </c>
      <c r="AI154" s="7">
        <v>-9</v>
      </c>
      <c r="AN154" s="357"/>
      <c r="AO154" s="357"/>
      <c r="AP154" s="357"/>
      <c r="AQ154" s="357"/>
      <c r="AR154" s="357"/>
      <c r="AS154" s="357"/>
      <c r="AT154" s="357"/>
      <c r="AU154" s="357"/>
      <c r="AV154" s="357"/>
    </row>
    <row r="155" spans="1:48" hidden="1" x14ac:dyDescent="0.25">
      <c r="E155" s="2"/>
      <c r="F155" s="199">
        <f>COUNTIF(J$113:J155,J155)</f>
        <v>3</v>
      </c>
      <c r="G155" t="s">
        <v>174</v>
      </c>
      <c r="H155" s="330">
        <v>2080</v>
      </c>
      <c r="I155" s="330">
        <v>20</v>
      </c>
      <c r="J155" t="s">
        <v>112</v>
      </c>
      <c r="K155" s="143"/>
      <c r="L155" s="220" t="str">
        <f>IF(Protokoll!I$1&lt;&gt;"",IF(N154=N$113,IF(AND(DMAX(F$113:J$403,F$113,O154:O155)&gt;COUNTA(L$111:L154)-2,DCOUNTA(F$113:J$403,G$113,N154:O155)=1),DGET(F$113:J$403,G$113,N154:O155),""),IF(AND(DMAX(F$113:J$403,F$113,Q154:Q155)&gt;COUNTA(L$111:L154)-2,DCOUNTA(F$113:J$403,G$113,P154:Q155)=1),DGET(F$113:J$403,G$113,P154:Q155),"")),G155)</f>
        <v/>
      </c>
      <c r="M155" s="143"/>
      <c r="N155" s="221" t="str">
        <f>IF(N154=N$113,IF(COUNT(N$113:Q154)&lt;DMAX(F$113:J$403,F$113,O154:O155),COUNT(N$113:Q154)+1,""),IF(COUNT(N$113:Q154)&lt;DMAX(F$113:J$403,F$113,Q154:Q155),N$113,""))</f>
        <v/>
      </c>
      <c r="O155" s="222" t="str">
        <f>IF(O154=O$113,IF(COUNTA(L$111:L154)-2&lt;DMAX(F$113:J$403,F$113,Q153:Q154),Protokoll!I$1,""),IF(O154&lt;&gt;"",IF(COUNTA(L$111:L154)-1&lt;DMAX(F$113:J$403,F$113,O153:O154),O$113,""),""))</f>
        <v/>
      </c>
      <c r="P155" s="223" t="str">
        <f>IF(N154=N$113,IF(COUNT(N$113:Q154)&lt;DMAX(F$113:J$403,F$113,O154:O155),N$113,""),IF(COUNT(N$113:Q154)&lt;DMAX(F$113:J$403,F$113,Q154:Q155),COUNT(N$113:Q154)+1,""))</f>
        <v/>
      </c>
      <c r="Q155" s="199" t="str">
        <f>IF(O154=O$113,IF(COUNTA(L$111:L154)-2&lt;DMAX(F$113:J$403,F$113,Q153:Q154),O$113,""),IF(Q154&lt;&gt;"",IF(COUNTA(L$111:L154)-2&lt;DMAX(F$113:J$403,F$113,O153:O154),Protokoll!I$1,""),""))</f>
        <v/>
      </c>
      <c r="T155" s="331" t="str">
        <f>IF(OR(Protokoll!$X$5&lt;&gt;"",Lokalbeskrivn!$M$4&lt;&gt;""),"",U155)</f>
        <v/>
      </c>
      <c r="U155" s="330" t="s">
        <v>1202</v>
      </c>
      <c r="V155" s="351" t="s">
        <v>1201</v>
      </c>
      <c r="W155" s="2"/>
      <c r="Y155" s="401" t="s">
        <v>1675</v>
      </c>
      <c r="Z155" s="401" t="s">
        <v>1676</v>
      </c>
      <c r="AB155" s="477" t="str">
        <f>IF(COUNT(AB153:AB154)&gt;0,MAX(AB153:AB154)+1,"")</f>
        <v/>
      </c>
      <c r="AC155" s="433" t="str">
        <f>IF(AND(AH155&lt;&gt;"",AG155&lt;&gt;"",AI155&gt;0,AH155&gt;0),MAX(AC$2:AC154)+1,"XX")</f>
        <v>XX</v>
      </c>
      <c r="AD155" s="429" t="str">
        <f>IF('Antal &amp; Längder (vikter)'!$C$23&lt;&gt;"",'Antal &amp; Längder (vikter)'!$C$23,"XX")</f>
        <v>XX</v>
      </c>
      <c r="AE155" s="414" t="str">
        <f>IF(AND('Antal &amp; Längder (vikter)'!D$25&lt;&gt;"",ISNUMBER($AH155)),'Antal &amp; Längder (vikter)'!D$25,"")</f>
        <v/>
      </c>
      <c r="AF155" s="425" t="str">
        <f t="shared" si="6"/>
        <v/>
      </c>
      <c r="AG155" s="426" t="str">
        <f t="shared" si="7"/>
        <v/>
      </c>
      <c r="AH155" s="409" t="str">
        <f>IF('Antal &amp; Längder (vikter)'!E$26="Längd (mm)",IF('Antal &amp; Längder (vikter)'!E29&lt;&gt;"",'Antal &amp; Längder (vikter)'!E29,"XX"),"XX")</f>
        <v>XX</v>
      </c>
      <c r="AI155" s="7">
        <v>-9</v>
      </c>
      <c r="AN155" s="357"/>
      <c r="AO155" s="357"/>
      <c r="AP155" s="357"/>
      <c r="AQ155" s="357"/>
      <c r="AR155" s="357"/>
      <c r="AS155" s="357"/>
      <c r="AT155" s="357"/>
      <c r="AU155" s="357"/>
      <c r="AV155" s="357"/>
    </row>
    <row r="156" spans="1:48" hidden="1" x14ac:dyDescent="0.25">
      <c r="E156" s="2"/>
      <c r="F156" s="199">
        <f>COUNTIF(J$113:J156,J156)</f>
        <v>3</v>
      </c>
      <c r="G156" t="s">
        <v>175</v>
      </c>
      <c r="H156" s="330">
        <v>1782</v>
      </c>
      <c r="I156" s="330">
        <v>17</v>
      </c>
      <c r="J156" t="s">
        <v>131</v>
      </c>
      <c r="K156" s="143"/>
      <c r="L156" s="220" t="str">
        <f>IF(Protokoll!I$1&lt;&gt;"",IF(N155=N$113,IF(AND(DMAX(F$113:J$403,F$113,O155:O156)&gt;COUNTA(L$111:L155)-2,DCOUNTA(F$113:J$403,G$113,N155:O156)=1),DGET(F$113:J$403,G$113,N155:O156),""),IF(AND(DMAX(F$113:J$403,F$113,Q155:Q156)&gt;COUNTA(L$111:L155)-2,DCOUNTA(F$113:J$403,G$113,P155:Q156)=1),DGET(F$113:J$403,G$113,P155:Q156),"")),G156)</f>
        <v/>
      </c>
      <c r="M156" s="143"/>
      <c r="N156" s="221" t="str">
        <f>IF(N155=N$113,IF(COUNT(N$113:Q155)&lt;DMAX(F$113:J$403,F$113,O155:O156),COUNT(N$113:Q155)+1,""),IF(COUNT(N$113:Q155)&lt;DMAX(F$113:J$403,F$113,Q155:Q156),N$113,""))</f>
        <v/>
      </c>
      <c r="O156" s="222" t="str">
        <f>IF(O155=O$113,IF(COUNTA(L$111:L155)-2&lt;DMAX(F$113:J$403,F$113,Q154:Q155),Protokoll!I$1,""),IF(O155&lt;&gt;"",IF(COUNTA(L$111:L155)-1&lt;DMAX(F$113:J$403,F$113,O154:O155),O$113,""),""))</f>
        <v/>
      </c>
      <c r="P156" s="223" t="str">
        <f>IF(N155=N$113,IF(COUNT(N$113:Q155)&lt;DMAX(F$113:J$403,F$113,O155:O156),N$113,""),IF(COUNT(N$113:Q155)&lt;DMAX(F$113:J$403,F$113,Q155:Q156),COUNT(N$113:Q155)+1,""))</f>
        <v/>
      </c>
      <c r="Q156" s="199" t="str">
        <f>IF(O155=O$113,IF(COUNTA(L$111:L155)-2&lt;DMAX(F$113:J$403,F$113,Q154:Q155),O$113,""),IF(Q155&lt;&gt;"",IF(COUNTA(L$111:L155)-2&lt;DMAX(F$113:J$403,F$113,O154:O155),Protokoll!I$1,""),""))</f>
        <v/>
      </c>
      <c r="T156" s="331" t="str">
        <f>IF(OR(Protokoll!$X$5&lt;&gt;"",Lokalbeskrivn!$M$4&lt;&gt;""),"",U156)</f>
        <v/>
      </c>
      <c r="U156" s="330" t="s">
        <v>1204</v>
      </c>
      <c r="V156" s="351" t="s">
        <v>1203</v>
      </c>
      <c r="W156" s="2"/>
      <c r="Y156" s="401" t="s">
        <v>1645</v>
      </c>
      <c r="Z156" s="401" t="s">
        <v>2407</v>
      </c>
      <c r="AB156" s="434" t="str">
        <f>IF(COUNT(AB153:AB155)&gt;0,MAX(AB153:AB155)+1,"")</f>
        <v/>
      </c>
      <c r="AC156" s="433" t="str">
        <f>IF(AND(AH156&lt;&gt;"",AG156&lt;&gt;"",AI156&gt;0,AH156&gt;0),MAX(AC$2:AC155)+1,"XX")</f>
        <v>XX</v>
      </c>
      <c r="AD156" s="429" t="str">
        <f>IF('Antal &amp; Längder (vikter)'!$C$23&lt;&gt;"",'Antal &amp; Längder (vikter)'!$C$23,"XX")</f>
        <v>XX</v>
      </c>
      <c r="AE156" s="414" t="str">
        <f>IF(AND('Antal &amp; Längder (vikter)'!D$25&lt;&gt;"",ISNUMBER($AH156)),'Antal &amp; Längder (vikter)'!D$25,"")</f>
        <v/>
      </c>
      <c r="AF156" s="425" t="str">
        <f t="shared" si="6"/>
        <v/>
      </c>
      <c r="AG156" s="426" t="str">
        <f t="shared" si="7"/>
        <v/>
      </c>
      <c r="AH156" s="409" t="str">
        <f>IF('Antal &amp; Längder (vikter)'!E$26="Längd (mm)",IF('Antal &amp; Längder (vikter)'!E30&lt;&gt;"",'Antal &amp; Längder (vikter)'!E30,"XX"),"XX")</f>
        <v>XX</v>
      </c>
      <c r="AI156" s="7">
        <v>-9</v>
      </c>
      <c r="AN156" s="357"/>
      <c r="AO156" s="357"/>
      <c r="AP156" s="357"/>
      <c r="AQ156" s="357"/>
      <c r="AR156" s="357"/>
      <c r="AS156" s="357"/>
      <c r="AT156" s="357"/>
      <c r="AU156" s="357"/>
      <c r="AV156" s="357"/>
    </row>
    <row r="157" spans="1:48" x14ac:dyDescent="0.25">
      <c r="E157" s="2"/>
      <c r="F157" s="199">
        <f>COUNTIF(J$113:J157,J157)</f>
        <v>2</v>
      </c>
      <c r="G157" t="s">
        <v>176</v>
      </c>
      <c r="H157" s="330">
        <v>562</v>
      </c>
      <c r="I157" s="330">
        <v>5</v>
      </c>
      <c r="J157" t="s">
        <v>150</v>
      </c>
      <c r="K157" s="143"/>
      <c r="L157" s="220" t="str">
        <f>IF(Protokoll!I$1&lt;&gt;"",IF(N156=N$113,IF(AND(DMAX(F$113:J$403,F$113,O156:O157)&gt;COUNTA(L$111:L156)-2,DCOUNTA(F$113:J$403,G$113,N156:O157)=1),DGET(F$113:J$403,G$113,N156:O157),""),IF(AND(DMAX(F$113:J$403,F$113,Q156:Q157)&gt;COUNTA(L$111:L156)-2,DCOUNTA(F$113:J$403,G$113,P156:Q157)=1),DGET(F$113:J$403,G$113,P156:Q157),"")),G157)</f>
        <v/>
      </c>
      <c r="M157" s="143"/>
      <c r="N157" s="221" t="str">
        <f>IF(N156=N$113,IF(COUNT(N$113:Q156)&lt;DMAX(F$113:J$403,F$113,O156:O157),COUNT(N$113:Q156)+1,""),IF(COUNT(N$113:Q156)&lt;DMAX(F$113:J$403,F$113,Q156:Q157),N$113,""))</f>
        <v/>
      </c>
      <c r="O157" s="222" t="str">
        <f>IF(O156=O$113,IF(COUNTA(L$111:L156)-2&lt;DMAX(F$113:J$403,F$113,Q155:Q156),Protokoll!I$1,""),IF(O156&lt;&gt;"",IF(COUNTA(L$111:L156)-1&lt;DMAX(F$113:J$403,F$113,O155:O156),O$113,""),""))</f>
        <v/>
      </c>
      <c r="P157" s="223" t="str">
        <f>IF(N156=N$113,IF(COUNT(N$113:Q156)&lt;DMAX(F$113:J$403,F$113,O156:O157),N$113,""),IF(COUNT(N$113:Q156)&lt;DMAX(F$113:J$403,F$113,Q156:Q157),COUNT(N$113:Q156)+1,""))</f>
        <v/>
      </c>
      <c r="Q157" s="199" t="str">
        <f>IF(O156=O$113,IF(COUNTA(L$111:L156)-2&lt;DMAX(F$113:J$403,F$113,Q155:Q156),O$113,""),IF(Q156&lt;&gt;"",IF(COUNTA(L$111:L156)-2&lt;DMAX(F$113:J$403,F$113,O155:O156),Protokoll!I$1,""),""))</f>
        <v/>
      </c>
      <c r="T157" s="331" t="str">
        <f>IF(OR(Protokoll!$X$5&lt;&gt;"",Lokalbeskrivn!$M$4&lt;&gt;""),"",U157)</f>
        <v/>
      </c>
      <c r="U157" s="330" t="s">
        <v>1206</v>
      </c>
      <c r="V157" s="351" t="s">
        <v>1205</v>
      </c>
      <c r="W157" s="2"/>
      <c r="Y157" s="401" t="s">
        <v>1646</v>
      </c>
      <c r="Z157" s="401" t="s">
        <v>1647</v>
      </c>
      <c r="AB157" s="475" t="str">
        <f>IF(COUNT(AB153:AB156)&gt;0,MAX(AB153:AB156)+1,"")</f>
        <v/>
      </c>
      <c r="AC157" s="433" t="str">
        <f>IF(AND(AH157&lt;&gt;"",AG157&lt;&gt;"",AI157&gt;0,AH157&gt;0),MAX(AC$2:AC156)+1,"XX")</f>
        <v>XX</v>
      </c>
      <c r="AD157" s="429" t="str">
        <f>IF('Antal &amp; Längder (vikter)'!$C$23&lt;&gt;"",'Antal &amp; Längder (vikter)'!$C$23,"XX")</f>
        <v>XX</v>
      </c>
      <c r="AE157" s="414" t="str">
        <f>IF(AND('Antal &amp; Längder (vikter)'!D$25&lt;&gt;"",ISNUMBER($AH157)),'Antal &amp; Längder (vikter)'!D$25,"")</f>
        <v/>
      </c>
      <c r="AF157" s="425" t="str">
        <f t="shared" si="6"/>
        <v/>
      </c>
      <c r="AG157" s="426" t="str">
        <f t="shared" si="7"/>
        <v/>
      </c>
      <c r="AH157" s="409" t="str">
        <f>IF('Antal &amp; Längder (vikter)'!E$26="Längd (mm)",IF('Antal &amp; Längder (vikter)'!E31&lt;&gt;"",'Antal &amp; Längder (vikter)'!E31,"XX"),"XX")</f>
        <v>XX</v>
      </c>
      <c r="AI157" s="7">
        <v>-9</v>
      </c>
      <c r="AN157" s="357"/>
      <c r="AO157" s="357"/>
      <c r="AP157" s="357"/>
      <c r="AQ157" s="357"/>
      <c r="AR157" s="357"/>
      <c r="AS157" s="357"/>
      <c r="AT157" s="357"/>
      <c r="AU157" s="357"/>
      <c r="AV157" s="357"/>
    </row>
    <row r="158" spans="1:48" x14ac:dyDescent="0.25">
      <c r="E158" s="2"/>
      <c r="F158" s="199">
        <f>COUNTIF(J$113:J158,J158)</f>
        <v>2</v>
      </c>
      <c r="G158" t="s">
        <v>177</v>
      </c>
      <c r="H158" s="330">
        <v>482</v>
      </c>
      <c r="I158" s="330">
        <v>4</v>
      </c>
      <c r="J158" t="s">
        <v>138</v>
      </c>
      <c r="K158" s="143"/>
      <c r="L158" s="220" t="str">
        <f>IF(Protokoll!I$1&lt;&gt;"",IF(N157=N$113,IF(AND(DMAX(F$113:J$403,F$113,O157:O158)&gt;COUNTA(L$111:L157)-2,DCOUNTA(F$113:J$403,G$113,N157:O158)=1),DGET(F$113:J$403,G$113,N157:O158),""),IF(AND(DMAX(F$113:J$403,F$113,Q157:Q158)&gt;COUNTA(L$111:L157)-2,DCOUNTA(F$113:J$403,G$113,P157:Q158)=1),DGET(F$113:J$403,G$113,P157:Q158),"")),G158)</f>
        <v/>
      </c>
      <c r="M158" s="143"/>
      <c r="N158" s="221" t="str">
        <f>IF(N157=N$113,IF(COUNT(N$113:Q157)&lt;DMAX(F$113:J$403,F$113,O157:O158),COUNT(N$113:Q157)+1,""),IF(COUNT(N$113:Q157)&lt;DMAX(F$113:J$403,F$113,Q157:Q158),N$113,""))</f>
        <v/>
      </c>
      <c r="O158" s="222" t="str">
        <f>IF(O157=O$113,IF(COUNTA(L$111:L157)-2&lt;DMAX(F$113:J$403,F$113,Q156:Q157),Protokoll!I$1,""),IF(O157&lt;&gt;"",IF(COUNTA(L$111:L157)-1&lt;DMAX(F$113:J$403,F$113,O156:O157),O$113,""),""))</f>
        <v/>
      </c>
      <c r="P158" s="223" t="str">
        <f>IF(N157=N$113,IF(COUNT(N$113:Q157)&lt;DMAX(F$113:J$403,F$113,O157:O158),N$113,""),IF(COUNT(N$113:Q157)&lt;DMAX(F$113:J$403,F$113,Q157:Q158),COUNT(N$113:Q157)+1,""))</f>
        <v/>
      </c>
      <c r="Q158" s="199" t="str">
        <f>IF(O157=O$113,IF(COUNTA(L$111:L157)-2&lt;DMAX(F$113:J$403,F$113,Q156:Q157),O$113,""),IF(Q157&lt;&gt;"",IF(COUNTA(L$111:L157)-2&lt;DMAX(F$113:J$403,F$113,O156:O157),Protokoll!I$1,""),""))</f>
        <v/>
      </c>
      <c r="T158" s="331" t="str">
        <f>IF(OR(Protokoll!$X$5&lt;&gt;"",Lokalbeskrivn!$M$4&lt;&gt;""),"",U158)</f>
        <v/>
      </c>
      <c r="U158" s="330" t="s">
        <v>1208</v>
      </c>
      <c r="V158" s="351" t="s">
        <v>1207</v>
      </c>
      <c r="W158" s="2"/>
      <c r="Y158" s="401" t="s">
        <v>2408</v>
      </c>
      <c r="Z158" s="401" t="s">
        <v>2409</v>
      </c>
      <c r="AB158" s="471" t="str">
        <f>IF(COUNT(AB153:AB157)&gt;0,MAX(AB153:AB157)+1,"")</f>
        <v/>
      </c>
      <c r="AC158" s="433" t="str">
        <f>IF(AND(AH158&lt;&gt;"",AG158&lt;&gt;"",AI158&gt;0,AH158&gt;0),MAX(AC$2:AC157)+1,"XX")</f>
        <v>XX</v>
      </c>
      <c r="AD158" s="429" t="str">
        <f>IF('Antal &amp; Längder (vikter)'!$C$23&lt;&gt;"",'Antal &amp; Längder (vikter)'!$C$23,"XX")</f>
        <v>XX</v>
      </c>
      <c r="AE158" s="414" t="str">
        <f>IF(AND('Antal &amp; Längder (vikter)'!D$25&lt;&gt;"",ISNUMBER($AH158)),'Antal &amp; Längder (vikter)'!D$25,"")</f>
        <v/>
      </c>
      <c r="AF158" s="425" t="str">
        <f t="shared" si="6"/>
        <v/>
      </c>
      <c r="AG158" s="426" t="str">
        <f t="shared" si="7"/>
        <v/>
      </c>
      <c r="AH158" s="409" t="str">
        <f>IF('Antal &amp; Längder (vikter)'!E$26="Längd (mm)",IF('Antal &amp; Längder (vikter)'!E32&lt;&gt;"",'Antal &amp; Längder (vikter)'!E32,"XX"),"XX")</f>
        <v>XX</v>
      </c>
      <c r="AI158" s="7">
        <v>-9</v>
      </c>
      <c r="AN158" s="357"/>
      <c r="AO158" s="357"/>
      <c r="AP158" s="357"/>
      <c r="AQ158" s="357"/>
      <c r="AR158" s="357"/>
      <c r="AS158" s="357"/>
      <c r="AT158" s="357"/>
      <c r="AU158" s="357"/>
      <c r="AV158" s="357"/>
    </row>
    <row r="159" spans="1:48" x14ac:dyDescent="0.25">
      <c r="E159" s="2"/>
      <c r="F159" s="199">
        <f>COUNTIF(J$113:J159,J159)</f>
        <v>4</v>
      </c>
      <c r="G159" t="s">
        <v>178</v>
      </c>
      <c r="H159" s="330">
        <v>1763</v>
      </c>
      <c r="I159" s="330">
        <v>17</v>
      </c>
      <c r="J159" t="s">
        <v>131</v>
      </c>
      <c r="K159" s="143"/>
      <c r="L159" s="220" t="str">
        <f>IF(Protokoll!I$1&lt;&gt;"",IF(N158=N$113,IF(AND(DMAX(F$113:J$403,F$113,O158:O159)&gt;COUNTA(L$111:L158)-2,DCOUNTA(F$113:J$403,G$113,N158:O159)=1),DGET(F$113:J$403,G$113,N158:O159),""),IF(AND(DMAX(F$113:J$403,F$113,Q158:Q159)&gt;COUNTA(L$111:L158)-2,DCOUNTA(F$113:J$403,G$113,P158:Q159)=1),DGET(F$113:J$403,G$113,P158:Q159),"")),G159)</f>
        <v/>
      </c>
      <c r="M159" s="143"/>
      <c r="N159" s="221" t="str">
        <f>IF(N158=N$113,IF(COUNT(N$113:Q158)&lt;DMAX(F$113:J$403,F$113,O158:O159),COUNT(N$113:Q158)+1,""),IF(COUNT(N$113:Q158)&lt;DMAX(F$113:J$403,F$113,Q158:Q159),N$113,""))</f>
        <v/>
      </c>
      <c r="O159" s="222" t="str">
        <f>IF(O158=O$113,IF(COUNTA(L$111:L158)-2&lt;DMAX(F$113:J$403,F$113,Q157:Q158),Protokoll!I$1,""),IF(O158&lt;&gt;"",IF(COUNTA(L$111:L158)-1&lt;DMAX(F$113:J$403,F$113,O157:O158),O$113,""),""))</f>
        <v/>
      </c>
      <c r="P159" s="223" t="str">
        <f>IF(N158=N$113,IF(COUNT(N$113:Q158)&lt;DMAX(F$113:J$403,F$113,O158:O159),N$113,""),IF(COUNT(N$113:Q158)&lt;DMAX(F$113:J$403,F$113,Q158:Q159),COUNT(N$113:Q158)+1,""))</f>
        <v/>
      </c>
      <c r="Q159" s="199" t="str">
        <f>IF(O158=O$113,IF(COUNTA(L$111:L158)-2&lt;DMAX(F$113:J$403,F$113,Q157:Q158),O$113,""),IF(Q158&lt;&gt;"",IF(COUNTA(L$111:L158)-2&lt;DMAX(F$113:J$403,F$113,O157:O158),Protokoll!I$1,""),""))</f>
        <v/>
      </c>
      <c r="T159" s="331" t="str">
        <f>IF(OR(Protokoll!$X$5&lt;&gt;"",Lokalbeskrivn!$M$4&lt;&gt;""),"",U159)</f>
        <v/>
      </c>
      <c r="U159" s="330" t="s">
        <v>1210</v>
      </c>
      <c r="V159" s="351" t="s">
        <v>1209</v>
      </c>
      <c r="W159" s="2"/>
      <c r="Y159" s="401" t="s">
        <v>1891</v>
      </c>
      <c r="Z159" s="401" t="s">
        <v>1892</v>
      </c>
      <c r="AB159" s="474" t="str">
        <f>IF(COUNT(AB153:AB158)&gt;0,MAX(AB153:AB158)+1,"")</f>
        <v/>
      </c>
      <c r="AC159" s="433" t="str">
        <f>IF(AND(AH159&lt;&gt;"",AG159&lt;&gt;"",AI159&gt;0,AH159&gt;0),MAX(AC$2:AC158)+1,"XX")</f>
        <v>XX</v>
      </c>
      <c r="AD159" s="429" t="str">
        <f>IF('Antal &amp; Längder (vikter)'!$C$23&lt;&gt;"",'Antal &amp; Längder (vikter)'!$C$23,"XX")</f>
        <v>XX</v>
      </c>
      <c r="AE159" s="414" t="str">
        <f>IF(AND('Antal &amp; Längder (vikter)'!D$25&lt;&gt;"",ISNUMBER($AH159)),'Antal &amp; Längder (vikter)'!D$25,"")</f>
        <v/>
      </c>
      <c r="AF159" s="425" t="str">
        <f t="shared" si="6"/>
        <v/>
      </c>
      <c r="AG159" s="426" t="str">
        <f t="shared" si="7"/>
        <v/>
      </c>
      <c r="AH159" s="409" t="str">
        <f>IF('Antal &amp; Längder (vikter)'!E$26="Längd (mm)",IF('Antal &amp; Längder (vikter)'!E33&lt;&gt;"",'Antal &amp; Längder (vikter)'!E33,"XX"),"XX")</f>
        <v>XX</v>
      </c>
      <c r="AI159" s="7">
        <v>-9</v>
      </c>
      <c r="AN159" s="357"/>
      <c r="AO159" s="357"/>
      <c r="AP159" s="357"/>
      <c r="AQ159" s="357"/>
      <c r="AR159" s="357"/>
      <c r="AS159" s="357"/>
      <c r="AT159" s="357"/>
      <c r="AU159" s="357"/>
      <c r="AV159" s="357"/>
    </row>
    <row r="160" spans="1:48" x14ac:dyDescent="0.25">
      <c r="E160" s="2"/>
      <c r="F160" s="199">
        <f>COUNTIF(J$113:J160,J160)</f>
        <v>9</v>
      </c>
      <c r="G160" t="s">
        <v>179</v>
      </c>
      <c r="H160" s="330">
        <v>1439</v>
      </c>
      <c r="I160" s="330">
        <v>14</v>
      </c>
      <c r="J160" t="s">
        <v>114</v>
      </c>
      <c r="K160" s="143"/>
      <c r="L160" s="220" t="str">
        <f>IF(Protokoll!I$1&lt;&gt;"",IF(N159=N$113,IF(AND(DMAX(F$113:J$403,F$113,O159:O160)&gt;COUNTA(L$111:L159)-2,DCOUNTA(F$113:J$403,G$113,N159:O160)=1),DGET(F$113:J$403,G$113,N159:O160),""),IF(AND(DMAX(F$113:J$403,F$113,Q159:Q160)&gt;COUNTA(L$111:L159)-2,DCOUNTA(F$113:J$403,G$113,P159:Q160)=1),DGET(F$113:J$403,G$113,P159:Q160),"")),G160)</f>
        <v/>
      </c>
      <c r="M160" s="143"/>
      <c r="N160" s="221" t="str">
        <f>IF(N159=N$113,IF(COUNT(N$113:Q159)&lt;DMAX(F$113:J$403,F$113,O159:O160),COUNT(N$113:Q159)+1,""),IF(COUNT(N$113:Q159)&lt;DMAX(F$113:J$403,F$113,Q159:Q160),N$113,""))</f>
        <v/>
      </c>
      <c r="O160" s="222" t="str">
        <f>IF(O159=O$113,IF(COUNTA(L$111:L159)-2&lt;DMAX(F$113:J$403,F$113,Q158:Q159),Protokoll!I$1,""),IF(O159&lt;&gt;"",IF(COUNTA(L$111:L159)-1&lt;DMAX(F$113:J$403,F$113,O158:O159),O$113,""),""))</f>
        <v/>
      </c>
      <c r="P160" s="223" t="str">
        <f>IF(N159=N$113,IF(COUNT(N$113:Q159)&lt;DMAX(F$113:J$403,F$113,O159:O160),N$113,""),IF(COUNT(N$113:Q159)&lt;DMAX(F$113:J$403,F$113,Q159:Q160),COUNT(N$113:Q159)+1,""))</f>
        <v/>
      </c>
      <c r="Q160" s="199" t="str">
        <f>IF(O159=O$113,IF(COUNTA(L$111:L159)-2&lt;DMAX(F$113:J$403,F$113,Q158:Q159),O$113,""),IF(Q159&lt;&gt;"",IF(COUNTA(L$111:L159)-2&lt;DMAX(F$113:J$403,F$113,O158:O159),Protokoll!I$1,""),""))</f>
        <v/>
      </c>
      <c r="T160" s="331" t="str">
        <f>IF(OR(Protokoll!$X$5&lt;&gt;"",Lokalbeskrivn!$M$4&lt;&gt;""),"",U160)</f>
        <v/>
      </c>
      <c r="U160" s="330" t="s">
        <v>1212</v>
      </c>
      <c r="V160" s="351" t="s">
        <v>1211</v>
      </c>
      <c r="W160" s="2"/>
      <c r="Y160" s="401" t="s">
        <v>2410</v>
      </c>
      <c r="Z160" s="401" t="s">
        <v>2411</v>
      </c>
      <c r="AB160" s="478" t="str">
        <f>IF(COUNT(AB153:AB159)&gt;0,MAX(AB153:AB159)+1,"")</f>
        <v/>
      </c>
      <c r="AC160" s="433" t="str">
        <f>IF(AND(AH160&lt;&gt;"",AG160&lt;&gt;"",AI160&gt;0,AH160&gt;0),MAX(AC$2:AC159)+1,"XX")</f>
        <v>XX</v>
      </c>
      <c r="AD160" s="429" t="str">
        <f>IF('Antal &amp; Längder (vikter)'!$C$23&lt;&gt;"",'Antal &amp; Längder (vikter)'!$C$23,"XX")</f>
        <v>XX</v>
      </c>
      <c r="AE160" s="414" t="str">
        <f>IF(AND('Antal &amp; Längder (vikter)'!D$25&lt;&gt;"",ISNUMBER($AH160)),'Antal &amp; Längder (vikter)'!D$25,"")</f>
        <v/>
      </c>
      <c r="AF160" s="425" t="str">
        <f t="shared" si="6"/>
        <v/>
      </c>
      <c r="AG160" s="426" t="str">
        <f t="shared" si="7"/>
        <v/>
      </c>
      <c r="AH160" s="409" t="str">
        <f>IF('Antal &amp; Längder (vikter)'!E$26="Längd (mm)",IF('Antal &amp; Längder (vikter)'!E34&lt;&gt;"",'Antal &amp; Längder (vikter)'!E34,"XX"),"XX")</f>
        <v>XX</v>
      </c>
      <c r="AI160" s="7">
        <v>-9</v>
      </c>
      <c r="AN160" s="357"/>
      <c r="AO160" s="357"/>
      <c r="AP160" s="357"/>
      <c r="AQ160" s="357"/>
      <c r="AR160" s="357"/>
      <c r="AS160" s="357"/>
      <c r="AT160" s="357"/>
      <c r="AU160" s="357"/>
      <c r="AV160" s="357"/>
    </row>
    <row r="161" spans="5:48" x14ac:dyDescent="0.25">
      <c r="E161" s="2"/>
      <c r="F161" s="199">
        <f>COUNTIF(J$113:J161,J161)</f>
        <v>4</v>
      </c>
      <c r="G161" t="s">
        <v>180</v>
      </c>
      <c r="H161" s="330">
        <v>2026</v>
      </c>
      <c r="I161" s="330">
        <v>20</v>
      </c>
      <c r="J161" t="s">
        <v>112</v>
      </c>
      <c r="K161" s="143"/>
      <c r="L161" s="220" t="str">
        <f>IF(Protokoll!I$1&lt;&gt;"",IF(N160=N$113,IF(AND(DMAX(F$113:J$403,F$113,O160:O161)&gt;COUNTA(L$111:L160)-2,DCOUNTA(F$113:J$403,G$113,N160:O161)=1),DGET(F$113:J$403,G$113,N160:O161),""),IF(AND(DMAX(F$113:J$403,F$113,Q160:Q161)&gt;COUNTA(L$111:L160)-2,DCOUNTA(F$113:J$403,G$113,P160:Q161)=1),DGET(F$113:J$403,G$113,P160:Q161),"")),G161)</f>
        <v/>
      </c>
      <c r="M161" s="143"/>
      <c r="N161" s="221" t="str">
        <f>IF(N160=N$113,IF(COUNT(N$113:Q160)&lt;DMAX(F$113:J$403,F$113,O160:O161),COUNT(N$113:Q160)+1,""),IF(COUNT(N$113:Q160)&lt;DMAX(F$113:J$403,F$113,Q160:Q161),N$113,""))</f>
        <v/>
      </c>
      <c r="O161" s="222" t="str">
        <f>IF(O160=O$113,IF(COUNTA(L$111:L160)-2&lt;DMAX(F$113:J$403,F$113,Q159:Q160),Protokoll!I$1,""),IF(O160&lt;&gt;"",IF(COUNTA(L$111:L160)-1&lt;DMAX(F$113:J$403,F$113,O159:O160),O$113,""),""))</f>
        <v/>
      </c>
      <c r="P161" s="223" t="str">
        <f>IF(N160=N$113,IF(COUNT(N$113:Q160)&lt;DMAX(F$113:J$403,F$113,O160:O161),N$113,""),IF(COUNT(N$113:Q160)&lt;DMAX(F$113:J$403,F$113,Q160:Q161),COUNT(N$113:Q160)+1,""))</f>
        <v/>
      </c>
      <c r="Q161" s="199" t="str">
        <f>IF(O160=O$113,IF(COUNTA(L$111:L160)-2&lt;DMAX(F$113:J$403,F$113,Q159:Q160),O$113,""),IF(Q160&lt;&gt;"",IF(COUNTA(L$111:L160)-2&lt;DMAX(F$113:J$403,F$113,O159:O160),Protokoll!I$1,""),""))</f>
        <v/>
      </c>
      <c r="T161" s="331" t="str">
        <f>IF(OR(Protokoll!$X$5&lt;&gt;"",Lokalbeskrivn!$M$4&lt;&gt;""),"",U161)</f>
        <v/>
      </c>
      <c r="U161" s="330" t="s">
        <v>1214</v>
      </c>
      <c r="V161" s="351" t="s">
        <v>1213</v>
      </c>
      <c r="W161" s="2"/>
      <c r="Y161" s="401" t="s">
        <v>1648</v>
      </c>
      <c r="Z161" s="401" t="s">
        <v>1649</v>
      </c>
      <c r="AB161" s="472" t="str">
        <f>IF(COUNT(AB153:AB160)&gt;0,MAX(AB153:AB160)+1,"")</f>
        <v/>
      </c>
      <c r="AC161" s="433" t="str">
        <f>IF(AND(AH161&lt;&gt;"",AG161&lt;&gt;"",AI161&gt;0,AH161&gt;0),MAX(AC$2:AC160)+1,"XX")</f>
        <v>XX</v>
      </c>
      <c r="AD161" s="429" t="str">
        <f>IF('Antal &amp; Längder (vikter)'!$C$23&lt;&gt;"",'Antal &amp; Längder (vikter)'!$C$23,"XX")</f>
        <v>XX</v>
      </c>
      <c r="AE161" s="414" t="str">
        <f>IF(AND('Antal &amp; Längder (vikter)'!D$25&lt;&gt;"",ISNUMBER($AH161)),'Antal &amp; Längder (vikter)'!D$25,"")</f>
        <v/>
      </c>
      <c r="AF161" s="425" t="str">
        <f t="shared" si="6"/>
        <v/>
      </c>
      <c r="AG161" s="426" t="str">
        <f t="shared" si="7"/>
        <v/>
      </c>
      <c r="AH161" s="409" t="str">
        <f>IF('Antal &amp; Längder (vikter)'!E$26="Längd (mm)",IF('Antal &amp; Längder (vikter)'!E35&lt;&gt;"",'Antal &amp; Längder (vikter)'!E35,"XX"),"XX")</f>
        <v>XX</v>
      </c>
      <c r="AI161" s="7">
        <v>-9</v>
      </c>
      <c r="AN161" s="357"/>
      <c r="AO161" s="357"/>
      <c r="AP161" s="357"/>
      <c r="AQ161" s="357"/>
      <c r="AR161" s="357"/>
      <c r="AS161" s="357"/>
      <c r="AT161" s="357"/>
      <c r="AU161" s="357"/>
      <c r="AV161" s="357"/>
    </row>
    <row r="162" spans="5:48" x14ac:dyDescent="0.25">
      <c r="E162" s="2"/>
      <c r="F162" s="199">
        <f>COUNTIF(J$113:J162,J162)</f>
        <v>3</v>
      </c>
      <c r="G162" t="s">
        <v>181</v>
      </c>
      <c r="H162" s="330">
        <v>662</v>
      </c>
      <c r="I162" s="330">
        <v>6</v>
      </c>
      <c r="J162" t="s">
        <v>122</v>
      </c>
      <c r="K162" s="143"/>
      <c r="L162" s="220" t="str">
        <f>IF(Protokoll!I$1&lt;&gt;"",IF(N161=N$113,IF(AND(DMAX(F$113:J$403,F$113,O161:O162)&gt;COUNTA(L$111:L161)-2,DCOUNTA(F$113:J$403,G$113,N161:O162)=1),DGET(F$113:J$403,G$113,N161:O162),""),IF(AND(DMAX(F$113:J$403,F$113,Q161:Q162)&gt;COUNTA(L$111:L161)-2,DCOUNTA(F$113:J$403,G$113,P161:Q162)=1),DGET(F$113:J$403,G$113,P161:Q162),"")),G162)</f>
        <v/>
      </c>
      <c r="M162" s="143"/>
      <c r="N162" s="221" t="str">
        <f>IF(N161=N$113,IF(COUNT(N$113:Q161)&lt;DMAX(F$113:J$403,F$113,O161:O162),COUNT(N$113:Q161)+1,""),IF(COUNT(N$113:Q161)&lt;DMAX(F$113:J$403,F$113,Q161:Q162),N$113,""))</f>
        <v/>
      </c>
      <c r="O162" s="222" t="str">
        <f>IF(O161=O$113,IF(COUNTA(L$111:L161)-2&lt;DMAX(F$113:J$403,F$113,Q160:Q161),Protokoll!I$1,""),IF(O161&lt;&gt;"",IF(COUNTA(L$111:L161)-1&lt;DMAX(F$113:J$403,F$113,O160:O161),O$113,""),""))</f>
        <v/>
      </c>
      <c r="P162" s="223" t="str">
        <f>IF(N161=N$113,IF(COUNT(N$113:Q161)&lt;DMAX(F$113:J$403,F$113,O161:O162),N$113,""),IF(COUNT(N$113:Q161)&lt;DMAX(F$113:J$403,F$113,Q161:Q162),COUNT(N$113:Q161)+1,""))</f>
        <v/>
      </c>
      <c r="Q162" s="199" t="str">
        <f>IF(O161=O$113,IF(COUNTA(L$111:L161)-2&lt;DMAX(F$113:J$403,F$113,Q160:Q161),O$113,""),IF(Q161&lt;&gt;"",IF(COUNTA(L$111:L161)-2&lt;DMAX(F$113:J$403,F$113,O160:O161),Protokoll!I$1,""),""))</f>
        <v/>
      </c>
      <c r="T162" s="331" t="str">
        <f>IF(OR(Protokoll!$X$5&lt;&gt;"",Lokalbeskrivn!$M$4&lt;&gt;""),"",U162)</f>
        <v/>
      </c>
      <c r="U162" s="330" t="s">
        <v>1216</v>
      </c>
      <c r="V162" s="351" t="s">
        <v>1215</v>
      </c>
      <c r="W162" s="2"/>
      <c r="Y162" s="401" t="s">
        <v>1525</v>
      </c>
      <c r="Z162" s="401" t="s">
        <v>1650</v>
      </c>
      <c r="AB162" s="479" t="str">
        <f>IF(COUNT(AB153:AB161)&gt;0,MAX(AB153:AB161)+1,"")</f>
        <v/>
      </c>
      <c r="AC162" s="433" t="str">
        <f>IF(AND(AH162&lt;&gt;"",AG162&lt;&gt;"",AI162&gt;0,AH162&gt;0),MAX(AC$2:AC161)+1,"XX")</f>
        <v>XX</v>
      </c>
      <c r="AD162" s="429" t="str">
        <f>IF('Antal &amp; Längder (vikter)'!$C$23&lt;&gt;"",'Antal &amp; Längder (vikter)'!$C$23,"XX")</f>
        <v>XX</v>
      </c>
      <c r="AE162" s="414" t="str">
        <f>IF(AND('Antal &amp; Längder (vikter)'!D$25&lt;&gt;"",ISNUMBER($AH162)),'Antal &amp; Längder (vikter)'!D$25,"")</f>
        <v/>
      </c>
      <c r="AF162" s="425" t="str">
        <f t="shared" si="6"/>
        <v/>
      </c>
      <c r="AG162" s="426" t="str">
        <f t="shared" si="7"/>
        <v/>
      </c>
      <c r="AH162" s="409" t="str">
        <f>IF('Antal &amp; Längder (vikter)'!E$26="Längd (mm)",IF('Antal &amp; Längder (vikter)'!E36&lt;&gt;"",'Antal &amp; Längder (vikter)'!E36,"XX"),"XX")</f>
        <v>XX</v>
      </c>
      <c r="AI162" s="7">
        <v>-9</v>
      </c>
      <c r="AN162" s="357"/>
      <c r="AO162" s="357"/>
      <c r="AP162" s="357"/>
      <c r="AQ162" s="357"/>
      <c r="AR162" s="357"/>
      <c r="AS162" s="357"/>
      <c r="AT162" s="357"/>
      <c r="AU162" s="357"/>
      <c r="AV162" s="357"/>
    </row>
    <row r="163" spans="5:48" x14ac:dyDescent="0.25">
      <c r="E163" s="2"/>
      <c r="F163" s="199">
        <f>COUNTIF(J$113:J163,J163)</f>
        <v>3</v>
      </c>
      <c r="G163" t="s">
        <v>182</v>
      </c>
      <c r="H163" s="330">
        <v>461</v>
      </c>
      <c r="I163" s="330">
        <v>4</v>
      </c>
      <c r="J163" t="s">
        <v>138</v>
      </c>
      <c r="K163" s="143"/>
      <c r="L163" s="220" t="str">
        <f>IF(Protokoll!I$1&lt;&gt;"",IF(N162=N$113,IF(AND(DMAX(F$113:J$403,F$113,O162:O163)&gt;COUNTA(L$111:L162)-2,DCOUNTA(F$113:J$403,G$113,N162:O163)=1),DGET(F$113:J$403,G$113,N162:O163),""),IF(AND(DMAX(F$113:J$403,F$113,Q162:Q163)&gt;COUNTA(L$111:L162)-2,DCOUNTA(F$113:J$403,G$113,P162:Q163)=1),DGET(F$113:J$403,G$113,P162:Q163),"")),G163)</f>
        <v/>
      </c>
      <c r="M163" s="143"/>
      <c r="N163" s="221" t="str">
        <f>IF(N162=N$113,IF(COUNT(N$113:Q162)&lt;DMAX(F$113:J$403,F$113,O162:O163),COUNT(N$113:Q162)+1,""),IF(COUNT(N$113:Q162)&lt;DMAX(F$113:J$403,F$113,Q162:Q163),N$113,""))</f>
        <v/>
      </c>
      <c r="O163" s="222" t="str">
        <f>IF(O162=O$113,IF(COUNTA(L$111:L162)-2&lt;DMAX(F$113:J$403,F$113,Q161:Q162),Protokoll!I$1,""),IF(O162&lt;&gt;"",IF(COUNTA(L$111:L162)-1&lt;DMAX(F$113:J$403,F$113,O161:O162),O$113,""),""))</f>
        <v/>
      </c>
      <c r="P163" s="223" t="str">
        <f>IF(N162=N$113,IF(COUNT(N$113:Q162)&lt;DMAX(F$113:J$403,F$113,O162:O163),N$113,""),IF(COUNT(N$113:Q162)&lt;DMAX(F$113:J$403,F$113,Q162:Q163),COUNT(N$113:Q162)+1,""))</f>
        <v/>
      </c>
      <c r="Q163" s="199" t="str">
        <f>IF(O162=O$113,IF(COUNTA(L$111:L162)-2&lt;DMAX(F$113:J$403,F$113,Q161:Q162),O$113,""),IF(Q162&lt;&gt;"",IF(COUNTA(L$111:L162)-2&lt;DMAX(F$113:J$403,F$113,O161:O162),Protokoll!I$1,""),""))</f>
        <v/>
      </c>
      <c r="T163" s="331" t="str">
        <f>IF(OR(Protokoll!$X$5&lt;&gt;"",Lokalbeskrivn!$M$4&lt;&gt;""),"",U163)</f>
        <v/>
      </c>
      <c r="U163" s="330" t="s">
        <v>1218</v>
      </c>
      <c r="V163" s="351" t="s">
        <v>1217</v>
      </c>
      <c r="W163" s="2"/>
      <c r="Y163" s="401" t="s">
        <v>1765</v>
      </c>
      <c r="Z163" s="401" t="s">
        <v>1766</v>
      </c>
      <c r="AB163" s="480" t="str">
        <f>IF(AND(ISNUMBER(AH163),AH163&gt;0),IF(MAX(AB$3:AB162)&gt;0,MAX(AB$3:AB162)+1,10+COUNTIF(F$38:F$49,"&gt;0")*10+1),"")</f>
        <v/>
      </c>
      <c r="AC163" s="433" t="str">
        <f>IF(AND(AH163&lt;&gt;"",AG163&lt;&gt;"",AI163&gt;0,AH163&gt;0),MAX(AC$2:AC162)+1,"XX")</f>
        <v>XX</v>
      </c>
      <c r="AD163" s="429" t="str">
        <f>IF('Antal &amp; Längder (vikter)'!$C$23&lt;&gt;"",'Antal &amp; Längder (vikter)'!$C$23,"XX")</f>
        <v>XX</v>
      </c>
      <c r="AE163" s="406" t="str">
        <f>IF(AND('Antal &amp; Längder (vikter)'!F$25&lt;&gt;"",ISNUMBER($AH163)),'Antal &amp; Längder (vikter)'!F$25,"")</f>
        <v/>
      </c>
      <c r="AF163" s="425" t="str">
        <f t="shared" si="6"/>
        <v/>
      </c>
      <c r="AG163" s="426" t="str">
        <f t="shared" si="7"/>
        <v/>
      </c>
      <c r="AH163" s="407" t="str">
        <f>IF('Antal &amp; Längder (vikter)'!F27&lt;&gt;"",'Antal &amp; Längder (vikter)'!F27,"XX")</f>
        <v>XX</v>
      </c>
      <c r="AI163" s="436">
        <f>IF('Antal &amp; Längder (vikter)'!G$26="Vikt (g)",'Antal &amp; Längder (vikter)'!G27,-9)</f>
        <v>-9</v>
      </c>
      <c r="AN163" s="357"/>
      <c r="AO163" s="357"/>
      <c r="AP163" s="357"/>
      <c r="AQ163" s="357"/>
      <c r="AR163" s="357"/>
      <c r="AS163" s="357"/>
      <c r="AT163" s="357"/>
      <c r="AU163" s="357"/>
      <c r="AV163" s="357"/>
    </row>
    <row r="164" spans="5:48" x14ac:dyDescent="0.25">
      <c r="E164" s="2"/>
      <c r="F164" s="199">
        <f>COUNTIF(J$113:J164,J164)</f>
        <v>4</v>
      </c>
      <c r="G164" t="s">
        <v>183</v>
      </c>
      <c r="H164" s="330">
        <v>617</v>
      </c>
      <c r="I164" s="330">
        <v>6</v>
      </c>
      <c r="J164" t="s">
        <v>122</v>
      </c>
      <c r="K164" s="143"/>
      <c r="L164" s="220" t="str">
        <f>IF(Protokoll!I$1&lt;&gt;"",IF(N163=N$113,IF(AND(DMAX(F$113:J$403,F$113,O163:O164)&gt;COUNTA(L$111:L163)-2,DCOUNTA(F$113:J$403,G$113,N163:O164)=1),DGET(F$113:J$403,G$113,N163:O164),""),IF(AND(DMAX(F$113:J$403,F$113,Q163:Q164)&gt;COUNTA(L$111:L163)-2,DCOUNTA(F$113:J$403,G$113,P163:Q164)=1),DGET(F$113:J$403,G$113,P163:Q164),"")),G164)</f>
        <v/>
      </c>
      <c r="M164" s="143"/>
      <c r="N164" s="221" t="str">
        <f>IF(N163=N$113,IF(COUNT(N$113:Q163)&lt;DMAX(F$113:J$403,F$113,O163:O164),COUNT(N$113:Q163)+1,""),IF(COUNT(N$113:Q163)&lt;DMAX(F$113:J$403,F$113,Q163:Q164),N$113,""))</f>
        <v/>
      </c>
      <c r="O164" s="222" t="str">
        <f>IF(O163=O$113,IF(COUNTA(L$111:L163)-2&lt;DMAX(F$113:J$403,F$113,Q162:Q163),Protokoll!I$1,""),IF(O163&lt;&gt;"",IF(COUNTA(L$111:L163)-1&lt;DMAX(F$113:J$403,F$113,O162:O163),O$113,""),""))</f>
        <v/>
      </c>
      <c r="P164" s="223" t="str">
        <f>IF(N163=N$113,IF(COUNT(N$113:Q163)&lt;DMAX(F$113:J$403,F$113,O163:O164),N$113,""),IF(COUNT(N$113:Q163)&lt;DMAX(F$113:J$403,F$113,Q163:Q164),COUNT(N$113:Q163)+1,""))</f>
        <v/>
      </c>
      <c r="Q164" s="199" t="str">
        <f>IF(O163=O$113,IF(COUNTA(L$111:L163)-2&lt;DMAX(F$113:J$403,F$113,Q162:Q163),O$113,""),IF(Q163&lt;&gt;"",IF(COUNTA(L$111:L163)-2&lt;DMAX(F$113:J$403,F$113,O162:O163),Protokoll!I$1,""),""))</f>
        <v/>
      </c>
      <c r="T164" s="331" t="str">
        <f>IF(OR(Protokoll!$X$5&lt;&gt;"",Lokalbeskrivn!$M$4&lt;&gt;""),"",U164)</f>
        <v/>
      </c>
      <c r="U164" s="330" t="s">
        <v>1220</v>
      </c>
      <c r="V164" s="351" t="s">
        <v>1219</v>
      </c>
      <c r="W164" s="2"/>
      <c r="Y164" s="401" t="s">
        <v>1723</v>
      </c>
      <c r="Z164" s="401" t="s">
        <v>1724</v>
      </c>
      <c r="AB164" s="476" t="str">
        <f>IF(COUNT(AB163:AB163)&gt;0,MAX(AB163:AB163)+1,"")</f>
        <v/>
      </c>
      <c r="AC164" s="433" t="str">
        <f>IF(AND(AH164&lt;&gt;"",AG164&lt;&gt;"",AI164&gt;0,AH164&gt;0),MAX(AC$2:AC163)+1,"XX")</f>
        <v>XX</v>
      </c>
      <c r="AD164" s="429" t="str">
        <f>IF('Antal &amp; Längder (vikter)'!$C$23&lt;&gt;"",'Antal &amp; Längder (vikter)'!$C$23,"XX")</f>
        <v>XX</v>
      </c>
      <c r="AE164" s="406" t="str">
        <f>IF(AND('Antal &amp; Längder (vikter)'!F$25&lt;&gt;"",ISNUMBER($AH164)),'Antal &amp; Längder (vikter)'!F$25,"")</f>
        <v/>
      </c>
      <c r="AF164" s="425" t="str">
        <f t="shared" si="6"/>
        <v/>
      </c>
      <c r="AG164" s="426" t="str">
        <f t="shared" si="7"/>
        <v/>
      </c>
      <c r="AH164" s="407" t="str">
        <f>IF('Antal &amp; Längder (vikter)'!F28&lt;&gt;"",'Antal &amp; Längder (vikter)'!F28,"XX")</f>
        <v>XX</v>
      </c>
      <c r="AI164" s="436">
        <f>IF('Antal &amp; Längder (vikter)'!G$26="Vikt (g)",'Antal &amp; Längder (vikter)'!G28,-9)</f>
        <v>-9</v>
      </c>
      <c r="AN164" s="357"/>
      <c r="AO164" s="357"/>
      <c r="AP164" s="357"/>
      <c r="AQ164" s="357"/>
      <c r="AR164" s="357"/>
      <c r="AS164" s="357"/>
      <c r="AT164" s="357"/>
      <c r="AU164" s="357"/>
      <c r="AV164" s="357"/>
    </row>
    <row r="165" spans="5:48" x14ac:dyDescent="0.25">
      <c r="E165" s="2"/>
      <c r="F165" s="199">
        <f>COUNTIF(J$113:J165,J165)</f>
        <v>1</v>
      </c>
      <c r="G165" t="s">
        <v>184</v>
      </c>
      <c r="H165" s="330">
        <v>980</v>
      </c>
      <c r="I165" s="330">
        <v>9</v>
      </c>
      <c r="J165" t="s">
        <v>115</v>
      </c>
      <c r="K165" s="143"/>
      <c r="L165" s="220" t="str">
        <f>IF(Protokoll!I$1&lt;&gt;"",IF(N164=N$113,IF(AND(DMAX(F$113:J$403,F$113,O164:O165)&gt;COUNTA(L$111:L164)-2,DCOUNTA(F$113:J$403,G$113,N164:O165)=1),DGET(F$113:J$403,G$113,N164:O165),""),IF(AND(DMAX(F$113:J$403,F$113,Q164:Q165)&gt;COUNTA(L$111:L164)-2,DCOUNTA(F$113:J$403,G$113,P164:Q165)=1),DGET(F$113:J$403,G$113,P164:Q165),"")),G165)</f>
        <v/>
      </c>
      <c r="M165" s="143"/>
      <c r="N165" s="221" t="str">
        <f>IF(N164=N$113,IF(COUNT(N$113:Q164)&lt;DMAX(F$113:J$403,F$113,O164:O165),COUNT(N$113:Q164)+1,""),IF(COUNT(N$113:Q164)&lt;DMAX(F$113:J$403,F$113,Q164:Q165),N$113,""))</f>
        <v/>
      </c>
      <c r="O165" s="222" t="str">
        <f>IF(O164=O$113,IF(COUNTA(L$111:L164)-2&lt;DMAX(F$113:J$403,F$113,Q163:Q164),Protokoll!I$1,""),IF(O164&lt;&gt;"",IF(COUNTA(L$111:L164)-1&lt;DMAX(F$113:J$403,F$113,O163:O164),O$113,""),""))</f>
        <v/>
      </c>
      <c r="P165" s="223" t="str">
        <f>IF(N164=N$113,IF(COUNT(N$113:Q164)&lt;DMAX(F$113:J$403,F$113,O164:O165),N$113,""),IF(COUNT(N$113:Q164)&lt;DMAX(F$113:J$403,F$113,Q164:Q165),COUNT(N$113:Q164)+1,""))</f>
        <v/>
      </c>
      <c r="Q165" s="199" t="str">
        <f>IF(O164=O$113,IF(COUNTA(L$111:L164)-2&lt;DMAX(F$113:J$403,F$113,Q163:Q164),O$113,""),IF(Q164&lt;&gt;"",IF(COUNTA(L$111:L164)-2&lt;DMAX(F$113:J$403,F$113,O163:O164),Protokoll!I$1,""),""))</f>
        <v/>
      </c>
      <c r="T165" s="331" t="str">
        <f>IF(OR(Protokoll!$X$5&lt;&gt;"",Lokalbeskrivn!$M$4&lt;&gt;""),"",U165)</f>
        <v/>
      </c>
      <c r="U165" s="330" t="s">
        <v>1222</v>
      </c>
      <c r="V165" s="351" t="s">
        <v>1221</v>
      </c>
      <c r="W165" s="2"/>
      <c r="Y165" s="401" t="s">
        <v>2412</v>
      </c>
      <c r="Z165" s="401" t="s">
        <v>2413</v>
      </c>
      <c r="AB165" s="477" t="str">
        <f>IF(COUNT(AB163:AB164)&gt;0,MAX(AB163:AB164)+1,"")</f>
        <v/>
      </c>
      <c r="AC165" s="433" t="str">
        <f>IF(AND(AH165&lt;&gt;"",AG165&lt;&gt;"",AI165&gt;0,AH165&gt;0),MAX(AC$2:AC164)+1,"XX")</f>
        <v>XX</v>
      </c>
      <c r="AD165" s="429" t="str">
        <f>IF('Antal &amp; Längder (vikter)'!$C$23&lt;&gt;"",'Antal &amp; Längder (vikter)'!$C$23,"XX")</f>
        <v>XX</v>
      </c>
      <c r="AE165" s="406" t="str">
        <f>IF(AND('Antal &amp; Längder (vikter)'!F$25&lt;&gt;"",ISNUMBER($AH165)),'Antal &amp; Längder (vikter)'!F$25,"")</f>
        <v/>
      </c>
      <c r="AF165" s="425" t="str">
        <f t="shared" si="6"/>
        <v/>
      </c>
      <c r="AG165" s="426" t="str">
        <f t="shared" si="7"/>
        <v/>
      </c>
      <c r="AH165" s="407" t="str">
        <f>IF('Antal &amp; Längder (vikter)'!F29&lt;&gt;"",'Antal &amp; Längder (vikter)'!F29,"XX")</f>
        <v>XX</v>
      </c>
      <c r="AI165" s="436">
        <f>IF('Antal &amp; Längder (vikter)'!G$26="Vikt (g)",'Antal &amp; Längder (vikter)'!G29,-9)</f>
        <v>-9</v>
      </c>
      <c r="AN165" s="357"/>
      <c r="AO165" s="357"/>
      <c r="AP165" s="357"/>
      <c r="AQ165" s="357"/>
      <c r="AR165" s="357"/>
      <c r="AS165" s="357"/>
      <c r="AT165" s="357"/>
      <c r="AU165" s="357"/>
      <c r="AV165" s="357"/>
    </row>
    <row r="166" spans="5:48" x14ac:dyDescent="0.25">
      <c r="E166" s="2"/>
      <c r="F166" s="199">
        <f>COUNTIF(J$113:J166,J166)</f>
        <v>5</v>
      </c>
      <c r="G166" t="s">
        <v>185</v>
      </c>
      <c r="H166" s="330">
        <v>1764</v>
      </c>
      <c r="I166" s="330">
        <v>17</v>
      </c>
      <c r="J166" t="s">
        <v>131</v>
      </c>
      <c r="K166" s="143"/>
      <c r="L166" s="220" t="str">
        <f>IF(Protokoll!I$1&lt;&gt;"",IF(N165=N$113,IF(AND(DMAX(F$113:J$403,F$113,O165:O166)&gt;COUNTA(L$111:L165)-2,DCOUNTA(F$113:J$403,G$113,N165:O166)=1),DGET(F$113:J$403,G$113,N165:O166),""),IF(AND(DMAX(F$113:J$403,F$113,Q165:Q166)&gt;COUNTA(L$111:L165)-2,DCOUNTA(F$113:J$403,G$113,P165:Q166)=1),DGET(F$113:J$403,G$113,P165:Q166),"")),G166)</f>
        <v/>
      </c>
      <c r="M166" s="143"/>
      <c r="N166" s="221" t="str">
        <f>IF(N165=N$113,IF(COUNT(N$113:Q165)&lt;DMAX(F$113:J$403,F$113,O165:O166),COUNT(N$113:Q165)+1,""),IF(COUNT(N$113:Q165)&lt;DMAX(F$113:J$403,F$113,Q165:Q166),N$113,""))</f>
        <v/>
      </c>
      <c r="O166" s="222" t="str">
        <f>IF(O165=O$113,IF(COUNTA(L$111:L165)-2&lt;DMAX(F$113:J$403,F$113,Q164:Q165),Protokoll!I$1,""),IF(O165&lt;&gt;"",IF(COUNTA(L$111:L165)-1&lt;DMAX(F$113:J$403,F$113,O164:O165),O$113,""),""))</f>
        <v/>
      </c>
      <c r="P166" s="223" t="str">
        <f>IF(N165=N$113,IF(COUNT(N$113:Q165)&lt;DMAX(F$113:J$403,F$113,O165:O166),N$113,""),IF(COUNT(N$113:Q165)&lt;DMAX(F$113:J$403,F$113,Q165:Q166),COUNT(N$113:Q165)+1,""))</f>
        <v/>
      </c>
      <c r="Q166" s="199" t="str">
        <f>IF(O165=O$113,IF(COUNTA(L$111:L165)-2&lt;DMAX(F$113:J$403,F$113,Q164:Q165),O$113,""),IF(Q165&lt;&gt;"",IF(COUNTA(L$111:L165)-2&lt;DMAX(F$113:J$403,F$113,O164:O165),Protokoll!I$1,""),""))</f>
        <v/>
      </c>
      <c r="T166" s="331" t="str">
        <f>IF(OR(Protokoll!$X$5&lt;&gt;"",Lokalbeskrivn!$M$4&lt;&gt;""),"",U166)</f>
        <v/>
      </c>
      <c r="U166" s="330" t="s">
        <v>1224</v>
      </c>
      <c r="V166" s="351" t="s">
        <v>1223</v>
      </c>
      <c r="W166" s="2"/>
      <c r="Y166" s="401" t="s">
        <v>2414</v>
      </c>
      <c r="Z166" s="401" t="s">
        <v>2415</v>
      </c>
      <c r="AB166" s="434" t="str">
        <f>IF(COUNT(AB163:AB165)&gt;0,MAX(AB163:AB165)+1,"")</f>
        <v/>
      </c>
      <c r="AC166" s="433" t="str">
        <f>IF(AND(AH166&lt;&gt;"",AG166&lt;&gt;"",AI166&gt;0,AH166&gt;0),MAX(AC$2:AC165)+1,"XX")</f>
        <v>XX</v>
      </c>
      <c r="AD166" s="429" t="str">
        <f>IF('Antal &amp; Längder (vikter)'!$C$23&lt;&gt;"",'Antal &amp; Längder (vikter)'!$C$23,"XX")</f>
        <v>XX</v>
      </c>
      <c r="AE166" s="406" t="str">
        <f>IF(AND('Antal &amp; Längder (vikter)'!F$25&lt;&gt;"",ISNUMBER($AH166)),'Antal &amp; Längder (vikter)'!F$25,"")</f>
        <v/>
      </c>
      <c r="AF166" s="425" t="str">
        <f t="shared" si="6"/>
        <v/>
      </c>
      <c r="AG166" s="426" t="str">
        <f t="shared" si="7"/>
        <v/>
      </c>
      <c r="AH166" s="407" t="str">
        <f>IF('Antal &amp; Längder (vikter)'!F30&lt;&gt;"",'Antal &amp; Längder (vikter)'!F30,"XX")</f>
        <v>XX</v>
      </c>
      <c r="AI166" s="436">
        <f>IF('Antal &amp; Längder (vikter)'!G$26="Vikt (g)",'Antal &amp; Längder (vikter)'!G30,-9)</f>
        <v>-9</v>
      </c>
      <c r="AN166" s="357"/>
      <c r="AO166" s="357"/>
      <c r="AP166" s="357"/>
      <c r="AQ166" s="357"/>
      <c r="AR166" s="357"/>
      <c r="AS166" s="357"/>
      <c r="AT166" s="357"/>
      <c r="AU166" s="357"/>
      <c r="AV166" s="357"/>
    </row>
    <row r="167" spans="5:48" x14ac:dyDescent="0.25">
      <c r="E167" s="2"/>
      <c r="F167" s="199">
        <f>COUNTIF(J$113:J167,J167)</f>
        <v>10</v>
      </c>
      <c r="G167" t="s">
        <v>186</v>
      </c>
      <c r="H167" s="330">
        <v>1444</v>
      </c>
      <c r="I167" s="330">
        <v>14</v>
      </c>
      <c r="J167" t="s">
        <v>114</v>
      </c>
      <c r="K167" s="143"/>
      <c r="L167" s="220" t="str">
        <f>IF(Protokoll!I$1&lt;&gt;"",IF(N166=N$113,IF(AND(DMAX(F$113:J$403,F$113,O166:O167)&gt;COUNTA(L$111:L166)-2,DCOUNTA(F$113:J$403,G$113,N166:O167)=1),DGET(F$113:J$403,G$113,N166:O167),""),IF(AND(DMAX(F$113:J$403,F$113,Q166:Q167)&gt;COUNTA(L$111:L166)-2,DCOUNTA(F$113:J$403,G$113,P166:Q167)=1),DGET(F$113:J$403,G$113,P166:Q167),"")),G167)</f>
        <v/>
      </c>
      <c r="M167" s="143"/>
      <c r="N167" s="221" t="str">
        <f>IF(N166=N$113,IF(COUNT(N$113:Q166)&lt;DMAX(F$113:J$403,F$113,O166:O167),COUNT(N$113:Q166)+1,""),IF(COUNT(N$113:Q166)&lt;DMAX(F$113:J$403,F$113,Q166:Q167),N$113,""))</f>
        <v/>
      </c>
      <c r="O167" s="222" t="str">
        <f>IF(O166=O$113,IF(COUNTA(L$111:L166)-2&lt;DMAX(F$113:J$403,F$113,Q165:Q166),Protokoll!I$1,""),IF(O166&lt;&gt;"",IF(COUNTA(L$111:L166)-1&lt;DMAX(F$113:J$403,F$113,O165:O166),O$113,""),""))</f>
        <v/>
      </c>
      <c r="P167" s="223" t="str">
        <f>IF(N166=N$113,IF(COUNT(N$113:Q166)&lt;DMAX(F$113:J$403,F$113,O166:O167),N$113,""),IF(COUNT(N$113:Q166)&lt;DMAX(F$113:J$403,F$113,Q166:Q167),COUNT(N$113:Q166)+1,""))</f>
        <v/>
      </c>
      <c r="Q167" s="199" t="str">
        <f>IF(O166=O$113,IF(COUNTA(L$111:L166)-2&lt;DMAX(F$113:J$403,F$113,Q165:Q166),O$113,""),IF(Q166&lt;&gt;"",IF(COUNTA(L$111:L166)-2&lt;DMAX(F$113:J$403,F$113,O165:O166),Protokoll!I$1,""),""))</f>
        <v/>
      </c>
      <c r="T167" s="331" t="str">
        <f>IF(OR(Protokoll!$X$5&lt;&gt;"",Lokalbeskrivn!$M$4&lt;&gt;""),"",U167)</f>
        <v/>
      </c>
      <c r="U167" s="330" t="s">
        <v>1226</v>
      </c>
      <c r="V167" s="351" t="s">
        <v>1225</v>
      </c>
      <c r="W167" s="2"/>
      <c r="Y167" s="401" t="s">
        <v>2260</v>
      </c>
      <c r="Z167" s="401" t="s">
        <v>2261</v>
      </c>
      <c r="AB167" s="475" t="str">
        <f>IF(COUNT(AB163:AB166)&gt;0,MAX(AB163:AB166)+1,"")</f>
        <v/>
      </c>
      <c r="AC167" s="433" t="str">
        <f>IF(AND(AH167&lt;&gt;"",AG167&lt;&gt;"",AI167&gt;0,AH167&gt;0),MAX(AC$2:AC166)+1,"XX")</f>
        <v>XX</v>
      </c>
      <c r="AD167" s="429" t="str">
        <f>IF('Antal &amp; Längder (vikter)'!$C$23&lt;&gt;"",'Antal &amp; Längder (vikter)'!$C$23,"XX")</f>
        <v>XX</v>
      </c>
      <c r="AE167" s="406" t="str">
        <f>IF(AND('Antal &amp; Längder (vikter)'!F$25&lt;&gt;"",ISNUMBER($AH167)),'Antal &amp; Längder (vikter)'!F$25,"")</f>
        <v/>
      </c>
      <c r="AF167" s="425" t="str">
        <f t="shared" si="6"/>
        <v/>
      </c>
      <c r="AG167" s="426" t="str">
        <f t="shared" si="7"/>
        <v/>
      </c>
      <c r="AH167" s="407" t="str">
        <f>IF('Antal &amp; Längder (vikter)'!F31&lt;&gt;"",'Antal &amp; Längder (vikter)'!F31,"XX")</f>
        <v>XX</v>
      </c>
      <c r="AI167" s="436">
        <f>IF('Antal &amp; Längder (vikter)'!G$26="Vikt (g)",'Antal &amp; Längder (vikter)'!G31,-9)</f>
        <v>-9</v>
      </c>
      <c r="AN167" s="357"/>
      <c r="AO167" s="357"/>
      <c r="AP167" s="357"/>
      <c r="AQ167" s="357"/>
      <c r="AR167" s="357"/>
      <c r="AS167" s="357"/>
      <c r="AT167" s="357"/>
      <c r="AU167" s="357"/>
      <c r="AV167" s="357"/>
    </row>
    <row r="168" spans="5:48" x14ac:dyDescent="0.25">
      <c r="E168" s="2"/>
      <c r="F168" s="199">
        <f>COUNTIF(J$113:J168,J168)</f>
        <v>11</v>
      </c>
      <c r="G168" t="s">
        <v>187</v>
      </c>
      <c r="H168" s="330">
        <v>1447</v>
      </c>
      <c r="I168" s="330">
        <v>14</v>
      </c>
      <c r="J168" t="s">
        <v>114</v>
      </c>
      <c r="K168" s="143"/>
      <c r="L168" s="220" t="str">
        <f>IF(Protokoll!I$1&lt;&gt;"",IF(N167=N$113,IF(AND(DMAX(F$113:J$403,F$113,O167:O168)&gt;COUNTA(L$111:L167)-2,DCOUNTA(F$113:J$403,G$113,N167:O168)=1),DGET(F$113:J$403,G$113,N167:O168),""),IF(AND(DMAX(F$113:J$403,F$113,Q167:Q168)&gt;COUNTA(L$111:L167)-2,DCOUNTA(F$113:J$403,G$113,P167:Q168)=1),DGET(F$113:J$403,G$113,P167:Q168),"")),G168)</f>
        <v/>
      </c>
      <c r="M168" s="143"/>
      <c r="N168" s="221" t="str">
        <f>IF(N167=N$113,IF(COUNT(N$113:Q167)&lt;DMAX(F$113:J$403,F$113,O167:O168),COUNT(N$113:Q167)+1,""),IF(COUNT(N$113:Q167)&lt;DMAX(F$113:J$403,F$113,Q167:Q168),N$113,""))</f>
        <v/>
      </c>
      <c r="O168" s="222" t="str">
        <f>IF(O167=O$113,IF(COUNTA(L$111:L167)-2&lt;DMAX(F$113:J$403,F$113,Q166:Q167),Protokoll!I$1,""),IF(O167&lt;&gt;"",IF(COUNTA(L$111:L167)-1&lt;DMAX(F$113:J$403,F$113,O166:O167),O$113,""),""))</f>
        <v/>
      </c>
      <c r="P168" s="223" t="str">
        <f>IF(N167=N$113,IF(COUNT(N$113:Q167)&lt;DMAX(F$113:J$403,F$113,O167:O168),N$113,""),IF(COUNT(N$113:Q167)&lt;DMAX(F$113:J$403,F$113,Q167:Q168),COUNT(N$113:Q167)+1,""))</f>
        <v/>
      </c>
      <c r="Q168" s="199" t="str">
        <f>IF(O167=O$113,IF(COUNTA(L$111:L167)-2&lt;DMAX(F$113:J$403,F$113,Q166:Q167),O$113,""),IF(Q167&lt;&gt;"",IF(COUNTA(L$111:L167)-2&lt;DMAX(F$113:J$403,F$113,O166:O167),Protokoll!I$1,""),""))</f>
        <v/>
      </c>
      <c r="T168" s="331" t="str">
        <f>IF(OR(Protokoll!$X$5&lt;&gt;"",Lokalbeskrivn!$M$4&lt;&gt;""),"",U168)</f>
        <v/>
      </c>
      <c r="U168" s="330" t="s">
        <v>1228</v>
      </c>
      <c r="V168" s="351" t="s">
        <v>1227</v>
      </c>
      <c r="W168" s="2"/>
      <c r="Y168" s="401" t="s">
        <v>1972</v>
      </c>
      <c r="Z168" s="401" t="s">
        <v>1973</v>
      </c>
      <c r="AB168" s="471" t="str">
        <f>IF(COUNT(AB163:AB167)&gt;0,MAX(AB163:AB167)+1,"")</f>
        <v/>
      </c>
      <c r="AC168" s="433" t="str">
        <f>IF(AND(AH168&lt;&gt;"",AG168&lt;&gt;"",AI168&gt;0,AH168&gt;0),MAX(AC$2:AC167)+1,"XX")</f>
        <v>XX</v>
      </c>
      <c r="AD168" s="429" t="str">
        <f>IF('Antal &amp; Längder (vikter)'!$C$23&lt;&gt;"",'Antal &amp; Längder (vikter)'!$C$23,"XX")</f>
        <v>XX</v>
      </c>
      <c r="AE168" s="406" t="str">
        <f>IF(AND('Antal &amp; Längder (vikter)'!F$25&lt;&gt;"",ISNUMBER($AH168)),'Antal &amp; Längder (vikter)'!F$25,"")</f>
        <v/>
      </c>
      <c r="AF168" s="425" t="str">
        <f t="shared" si="6"/>
        <v/>
      </c>
      <c r="AG168" s="426" t="str">
        <f t="shared" si="7"/>
        <v/>
      </c>
      <c r="AH168" s="407" t="str">
        <f>IF('Antal &amp; Längder (vikter)'!F32&lt;&gt;"",'Antal &amp; Längder (vikter)'!F32,"XX")</f>
        <v>XX</v>
      </c>
      <c r="AI168" s="436">
        <f>IF('Antal &amp; Längder (vikter)'!G$26="Vikt (g)",'Antal &amp; Längder (vikter)'!G32,-9)</f>
        <v>-9</v>
      </c>
      <c r="AN168" s="357"/>
      <c r="AO168" s="357"/>
      <c r="AP168" s="357"/>
      <c r="AQ168" s="357"/>
      <c r="AR168" s="357"/>
      <c r="AS168" s="357"/>
      <c r="AT168" s="357"/>
      <c r="AU168" s="357"/>
      <c r="AV168" s="357"/>
    </row>
    <row r="169" spans="5:48" x14ac:dyDescent="0.25">
      <c r="E169" s="2"/>
      <c r="F169" s="199">
        <f>COUNTIF(J$113:J169,J169)</f>
        <v>4</v>
      </c>
      <c r="G169" t="s">
        <v>167</v>
      </c>
      <c r="H169" s="330">
        <v>2523</v>
      </c>
      <c r="I169" s="330">
        <v>25</v>
      </c>
      <c r="J169" t="s">
        <v>127</v>
      </c>
      <c r="K169" s="143"/>
      <c r="L169" s="220" t="str">
        <f>IF(Protokoll!I$1&lt;&gt;"",IF(N168=N$113,IF(AND(DMAX(F$113:J$403,F$113,O168:O169)&gt;COUNTA(L$111:L168)-2,DCOUNTA(F$113:J$403,G$113,N168:O169)=1),DGET(F$113:J$403,G$113,N168:O169),""),IF(AND(DMAX(F$113:J$403,F$113,Q168:Q169)&gt;COUNTA(L$111:L168)-2,DCOUNTA(F$113:J$403,G$113,P168:Q169)=1),DGET(F$113:J$403,G$113,P168:Q169),"")),G169)</f>
        <v/>
      </c>
      <c r="M169" s="143"/>
      <c r="N169" s="221" t="str">
        <f>IF(N168=N$113,IF(COUNT(N$113:Q168)&lt;DMAX(F$113:J$403,F$113,O168:O169),COUNT(N$113:Q168)+1,""),IF(COUNT(N$113:Q168)&lt;DMAX(F$113:J$403,F$113,Q168:Q169),N$113,""))</f>
        <v/>
      </c>
      <c r="O169" s="222" t="str">
        <f>IF(O168=O$113,IF(COUNTA(L$111:L168)-2&lt;DMAX(F$113:J$403,F$113,Q167:Q168),Protokoll!I$1,""),IF(O168&lt;&gt;"",IF(COUNTA(L$111:L168)-1&lt;DMAX(F$113:J$403,F$113,O167:O168),O$113,""),""))</f>
        <v/>
      </c>
      <c r="P169" s="223" t="str">
        <f>IF(N168=N$113,IF(COUNT(N$113:Q168)&lt;DMAX(F$113:J$403,F$113,O168:O169),N$113,""),IF(COUNT(N$113:Q168)&lt;DMAX(F$113:J$403,F$113,Q168:Q169),COUNT(N$113:Q168)+1,""))</f>
        <v/>
      </c>
      <c r="Q169" s="199" t="str">
        <f>IF(O168=O$113,IF(COUNTA(L$111:L168)-2&lt;DMAX(F$113:J$403,F$113,Q167:Q168),O$113,""),IF(Q168&lt;&gt;"",IF(COUNTA(L$111:L168)-2&lt;DMAX(F$113:J$403,F$113,O167:O168),Protokoll!I$1,""),""))</f>
        <v/>
      </c>
      <c r="T169" s="331" t="str">
        <f>IF(OR(Protokoll!$X$5&lt;&gt;"",Lokalbeskrivn!$M$4&lt;&gt;""),"",U169)</f>
        <v/>
      </c>
      <c r="U169" s="330" t="s">
        <v>1230</v>
      </c>
      <c r="V169" s="351" t="s">
        <v>1229</v>
      </c>
      <c r="W169" s="2"/>
      <c r="Y169" s="401" t="s">
        <v>2416</v>
      </c>
      <c r="Z169" s="401" t="s">
        <v>2417</v>
      </c>
      <c r="AB169" s="474" t="str">
        <f>IF(COUNT(AB163:AB168)&gt;0,MAX(AB163:AB168)+1,"")</f>
        <v/>
      </c>
      <c r="AC169" s="433" t="str">
        <f>IF(AND(AH169&lt;&gt;"",AG169&lt;&gt;"",AI169&gt;0,AH169&gt;0),MAX(AC$2:AC168)+1,"XX")</f>
        <v>XX</v>
      </c>
      <c r="AD169" s="429" t="str">
        <f>IF('Antal &amp; Längder (vikter)'!$C$23&lt;&gt;"",'Antal &amp; Längder (vikter)'!$C$23,"XX")</f>
        <v>XX</v>
      </c>
      <c r="AE169" s="406" t="str">
        <f>IF(AND('Antal &amp; Längder (vikter)'!F$25&lt;&gt;"",ISNUMBER($AH169)),'Antal &amp; Längder (vikter)'!F$25,"")</f>
        <v/>
      </c>
      <c r="AF169" s="425" t="str">
        <f t="shared" si="6"/>
        <v/>
      </c>
      <c r="AG169" s="426" t="str">
        <f t="shared" si="7"/>
        <v/>
      </c>
      <c r="AH169" s="407" t="str">
        <f>IF('Antal &amp; Längder (vikter)'!F33&lt;&gt;"",'Antal &amp; Längder (vikter)'!F33,"XX")</f>
        <v>XX</v>
      </c>
      <c r="AI169" s="436">
        <f>IF('Antal &amp; Längder (vikter)'!G$26="Vikt (g)",'Antal &amp; Längder (vikter)'!G33,-9)</f>
        <v>-9</v>
      </c>
      <c r="AN169" s="357"/>
      <c r="AO169" s="357"/>
      <c r="AP169" s="357"/>
      <c r="AQ169" s="357"/>
      <c r="AR169" s="357"/>
      <c r="AS169" s="357"/>
      <c r="AT169" s="357"/>
      <c r="AU169" s="357"/>
      <c r="AV169" s="357"/>
    </row>
    <row r="170" spans="5:48" x14ac:dyDescent="0.25">
      <c r="E170" s="2"/>
      <c r="F170" s="199">
        <f>COUNTIF(J$113:J170,J170)</f>
        <v>2</v>
      </c>
      <c r="G170" t="s">
        <v>188</v>
      </c>
      <c r="H170" s="330">
        <v>2180</v>
      </c>
      <c r="I170" s="330">
        <v>21</v>
      </c>
      <c r="J170" t="s">
        <v>117</v>
      </c>
      <c r="K170" s="143"/>
      <c r="L170" s="220" t="str">
        <f>IF(Protokoll!I$1&lt;&gt;"",IF(N169=N$113,IF(AND(DMAX(F$113:J$403,F$113,O169:O170)&gt;COUNTA(L$111:L169)-2,DCOUNTA(F$113:J$403,G$113,N169:O170)=1),DGET(F$113:J$403,G$113,N169:O170),""),IF(AND(DMAX(F$113:J$403,F$113,Q169:Q170)&gt;COUNTA(L$111:L169)-2,DCOUNTA(F$113:J$403,G$113,P169:Q170)=1),DGET(F$113:J$403,G$113,P169:Q170),"")),G170)</f>
        <v/>
      </c>
      <c r="M170" s="143"/>
      <c r="N170" s="221" t="str">
        <f>IF(N169=N$113,IF(COUNT(N$113:Q169)&lt;DMAX(F$113:J$403,F$113,O169:O170),COUNT(N$113:Q169)+1,""),IF(COUNT(N$113:Q169)&lt;DMAX(F$113:J$403,F$113,Q169:Q170),N$113,""))</f>
        <v/>
      </c>
      <c r="O170" s="222" t="str">
        <f>IF(O169=O$113,IF(COUNTA(L$111:L169)-2&lt;DMAX(F$113:J$403,F$113,Q168:Q169),Protokoll!I$1,""),IF(O169&lt;&gt;"",IF(COUNTA(L$111:L169)-1&lt;DMAX(F$113:J$403,F$113,O168:O169),O$113,""),""))</f>
        <v/>
      </c>
      <c r="P170" s="223" t="str">
        <f>IF(N169=N$113,IF(COUNT(N$113:Q169)&lt;DMAX(F$113:J$403,F$113,O169:O170),N$113,""),IF(COUNT(N$113:Q169)&lt;DMAX(F$113:J$403,F$113,Q169:Q170),COUNT(N$113:Q169)+1,""))</f>
        <v/>
      </c>
      <c r="Q170" s="199" t="str">
        <f>IF(O169=O$113,IF(COUNTA(L$111:L169)-2&lt;DMAX(F$113:J$403,F$113,Q168:Q169),O$113,""),IF(Q169&lt;&gt;"",IF(COUNTA(L$111:L169)-2&lt;DMAX(F$113:J$403,F$113,O168:O169),Protokoll!I$1,""),""))</f>
        <v/>
      </c>
      <c r="T170" s="331" t="str">
        <f>IF(OR(Protokoll!$X$5&lt;&gt;"",Lokalbeskrivn!$M$4&lt;&gt;""),"",U170)</f>
        <v/>
      </c>
      <c r="U170" s="330" t="s">
        <v>1232</v>
      </c>
      <c r="V170" s="351" t="s">
        <v>1231</v>
      </c>
      <c r="W170" s="2"/>
      <c r="X170" s="1"/>
      <c r="Y170" s="401" t="s">
        <v>1778</v>
      </c>
      <c r="Z170" s="401" t="s">
        <v>1779</v>
      </c>
      <c r="AB170" s="478" t="str">
        <f>IF(COUNT(AB163:AB169)&gt;0,MAX(AB163:AB169)+1,"")</f>
        <v/>
      </c>
      <c r="AC170" s="433" t="str">
        <f>IF(AND(AH170&lt;&gt;"",AG170&lt;&gt;"",AI170&gt;0,AH170&gt;0),MAX(AC$2:AC169)+1,"XX")</f>
        <v>XX</v>
      </c>
      <c r="AD170" s="429" t="str">
        <f>IF('Antal &amp; Längder (vikter)'!$C$23&lt;&gt;"",'Antal &amp; Längder (vikter)'!$C$23,"XX")</f>
        <v>XX</v>
      </c>
      <c r="AE170" s="406" t="str">
        <f>IF(AND('Antal &amp; Längder (vikter)'!F$25&lt;&gt;"",ISNUMBER($AH170)),'Antal &amp; Längder (vikter)'!F$25,"")</f>
        <v/>
      </c>
      <c r="AF170" s="425" t="str">
        <f t="shared" si="6"/>
        <v/>
      </c>
      <c r="AG170" s="426" t="str">
        <f t="shared" si="7"/>
        <v/>
      </c>
      <c r="AH170" s="407" t="str">
        <f>IF('Antal &amp; Längder (vikter)'!F34&lt;&gt;"",'Antal &amp; Längder (vikter)'!F34,"XX")</f>
        <v>XX</v>
      </c>
      <c r="AI170" s="436">
        <f>IF('Antal &amp; Längder (vikter)'!G$26="Vikt (g)",'Antal &amp; Längder (vikter)'!G34,-9)</f>
        <v>-9</v>
      </c>
      <c r="AN170" s="357"/>
      <c r="AO170" s="357"/>
      <c r="AP170" s="357"/>
      <c r="AQ170" s="357"/>
      <c r="AR170" s="357"/>
      <c r="AS170" s="357"/>
      <c r="AT170" s="357"/>
      <c r="AU170" s="357"/>
      <c r="AV170" s="357"/>
    </row>
    <row r="171" spans="5:48" x14ac:dyDescent="0.25">
      <c r="E171" s="2"/>
      <c r="F171" s="199">
        <f>COUNTIF(J$113:J171,J171)</f>
        <v>12</v>
      </c>
      <c r="G171" t="s">
        <v>189</v>
      </c>
      <c r="H171" s="330">
        <v>1480</v>
      </c>
      <c r="I171" s="330">
        <v>14</v>
      </c>
      <c r="J171" t="s">
        <v>114</v>
      </c>
      <c r="K171" s="143"/>
      <c r="L171" s="220" t="str">
        <f>IF(Protokoll!I$1&lt;&gt;"",IF(N170=N$113,IF(AND(DMAX(F$113:J$403,F$113,O170:O171)&gt;COUNTA(L$111:L170)-2,DCOUNTA(F$113:J$403,G$113,N170:O171)=1),DGET(F$113:J$403,G$113,N170:O171),""),IF(AND(DMAX(F$113:J$403,F$113,Q170:Q171)&gt;COUNTA(L$111:L170)-2,DCOUNTA(F$113:J$403,G$113,P170:Q171)=1),DGET(F$113:J$403,G$113,P170:Q171),"")),G171)</f>
        <v/>
      </c>
      <c r="M171" s="143"/>
      <c r="N171" s="221" t="str">
        <f>IF(N170=N$113,IF(COUNT(N$113:Q170)&lt;DMAX(F$113:J$403,F$113,O170:O171),COUNT(N$113:Q170)+1,""),IF(COUNT(N$113:Q170)&lt;DMAX(F$113:J$403,F$113,Q170:Q171),N$113,""))</f>
        <v/>
      </c>
      <c r="O171" s="222" t="str">
        <f>IF(O170=O$113,IF(COUNTA(L$111:L170)-2&lt;DMAX(F$113:J$403,F$113,Q169:Q170),Protokoll!I$1,""),IF(O170&lt;&gt;"",IF(COUNTA(L$111:L170)-1&lt;DMAX(F$113:J$403,F$113,O169:O170),O$113,""),""))</f>
        <v/>
      </c>
      <c r="P171" s="223" t="str">
        <f>IF(N170=N$113,IF(COUNT(N$113:Q170)&lt;DMAX(F$113:J$403,F$113,O170:O171),N$113,""),IF(COUNT(N$113:Q170)&lt;DMAX(F$113:J$403,F$113,Q170:Q171),COUNT(N$113:Q170)+1,""))</f>
        <v/>
      </c>
      <c r="Q171" s="199" t="str">
        <f>IF(O170=O$113,IF(COUNTA(L$111:L170)-2&lt;DMAX(F$113:J$403,F$113,Q169:Q170),O$113,""),IF(Q170&lt;&gt;"",IF(COUNTA(L$111:L170)-2&lt;DMAX(F$113:J$403,F$113,O169:O170),Protokoll!I$1,""),""))</f>
        <v/>
      </c>
      <c r="T171" s="331" t="str">
        <f>IF(OR(Protokoll!$X$5&lt;&gt;"",Lokalbeskrivn!$M$4&lt;&gt;""),"",U171)</f>
        <v/>
      </c>
      <c r="U171" s="330" t="s">
        <v>1234</v>
      </c>
      <c r="V171" s="351" t="s">
        <v>1233</v>
      </c>
      <c r="W171" s="2"/>
      <c r="Y171" s="401" t="s">
        <v>1780</v>
      </c>
      <c r="Z171" s="401" t="s">
        <v>1781</v>
      </c>
      <c r="AB171" s="472" t="str">
        <f>IF(COUNT(AB163:AB170)&gt;0,MAX(AB163:AB170)+1,"")</f>
        <v/>
      </c>
      <c r="AC171" s="433" t="str">
        <f>IF(AND(AH171&lt;&gt;"",AG171&lt;&gt;"",AI171&gt;0,AH171&gt;0),MAX(AC$2:AC170)+1,"XX")</f>
        <v>XX</v>
      </c>
      <c r="AD171" s="429" t="str">
        <f>IF('Antal &amp; Längder (vikter)'!$C$23&lt;&gt;"",'Antal &amp; Längder (vikter)'!$C$23,"XX")</f>
        <v>XX</v>
      </c>
      <c r="AE171" s="406" t="str">
        <f>IF(AND('Antal &amp; Längder (vikter)'!F$25&lt;&gt;"",ISNUMBER($AH171)),'Antal &amp; Längder (vikter)'!F$25,"")</f>
        <v/>
      </c>
      <c r="AF171" s="425" t="str">
        <f t="shared" si="6"/>
        <v/>
      </c>
      <c r="AG171" s="426" t="str">
        <f t="shared" si="7"/>
        <v/>
      </c>
      <c r="AH171" s="407" t="str">
        <f>IF('Antal &amp; Längder (vikter)'!F35&lt;&gt;"",'Antal &amp; Längder (vikter)'!F35,"XX")</f>
        <v>XX</v>
      </c>
      <c r="AI171" s="436">
        <f>IF('Antal &amp; Längder (vikter)'!G$26="Vikt (g)",'Antal &amp; Längder (vikter)'!G35,-9)</f>
        <v>-9</v>
      </c>
      <c r="AN171" s="357"/>
      <c r="AO171" s="357"/>
      <c r="AP171" s="357"/>
      <c r="AQ171" s="357"/>
      <c r="AR171" s="357"/>
      <c r="AS171" s="357"/>
      <c r="AT171" s="357"/>
      <c r="AU171" s="357"/>
      <c r="AV171" s="357"/>
    </row>
    <row r="172" spans="5:48" x14ac:dyDescent="0.25">
      <c r="E172" s="2"/>
      <c r="F172" s="199">
        <f>COUNTIF(J$113:J172,J172)</f>
        <v>13</v>
      </c>
      <c r="G172" t="s">
        <v>190</v>
      </c>
      <c r="H172" s="330">
        <v>1471</v>
      </c>
      <c r="I172" s="330">
        <v>14</v>
      </c>
      <c r="J172" t="s">
        <v>114</v>
      </c>
      <c r="K172" s="143"/>
      <c r="L172" s="220" t="str">
        <f>IF(Protokoll!I$1&lt;&gt;"",IF(N171=N$113,IF(AND(DMAX(F$113:J$403,F$113,O171:O172)&gt;COUNTA(L$111:L171)-2,DCOUNTA(F$113:J$403,G$113,N171:O172)=1),DGET(F$113:J$403,G$113,N171:O172),""),IF(AND(DMAX(F$113:J$403,F$113,Q171:Q172)&gt;COUNTA(L$111:L171)-2,DCOUNTA(F$113:J$403,G$113,P171:Q172)=1),DGET(F$113:J$403,G$113,P171:Q172),"")),G172)</f>
        <v/>
      </c>
      <c r="M172" s="143"/>
      <c r="N172" s="221" t="str">
        <f>IF(N171=N$113,IF(COUNT(N$113:Q171)&lt;DMAX(F$113:J$403,F$113,O171:O172),COUNT(N$113:Q171)+1,""),IF(COUNT(N$113:Q171)&lt;DMAX(F$113:J$403,F$113,Q171:Q172),N$113,""))</f>
        <v/>
      </c>
      <c r="O172" s="222" t="str">
        <f>IF(O171=O$113,IF(COUNTA(L$111:L171)-2&lt;DMAX(F$113:J$403,F$113,Q170:Q171),Protokoll!I$1,""),IF(O171&lt;&gt;"",IF(COUNTA(L$111:L171)-1&lt;DMAX(F$113:J$403,F$113,O170:O171),O$113,""),""))</f>
        <v/>
      </c>
      <c r="P172" s="223" t="str">
        <f>IF(N171=N$113,IF(COUNT(N$113:Q171)&lt;DMAX(F$113:J$403,F$113,O171:O172),N$113,""),IF(COUNT(N$113:Q171)&lt;DMAX(F$113:J$403,F$113,Q171:Q172),COUNT(N$113:Q171)+1,""))</f>
        <v/>
      </c>
      <c r="Q172" s="199" t="str">
        <f>IF(O171=O$113,IF(COUNTA(L$111:L171)-2&lt;DMAX(F$113:J$403,F$113,Q170:Q171),O$113,""),IF(Q171&lt;&gt;"",IF(COUNTA(L$111:L171)-2&lt;DMAX(F$113:J$403,F$113,O170:O171),Protokoll!I$1,""),""))</f>
        <v/>
      </c>
      <c r="T172" s="331" t="str">
        <f>IF(OR(Protokoll!$X$5&lt;&gt;"",Lokalbeskrivn!$M$4&lt;&gt;""),"",U172)</f>
        <v/>
      </c>
      <c r="U172" s="330" t="s">
        <v>1236</v>
      </c>
      <c r="V172" s="351" t="s">
        <v>1235</v>
      </c>
      <c r="W172" s="2"/>
      <c r="Y172" s="401" t="s">
        <v>1786</v>
      </c>
      <c r="Z172" s="401" t="s">
        <v>1787</v>
      </c>
      <c r="AB172" s="479" t="str">
        <f>IF(COUNT(AB163:AB171)&gt;0,MAX(AB163:AB171)+1,"")</f>
        <v/>
      </c>
      <c r="AC172" s="433" t="str">
        <f>IF(AND(AH172&lt;&gt;"",AG172&lt;&gt;"",AI172&gt;0,AH172&gt;0),MAX(AC$2:AC171)+1,"XX")</f>
        <v>XX</v>
      </c>
      <c r="AD172" s="429" t="str">
        <f>IF('Antal &amp; Längder (vikter)'!$C$23&lt;&gt;"",'Antal &amp; Längder (vikter)'!$C$23,"XX")</f>
        <v>XX</v>
      </c>
      <c r="AE172" s="406" t="str">
        <f>IF(AND('Antal &amp; Längder (vikter)'!F$25&lt;&gt;"",ISNUMBER($AH172)),'Antal &amp; Längder (vikter)'!F$25,"")</f>
        <v/>
      </c>
      <c r="AF172" s="425" t="str">
        <f t="shared" si="6"/>
        <v/>
      </c>
      <c r="AG172" s="426" t="str">
        <f t="shared" si="7"/>
        <v/>
      </c>
      <c r="AH172" s="407" t="str">
        <f>IF('Antal &amp; Längder (vikter)'!F36&lt;&gt;"",'Antal &amp; Längder (vikter)'!F36,"XX")</f>
        <v>XX</v>
      </c>
      <c r="AI172" s="436">
        <f>IF('Antal &amp; Längder (vikter)'!G$26="Vikt (g)",'Antal &amp; Längder (vikter)'!G36,-9)</f>
        <v>-9</v>
      </c>
      <c r="AN172" s="357"/>
      <c r="AO172" s="357"/>
      <c r="AP172" s="357"/>
      <c r="AQ172" s="357"/>
      <c r="AR172" s="357"/>
      <c r="AS172" s="357"/>
      <c r="AT172" s="357"/>
      <c r="AU172" s="357"/>
      <c r="AV172" s="357"/>
    </row>
    <row r="173" spans="5:48" x14ac:dyDescent="0.25">
      <c r="E173" s="2"/>
      <c r="F173" s="199">
        <f>COUNTIF(J$113:J173,J173)</f>
        <v>5</v>
      </c>
      <c r="G173" t="s">
        <v>191</v>
      </c>
      <c r="H173" s="330">
        <v>643</v>
      </c>
      <c r="I173" s="330">
        <v>6</v>
      </c>
      <c r="J173" t="s">
        <v>122</v>
      </c>
      <c r="K173" s="143"/>
      <c r="L173" s="220" t="str">
        <f>IF(Protokoll!I$1&lt;&gt;"",IF(N172=N$113,IF(AND(DMAX(F$113:J$403,F$113,O172:O173)&gt;COUNTA(L$111:L172)-2,DCOUNTA(F$113:J$403,G$113,N172:O173)=1),DGET(F$113:J$403,G$113,N172:O173),""),IF(AND(DMAX(F$113:J$403,F$113,Q172:Q173)&gt;COUNTA(L$111:L172)-2,DCOUNTA(F$113:J$403,G$113,P172:Q173)=1),DGET(F$113:J$403,G$113,P172:Q173),"")),G173)</f>
        <v/>
      </c>
      <c r="M173" s="143"/>
      <c r="N173" s="221" t="str">
        <f>IF(N172=N$113,IF(COUNT(N$113:Q172)&lt;DMAX(F$113:J$403,F$113,O172:O173),COUNT(N$113:Q172)+1,""),IF(COUNT(N$113:Q172)&lt;DMAX(F$113:J$403,F$113,Q172:Q173),N$113,""))</f>
        <v/>
      </c>
      <c r="O173" s="222" t="str">
        <f>IF(O172=O$113,IF(COUNTA(L$111:L172)-2&lt;DMAX(F$113:J$403,F$113,Q171:Q172),Protokoll!I$1,""),IF(O172&lt;&gt;"",IF(COUNTA(L$111:L172)-1&lt;DMAX(F$113:J$403,F$113,O171:O172),O$113,""),""))</f>
        <v/>
      </c>
      <c r="P173" s="223" t="str">
        <f>IF(N172=N$113,IF(COUNT(N$113:Q172)&lt;DMAX(F$113:J$403,F$113,O172:O173),N$113,""),IF(COUNT(N$113:Q172)&lt;DMAX(F$113:J$403,F$113,Q172:Q173),COUNT(N$113:Q172)+1,""))</f>
        <v/>
      </c>
      <c r="Q173" s="199" t="str">
        <f>IF(O172=O$113,IF(COUNTA(L$111:L172)-2&lt;DMAX(F$113:J$403,F$113,Q171:Q172),O$113,""),IF(Q172&lt;&gt;"",IF(COUNTA(L$111:L172)-2&lt;DMAX(F$113:J$403,F$113,O171:O172),Protokoll!I$1,""),""))</f>
        <v/>
      </c>
      <c r="T173" s="331" t="str">
        <f>IF(OR(Protokoll!$X$5&lt;&gt;"",Lokalbeskrivn!$M$4&lt;&gt;""),"",U173)</f>
        <v/>
      </c>
      <c r="U173" s="330" t="s">
        <v>1238</v>
      </c>
      <c r="V173" s="351" t="s">
        <v>1237</v>
      </c>
      <c r="W173" s="2"/>
      <c r="Y173" s="401" t="s">
        <v>1774</v>
      </c>
      <c r="Z173" s="401" t="s">
        <v>1775</v>
      </c>
      <c r="AB173" s="480" t="str">
        <f>IF(AND(ISNUMBER(AH173),AH173&gt;0),IF(MAX(AB$3:AB172)&gt;0,MAX(AB$3:AB172)+1,10+COUNTIF(F$38:F$49,"&gt;0")*10+1),"")</f>
        <v/>
      </c>
      <c r="AC173" s="433" t="str">
        <f>IF(AND(AH173&lt;&gt;"",AG173&lt;&gt;"",AI173&gt;0,AH173&gt;0),MAX(AC$2:AC172)+1,"XX")</f>
        <v>XX</v>
      </c>
      <c r="AD173" s="429" t="str">
        <f>IF('Antal &amp; Längder (vikter)'!$C$23&lt;&gt;"",'Antal &amp; Längder (vikter)'!$C$23,"XX")</f>
        <v>XX</v>
      </c>
      <c r="AE173" s="406" t="str">
        <f>IF(AND('Antal &amp; Längder (vikter)'!F$25&lt;&gt;"",ISNUMBER($AH173)),'Antal &amp; Längder (vikter)'!F$25,"")</f>
        <v/>
      </c>
      <c r="AF173" s="425" t="str">
        <f t="shared" si="6"/>
        <v/>
      </c>
      <c r="AG173" s="426" t="str">
        <f t="shared" si="7"/>
        <v/>
      </c>
      <c r="AH173" s="409" t="str">
        <f>IF('Antal &amp; Längder (vikter)'!G$26="Längd (mm)",IF('Antal &amp; Längder (vikter)'!G27&lt;&gt;"",'Antal &amp; Längder (vikter)'!G27,"XX"),"XX")</f>
        <v>XX</v>
      </c>
      <c r="AI173" s="7">
        <v>-9</v>
      </c>
      <c r="AN173" s="357"/>
      <c r="AO173" s="357"/>
      <c r="AP173" s="357"/>
      <c r="AQ173" s="357"/>
      <c r="AR173" s="357"/>
      <c r="AS173" s="357"/>
      <c r="AT173" s="357"/>
      <c r="AU173" s="357"/>
      <c r="AV173" s="357"/>
    </row>
    <row r="174" spans="5:48" x14ac:dyDescent="0.25">
      <c r="E174" s="2"/>
      <c r="F174" s="199">
        <f>COUNTIF(J$113:J174,J174)</f>
        <v>6</v>
      </c>
      <c r="G174" t="s">
        <v>192</v>
      </c>
      <c r="H174" s="330">
        <v>1783</v>
      </c>
      <c r="I174" s="330">
        <v>17</v>
      </c>
      <c r="J174" t="s">
        <v>131</v>
      </c>
      <c r="K174" s="143"/>
      <c r="L174" s="220" t="str">
        <f>IF(Protokoll!I$1&lt;&gt;"",IF(N173=N$113,IF(AND(DMAX(F$113:J$403,F$113,O173:O174)&gt;COUNTA(L$111:L173)-2,DCOUNTA(F$113:J$403,G$113,N173:O174)=1),DGET(F$113:J$403,G$113,N173:O174),""),IF(AND(DMAX(F$113:J$403,F$113,Q173:Q174)&gt;COUNTA(L$111:L173)-2,DCOUNTA(F$113:J$403,G$113,P173:Q174)=1),DGET(F$113:J$403,G$113,P173:Q174),"")),G174)</f>
        <v/>
      </c>
      <c r="M174" s="143"/>
      <c r="N174" s="221" t="str">
        <f>IF(N173=N$113,IF(COUNT(N$113:Q173)&lt;DMAX(F$113:J$403,F$113,O173:O174),COUNT(N$113:Q173)+1,""),IF(COUNT(N$113:Q173)&lt;DMAX(F$113:J$403,F$113,Q173:Q174),N$113,""))</f>
        <v/>
      </c>
      <c r="O174" s="222" t="str">
        <f>IF(O173=O$113,IF(COUNTA(L$111:L173)-2&lt;DMAX(F$113:J$403,F$113,Q172:Q173),Protokoll!I$1,""),IF(O173&lt;&gt;"",IF(COUNTA(L$111:L173)-1&lt;DMAX(F$113:J$403,F$113,O172:O173),O$113,""),""))</f>
        <v/>
      </c>
      <c r="P174" s="223" t="str">
        <f>IF(N173=N$113,IF(COUNT(N$113:Q173)&lt;DMAX(F$113:J$403,F$113,O173:O174),N$113,""),IF(COUNT(N$113:Q173)&lt;DMAX(F$113:J$403,F$113,Q173:Q174),COUNT(N$113:Q173)+1,""))</f>
        <v/>
      </c>
      <c r="Q174" s="199" t="str">
        <f>IF(O173=O$113,IF(COUNTA(L$111:L173)-2&lt;DMAX(F$113:J$403,F$113,Q172:Q173),O$113,""),IF(Q173&lt;&gt;"",IF(COUNTA(L$111:L173)-2&lt;DMAX(F$113:J$403,F$113,O172:O173),Protokoll!I$1,""),""))</f>
        <v/>
      </c>
      <c r="T174" s="331" t="str">
        <f>IF(OR(Protokoll!$X$5&lt;&gt;"",Lokalbeskrivn!$M$4&lt;&gt;""),"",U174)</f>
        <v/>
      </c>
      <c r="U174" s="330" t="s">
        <v>1240</v>
      </c>
      <c r="V174" s="351" t="s">
        <v>1239</v>
      </c>
      <c r="W174" s="2"/>
      <c r="Y174" s="401" t="s">
        <v>1784</v>
      </c>
      <c r="Z174" s="401" t="s">
        <v>1785</v>
      </c>
      <c r="AB174" s="476" t="str">
        <f>IF(COUNT(AB173:AB173)&gt;0,MAX(AB173:AB173)+1,"")</f>
        <v/>
      </c>
      <c r="AC174" s="433" t="str">
        <f>IF(AND(AH174&lt;&gt;"",AG174&lt;&gt;"",AI174&gt;0,AH174&gt;0),MAX(AC$2:AC173)+1,"XX")</f>
        <v>XX</v>
      </c>
      <c r="AD174" s="429" t="str">
        <f>IF('Antal &amp; Längder (vikter)'!$C$23&lt;&gt;"",'Antal &amp; Längder (vikter)'!$C$23,"XX")</f>
        <v>XX</v>
      </c>
      <c r="AE174" s="406" t="str">
        <f>IF(AND('Antal &amp; Längder (vikter)'!F$25&lt;&gt;"",ISNUMBER($AH174)),'Antal &amp; Längder (vikter)'!F$25,"")</f>
        <v/>
      </c>
      <c r="AF174" s="425" t="str">
        <f t="shared" si="6"/>
        <v/>
      </c>
      <c r="AG174" s="426" t="str">
        <f t="shared" si="7"/>
        <v/>
      </c>
      <c r="AH174" s="409" t="str">
        <f>IF('Antal &amp; Längder (vikter)'!G$26="Längd (mm)",IF('Antal &amp; Längder (vikter)'!G28&lt;&gt;"",'Antal &amp; Längder (vikter)'!G28,"XX"),"XX")</f>
        <v>XX</v>
      </c>
      <c r="AI174" s="7">
        <v>-9</v>
      </c>
      <c r="AN174" s="357"/>
      <c r="AO174" s="357"/>
      <c r="AP174" s="357"/>
      <c r="AQ174" s="357"/>
      <c r="AR174" s="357"/>
      <c r="AS174" s="357"/>
      <c r="AT174" s="357"/>
      <c r="AU174" s="357"/>
      <c r="AV174" s="357"/>
    </row>
    <row r="175" spans="5:48" x14ac:dyDescent="0.25">
      <c r="E175" s="2"/>
      <c r="F175" s="199">
        <f>COUNTIF(J$113:J175,J175)</f>
        <v>3</v>
      </c>
      <c r="G175" t="s">
        <v>193</v>
      </c>
      <c r="H175" s="330">
        <v>1861</v>
      </c>
      <c r="I175" s="330">
        <v>18</v>
      </c>
      <c r="J175" t="s">
        <v>133</v>
      </c>
      <c r="K175" s="143"/>
      <c r="L175" s="220" t="str">
        <f>IF(Protokoll!I$1&lt;&gt;"",IF(N174=N$113,IF(AND(DMAX(F$113:J$403,F$113,O174:O175)&gt;COUNTA(L$111:L174)-2,DCOUNTA(F$113:J$403,G$113,N174:O175)=1),DGET(F$113:J$403,G$113,N174:O175),""),IF(AND(DMAX(F$113:J$403,F$113,Q174:Q175)&gt;COUNTA(L$111:L174)-2,DCOUNTA(F$113:J$403,G$113,P174:Q175)=1),DGET(F$113:J$403,G$113,P174:Q175),"")),G175)</f>
        <v/>
      </c>
      <c r="M175" s="143"/>
      <c r="N175" s="221" t="str">
        <f>IF(N174=N$113,IF(COUNT(N$113:Q174)&lt;DMAX(F$113:J$403,F$113,O174:O175),COUNT(N$113:Q174)+1,""),IF(COUNT(N$113:Q174)&lt;DMAX(F$113:J$403,F$113,Q174:Q175),N$113,""))</f>
        <v/>
      </c>
      <c r="O175" s="222" t="str">
        <f>IF(O174=O$113,IF(COUNTA(L$111:L174)-2&lt;DMAX(F$113:J$403,F$113,Q173:Q174),Protokoll!I$1,""),IF(O174&lt;&gt;"",IF(COUNTA(L$111:L174)-1&lt;DMAX(F$113:J$403,F$113,O173:O174),O$113,""),""))</f>
        <v/>
      </c>
      <c r="P175" s="223" t="str">
        <f>IF(N174=N$113,IF(COUNT(N$113:Q174)&lt;DMAX(F$113:J$403,F$113,O174:O175),N$113,""),IF(COUNT(N$113:Q174)&lt;DMAX(F$113:J$403,F$113,Q174:Q175),COUNT(N$113:Q174)+1,""))</f>
        <v/>
      </c>
      <c r="Q175" s="199" t="str">
        <f>IF(O174=O$113,IF(COUNTA(L$111:L174)-2&lt;DMAX(F$113:J$403,F$113,Q173:Q174),O$113,""),IF(Q174&lt;&gt;"",IF(COUNTA(L$111:L174)-2&lt;DMAX(F$113:J$403,F$113,O173:O174),Protokoll!I$1,""),""))</f>
        <v/>
      </c>
      <c r="T175" s="331" t="str">
        <f>IF(OR(Protokoll!$X$5&lt;&gt;"",Lokalbeskrivn!$M$4&lt;&gt;""),"",U175)</f>
        <v/>
      </c>
      <c r="U175" s="330" t="s">
        <v>1242</v>
      </c>
      <c r="V175" s="351" t="s">
        <v>1241</v>
      </c>
      <c r="W175" s="2"/>
      <c r="Y175" s="401" t="s">
        <v>1776</v>
      </c>
      <c r="Z175" s="401" t="s">
        <v>1777</v>
      </c>
      <c r="AB175" s="477" t="str">
        <f>IF(COUNT(AB173:AB174)&gt;0,MAX(AB173:AB174)+1,"")</f>
        <v/>
      </c>
      <c r="AC175" s="433" t="str">
        <f>IF(AND(AH175&lt;&gt;"",AG175&lt;&gt;"",AI175&gt;0,AH175&gt;0),MAX(AC$2:AC174)+1,"XX")</f>
        <v>XX</v>
      </c>
      <c r="AD175" s="429" t="str">
        <f>IF('Antal &amp; Längder (vikter)'!$C$23&lt;&gt;"",'Antal &amp; Längder (vikter)'!$C$23,"XX")</f>
        <v>XX</v>
      </c>
      <c r="AE175" s="406" t="str">
        <f>IF(AND('Antal &amp; Längder (vikter)'!F$25&lt;&gt;"",ISNUMBER($AH175)),'Antal &amp; Längder (vikter)'!F$25,"")</f>
        <v/>
      </c>
      <c r="AF175" s="425" t="str">
        <f t="shared" si="6"/>
        <v/>
      </c>
      <c r="AG175" s="426" t="str">
        <f t="shared" si="7"/>
        <v/>
      </c>
      <c r="AH175" s="409" t="str">
        <f>IF('Antal &amp; Längder (vikter)'!G$26="Längd (mm)",IF('Antal &amp; Längder (vikter)'!G29&lt;&gt;"",'Antal &amp; Längder (vikter)'!G29,"XX"),"XX")</f>
        <v>XX</v>
      </c>
      <c r="AI175" s="7">
        <v>-9</v>
      </c>
      <c r="AN175" s="357"/>
      <c r="AO175" s="357"/>
      <c r="AP175" s="357"/>
      <c r="AQ175" s="357"/>
      <c r="AR175" s="357"/>
      <c r="AS175" s="357"/>
      <c r="AT175" s="357"/>
      <c r="AU175" s="357"/>
      <c r="AV175" s="357"/>
    </row>
    <row r="176" spans="5:48" x14ac:dyDescent="0.25">
      <c r="E176" s="2"/>
      <c r="F176" s="199">
        <f>COUNTIF(J$113:J176,J176)</f>
        <v>3</v>
      </c>
      <c r="G176" t="s">
        <v>194</v>
      </c>
      <c r="H176" s="330">
        <v>1961</v>
      </c>
      <c r="I176" s="330">
        <v>19</v>
      </c>
      <c r="J176" t="s">
        <v>125</v>
      </c>
      <c r="K176" s="143"/>
      <c r="L176" s="220" t="str">
        <f>IF(Protokoll!I$1&lt;&gt;"",IF(N175=N$113,IF(AND(DMAX(F$113:J$403,F$113,O175:O176)&gt;COUNTA(L$111:L175)-2,DCOUNTA(F$113:J$403,G$113,N175:O176)=1),DGET(F$113:J$403,G$113,N175:O176),""),IF(AND(DMAX(F$113:J$403,F$113,Q175:Q176)&gt;COUNTA(L$111:L175)-2,DCOUNTA(F$113:J$403,G$113,P175:Q176)=1),DGET(F$113:J$403,G$113,P175:Q176),"")),G176)</f>
        <v/>
      </c>
      <c r="M176" s="143"/>
      <c r="N176" s="221" t="str">
        <f>IF(N175=N$113,IF(COUNT(N$113:Q175)&lt;DMAX(F$113:J$403,F$113,O175:O176),COUNT(N$113:Q175)+1,""),IF(COUNT(N$113:Q175)&lt;DMAX(F$113:J$403,F$113,Q175:Q176),N$113,""))</f>
        <v/>
      </c>
      <c r="O176" s="222" t="str">
        <f>IF(O175=O$113,IF(COUNTA(L$111:L175)-2&lt;DMAX(F$113:J$403,F$113,Q174:Q175),Protokoll!I$1,""),IF(O175&lt;&gt;"",IF(COUNTA(L$111:L175)-1&lt;DMAX(F$113:J$403,F$113,O174:O175),O$113,""),""))</f>
        <v/>
      </c>
      <c r="P176" s="223" t="str">
        <f>IF(N175=N$113,IF(COUNT(N$113:Q175)&lt;DMAX(F$113:J$403,F$113,O175:O176),N$113,""),IF(COUNT(N$113:Q175)&lt;DMAX(F$113:J$403,F$113,Q175:Q176),COUNT(N$113:Q175)+1,""))</f>
        <v/>
      </c>
      <c r="Q176" s="199" t="str">
        <f>IF(O175=O$113,IF(COUNTA(L$111:L175)-2&lt;DMAX(F$113:J$403,F$113,Q174:Q175),O$113,""),IF(Q175&lt;&gt;"",IF(COUNTA(L$111:L175)-2&lt;DMAX(F$113:J$403,F$113,O174:O175),Protokoll!I$1,""),""))</f>
        <v/>
      </c>
      <c r="T176" s="331" t="str">
        <f>IF(OR(Protokoll!$X$5&lt;&gt;"",Lokalbeskrivn!$M$4&lt;&gt;""),"",U176)</f>
        <v/>
      </c>
      <c r="U176" s="330" t="s">
        <v>1244</v>
      </c>
      <c r="V176" s="351" t="s">
        <v>1243</v>
      </c>
      <c r="W176" s="2"/>
      <c r="Y176" s="401" t="s">
        <v>1782</v>
      </c>
      <c r="Z176" s="401" t="s">
        <v>1783</v>
      </c>
      <c r="AB176" s="434" t="str">
        <f>IF(COUNT(AB173:AB175)&gt;0,MAX(AB173:AB175)+1,"")</f>
        <v/>
      </c>
      <c r="AC176" s="433" t="str">
        <f>IF(AND(AH176&lt;&gt;"",AG176&lt;&gt;"",AI176&gt;0,AH176&gt;0),MAX(AC$2:AC175)+1,"XX")</f>
        <v>XX</v>
      </c>
      <c r="AD176" s="429" t="str">
        <f>IF('Antal &amp; Längder (vikter)'!$C$23&lt;&gt;"",'Antal &amp; Längder (vikter)'!$C$23,"XX")</f>
        <v>XX</v>
      </c>
      <c r="AE176" s="406" t="str">
        <f>IF(AND('Antal &amp; Längder (vikter)'!F$25&lt;&gt;"",ISNUMBER($AH176)),'Antal &amp; Längder (vikter)'!F$25,"")</f>
        <v/>
      </c>
      <c r="AF176" s="425" t="str">
        <f t="shared" si="6"/>
        <v/>
      </c>
      <c r="AG176" s="426" t="str">
        <f t="shared" si="7"/>
        <v/>
      </c>
      <c r="AH176" s="409" t="str">
        <f>IF('Antal &amp; Längder (vikter)'!G$26="Längd (mm)",IF('Antal &amp; Längder (vikter)'!G30&lt;&gt;"",'Antal &amp; Längder (vikter)'!G30,"XX"),"XX")</f>
        <v>XX</v>
      </c>
      <c r="AI176" s="7">
        <v>-9</v>
      </c>
      <c r="AN176" s="357"/>
      <c r="AO176" s="357"/>
      <c r="AP176" s="357"/>
      <c r="AQ176" s="357"/>
      <c r="AR176" s="357"/>
      <c r="AS176" s="357"/>
      <c r="AT176" s="357"/>
      <c r="AU176" s="357"/>
      <c r="AV176" s="357"/>
    </row>
    <row r="177" spans="5:48" x14ac:dyDescent="0.25">
      <c r="E177" s="2"/>
      <c r="F177" s="199">
        <f>COUNTIF(J$113:J177,J177)</f>
        <v>2</v>
      </c>
      <c r="G177" t="s">
        <v>195</v>
      </c>
      <c r="H177" s="330">
        <v>1380</v>
      </c>
      <c r="I177" s="330">
        <v>13</v>
      </c>
      <c r="J177" t="s">
        <v>120</v>
      </c>
      <c r="K177" s="143"/>
      <c r="L177" s="220" t="str">
        <f>IF(Protokoll!I$1&lt;&gt;"",IF(N176=N$113,IF(AND(DMAX(F$113:J$403,F$113,O176:O177)&gt;COUNTA(L$111:L176)-2,DCOUNTA(F$113:J$403,G$113,N176:O177)=1),DGET(F$113:J$403,G$113,N176:O177),""),IF(AND(DMAX(F$113:J$403,F$113,Q176:Q177)&gt;COUNTA(L$111:L176)-2,DCOUNTA(F$113:J$403,G$113,P176:Q177)=1),DGET(F$113:J$403,G$113,P176:Q177),"")),G177)</f>
        <v/>
      </c>
      <c r="M177" s="143"/>
      <c r="N177" s="221" t="str">
        <f>IF(N176=N$113,IF(COUNT(N$113:Q176)&lt;DMAX(F$113:J$403,F$113,O176:O177),COUNT(N$113:Q176)+1,""),IF(COUNT(N$113:Q176)&lt;DMAX(F$113:J$403,F$113,Q176:Q177),N$113,""))</f>
        <v/>
      </c>
      <c r="O177" s="222" t="str">
        <f>IF(O176=O$113,IF(COUNTA(L$111:L176)-2&lt;DMAX(F$113:J$403,F$113,Q175:Q176),Protokoll!I$1,""),IF(O176&lt;&gt;"",IF(COUNTA(L$111:L176)-1&lt;DMAX(F$113:J$403,F$113,O175:O176),O$113,""),""))</f>
        <v/>
      </c>
      <c r="P177" s="223" t="str">
        <f>IF(N176=N$113,IF(COUNT(N$113:Q176)&lt;DMAX(F$113:J$403,F$113,O176:O177),N$113,""),IF(COUNT(N$113:Q176)&lt;DMAX(F$113:J$403,F$113,Q176:Q177),COUNT(N$113:Q176)+1,""))</f>
        <v/>
      </c>
      <c r="Q177" s="199" t="str">
        <f>IF(O176=O$113,IF(COUNTA(L$111:L176)-2&lt;DMAX(F$113:J$403,F$113,Q175:Q176),O$113,""),IF(Q176&lt;&gt;"",IF(COUNTA(L$111:L176)-2&lt;DMAX(F$113:J$403,F$113,O175:O176),Protokoll!I$1,""),""))</f>
        <v/>
      </c>
      <c r="T177" s="331" t="str">
        <f>IF(OR(Protokoll!$X$5&lt;&gt;"",Lokalbeskrivn!$M$4&lt;&gt;""),"",U177)</f>
        <v/>
      </c>
      <c r="U177" s="330" t="s">
        <v>1246</v>
      </c>
      <c r="V177" s="351" t="s">
        <v>1245</v>
      </c>
      <c r="W177" s="2"/>
      <c r="Y177" s="401" t="s">
        <v>1767</v>
      </c>
      <c r="Z177" s="401" t="s">
        <v>1768</v>
      </c>
      <c r="AB177" s="475" t="str">
        <f>IF(COUNT(AB173:AB176)&gt;0,MAX(AB173:AB176)+1,"")</f>
        <v/>
      </c>
      <c r="AC177" s="433" t="str">
        <f>IF(AND(AH177&lt;&gt;"",AG177&lt;&gt;"",AI177&gt;0,AH177&gt;0),MAX(AC$2:AC176)+1,"XX")</f>
        <v>XX</v>
      </c>
      <c r="AD177" s="429" t="str">
        <f>IF('Antal &amp; Längder (vikter)'!$C$23&lt;&gt;"",'Antal &amp; Längder (vikter)'!$C$23,"XX")</f>
        <v>XX</v>
      </c>
      <c r="AE177" s="406" t="str">
        <f>IF(AND('Antal &amp; Längder (vikter)'!F$25&lt;&gt;"",ISNUMBER($AH177)),'Antal &amp; Längder (vikter)'!F$25,"")</f>
        <v/>
      </c>
      <c r="AF177" s="425" t="str">
        <f t="shared" si="6"/>
        <v/>
      </c>
      <c r="AG177" s="426" t="str">
        <f t="shared" si="7"/>
        <v/>
      </c>
      <c r="AH177" s="409" t="str">
        <f>IF('Antal &amp; Längder (vikter)'!G$26="Längd (mm)",IF('Antal &amp; Längder (vikter)'!G31&lt;&gt;"",'Antal &amp; Längder (vikter)'!G31,"XX"),"XX")</f>
        <v>XX</v>
      </c>
      <c r="AI177" s="7">
        <v>-9</v>
      </c>
      <c r="AN177" s="357"/>
      <c r="AO177" s="357"/>
      <c r="AP177" s="357"/>
      <c r="AQ177" s="357"/>
      <c r="AR177" s="357"/>
      <c r="AS177" s="357"/>
      <c r="AT177" s="357"/>
      <c r="AU177" s="357"/>
      <c r="AV177" s="357"/>
    </row>
    <row r="178" spans="5:48" x14ac:dyDescent="0.25">
      <c r="E178" s="2"/>
      <c r="F178" s="199">
        <f>COUNTIF(J$113:J178,J178)</f>
        <v>7</v>
      </c>
      <c r="G178" t="s">
        <v>196</v>
      </c>
      <c r="H178" s="330">
        <v>1761</v>
      </c>
      <c r="I178" s="330">
        <v>17</v>
      </c>
      <c r="J178" t="s">
        <v>131</v>
      </c>
      <c r="K178" s="143"/>
      <c r="L178" s="220" t="str">
        <f>IF(Protokoll!I$1&lt;&gt;"",IF(N177=N$113,IF(AND(DMAX(F$113:J$403,F$113,O177:O178)&gt;COUNTA(L$111:L177)-2,DCOUNTA(F$113:J$403,G$113,N177:O178)=1),DGET(F$113:J$403,G$113,N177:O178),""),IF(AND(DMAX(F$113:J$403,F$113,Q177:Q178)&gt;COUNTA(L$111:L177)-2,DCOUNTA(F$113:J$403,G$113,P177:Q178)=1),DGET(F$113:J$403,G$113,P177:Q178),"")),G178)</f>
        <v/>
      </c>
      <c r="M178" s="143"/>
      <c r="N178" s="221" t="str">
        <f>IF(N177=N$113,IF(COUNT(N$113:Q177)&lt;DMAX(F$113:J$403,F$113,O177:O178),COUNT(N$113:Q177)+1,""),IF(COUNT(N$113:Q177)&lt;DMAX(F$113:J$403,F$113,Q177:Q178),N$113,""))</f>
        <v/>
      </c>
      <c r="O178" s="222" t="str">
        <f>IF(O177=O$113,IF(COUNTA(L$111:L177)-2&lt;DMAX(F$113:J$403,F$113,Q176:Q177),Protokoll!I$1,""),IF(O177&lt;&gt;"",IF(COUNTA(L$111:L177)-1&lt;DMAX(F$113:J$403,F$113,O176:O177),O$113,""),""))</f>
        <v/>
      </c>
      <c r="P178" s="223" t="str">
        <f>IF(N177=N$113,IF(COUNT(N$113:Q177)&lt;DMAX(F$113:J$403,F$113,O177:O178),N$113,""),IF(COUNT(N$113:Q177)&lt;DMAX(F$113:J$403,F$113,Q177:Q178),COUNT(N$113:Q177)+1,""))</f>
        <v/>
      </c>
      <c r="Q178" s="199" t="str">
        <f>IF(O177=O$113,IF(COUNTA(L$111:L177)-2&lt;DMAX(F$113:J$403,F$113,Q176:Q177),O$113,""),IF(Q177&lt;&gt;"",IF(COUNTA(L$111:L177)-2&lt;DMAX(F$113:J$403,F$113,O176:O177),Protokoll!I$1,""),""))</f>
        <v/>
      </c>
      <c r="T178" s="331" t="str">
        <f>IF(OR(Protokoll!$X$5&lt;&gt;"",Lokalbeskrivn!$M$4&lt;&gt;""),"",U178)</f>
        <v/>
      </c>
      <c r="U178" s="330" t="s">
        <v>1248</v>
      </c>
      <c r="V178" s="351" t="s">
        <v>1247</v>
      </c>
      <c r="W178" s="2"/>
      <c r="Y178" s="401" t="s">
        <v>1769</v>
      </c>
      <c r="Z178" s="401" t="s">
        <v>1770</v>
      </c>
      <c r="AB178" s="471" t="str">
        <f>IF(COUNT(AB173:AB177)&gt;0,MAX(AB173:AB177)+1,"")</f>
        <v/>
      </c>
      <c r="AC178" s="433" t="str">
        <f>IF(AND(AH178&lt;&gt;"",AG178&lt;&gt;"",AI178&gt;0,AH178&gt;0),MAX(AC$2:AC177)+1,"XX")</f>
        <v>XX</v>
      </c>
      <c r="AD178" s="429" t="str">
        <f>IF('Antal &amp; Längder (vikter)'!$C$23&lt;&gt;"",'Antal &amp; Längder (vikter)'!$C$23,"XX")</f>
        <v>XX</v>
      </c>
      <c r="AE178" s="406" t="str">
        <f>IF(AND('Antal &amp; Längder (vikter)'!F$25&lt;&gt;"",ISNUMBER($AH178)),'Antal &amp; Längder (vikter)'!F$25,"")</f>
        <v/>
      </c>
      <c r="AF178" s="425" t="str">
        <f t="shared" si="6"/>
        <v/>
      </c>
      <c r="AG178" s="426" t="str">
        <f t="shared" si="7"/>
        <v/>
      </c>
      <c r="AH178" s="409" t="str">
        <f>IF('Antal &amp; Längder (vikter)'!G$26="Längd (mm)",IF('Antal &amp; Längder (vikter)'!G32&lt;&gt;"",'Antal &amp; Längder (vikter)'!G32,"XX"),"XX")</f>
        <v>XX</v>
      </c>
      <c r="AI178" s="7">
        <v>-9</v>
      </c>
      <c r="AN178" s="357"/>
      <c r="AO178" s="357"/>
      <c r="AP178" s="357"/>
      <c r="AQ178" s="357"/>
      <c r="AR178" s="357"/>
      <c r="AS178" s="357"/>
      <c r="AT178" s="357"/>
      <c r="AU178" s="357"/>
      <c r="AV178" s="357"/>
    </row>
    <row r="179" spans="5:48" x14ac:dyDescent="0.25">
      <c r="E179" s="2"/>
      <c r="F179" s="199">
        <f>COUNTIF(J$113:J179,J179)</f>
        <v>4</v>
      </c>
      <c r="G179" t="s">
        <v>197</v>
      </c>
      <c r="H179" s="330">
        <v>136</v>
      </c>
      <c r="I179" s="330">
        <v>1</v>
      </c>
      <c r="J179" t="s">
        <v>136</v>
      </c>
      <c r="K179" s="143"/>
      <c r="L179" s="220" t="str">
        <f>IF(Protokoll!I$1&lt;&gt;"",IF(N178=N$113,IF(AND(DMAX(F$113:J$403,F$113,O178:O179)&gt;COUNTA(L$111:L178)-2,DCOUNTA(F$113:J$403,G$113,N178:O179)=1),DGET(F$113:J$403,G$113,N178:O179),""),IF(AND(DMAX(F$113:J$403,F$113,Q178:Q179)&gt;COUNTA(L$111:L178)-2,DCOUNTA(F$113:J$403,G$113,P178:Q179)=1),DGET(F$113:J$403,G$113,P178:Q179),"")),G179)</f>
        <v/>
      </c>
      <c r="M179" s="143"/>
      <c r="N179" s="221" t="str">
        <f>IF(N178=N$113,IF(COUNT(N$113:Q178)&lt;DMAX(F$113:J$403,F$113,O178:O179),COUNT(N$113:Q178)+1,""),IF(COUNT(N$113:Q178)&lt;DMAX(F$113:J$403,F$113,Q178:Q179),N$113,""))</f>
        <v/>
      </c>
      <c r="O179" s="222" t="str">
        <f>IF(O178=O$113,IF(COUNTA(L$111:L178)-2&lt;DMAX(F$113:J$403,F$113,Q177:Q178),Protokoll!I$1,""),IF(O178&lt;&gt;"",IF(COUNTA(L$111:L178)-1&lt;DMAX(F$113:J$403,F$113,O177:O178),O$113,""),""))</f>
        <v/>
      </c>
      <c r="P179" s="223" t="str">
        <f>IF(N178=N$113,IF(COUNT(N$113:Q178)&lt;DMAX(F$113:J$403,F$113,O178:O179),N$113,""),IF(COUNT(N$113:Q178)&lt;DMAX(F$113:J$403,F$113,Q178:Q179),COUNT(N$113:Q178)+1,""))</f>
        <v/>
      </c>
      <c r="Q179" s="199" t="str">
        <f>IF(O178=O$113,IF(COUNTA(L$111:L178)-2&lt;DMAX(F$113:J$403,F$113,Q177:Q178),O$113,""),IF(Q178&lt;&gt;"",IF(COUNTA(L$111:L178)-2&lt;DMAX(F$113:J$403,F$113,O177:O178),Protokoll!I$1,""),""))</f>
        <v/>
      </c>
      <c r="T179" s="331" t="str">
        <f>IF(OR(Protokoll!$X$5&lt;&gt;"",Lokalbeskrivn!$M$4&lt;&gt;""),"",U179)</f>
        <v/>
      </c>
      <c r="U179" s="330" t="s">
        <v>1250</v>
      </c>
      <c r="V179" s="351" t="s">
        <v>1249</v>
      </c>
      <c r="W179" s="2"/>
      <c r="Y179" s="401" t="s">
        <v>2418</v>
      </c>
      <c r="Z179" s="401" t="s">
        <v>2419</v>
      </c>
      <c r="AB179" s="474" t="str">
        <f>IF(COUNT(AB173:AB178)&gt;0,MAX(AB173:AB178)+1,"")</f>
        <v/>
      </c>
      <c r="AC179" s="433" t="str">
        <f>IF(AND(AH179&lt;&gt;"",AG179&lt;&gt;"",AI179&gt;0,AH179&gt;0),MAX(AC$2:AC178)+1,"XX")</f>
        <v>XX</v>
      </c>
      <c r="AD179" s="429" t="str">
        <f>IF('Antal &amp; Längder (vikter)'!$C$23&lt;&gt;"",'Antal &amp; Längder (vikter)'!$C$23,"XX")</f>
        <v>XX</v>
      </c>
      <c r="AE179" s="406" t="str">
        <f>IF(AND('Antal &amp; Längder (vikter)'!F$25&lt;&gt;"",ISNUMBER($AH179)),'Antal &amp; Längder (vikter)'!F$25,"")</f>
        <v/>
      </c>
      <c r="AF179" s="425" t="str">
        <f t="shared" si="6"/>
        <v/>
      </c>
      <c r="AG179" s="426" t="str">
        <f t="shared" si="7"/>
        <v/>
      </c>
      <c r="AH179" s="409" t="str">
        <f>IF('Antal &amp; Längder (vikter)'!G$26="Längd (mm)",IF('Antal &amp; Längder (vikter)'!G33&lt;&gt;"",'Antal &amp; Längder (vikter)'!G33,"XX"),"XX")</f>
        <v>XX</v>
      </c>
      <c r="AI179" s="7">
        <v>-9</v>
      </c>
      <c r="AN179" s="357"/>
      <c r="AO179" s="357"/>
      <c r="AP179" s="357"/>
      <c r="AQ179" s="357"/>
      <c r="AR179" s="357"/>
      <c r="AS179" s="357"/>
      <c r="AT179" s="357"/>
      <c r="AU179" s="357"/>
      <c r="AV179" s="357"/>
    </row>
    <row r="180" spans="5:48" x14ac:dyDescent="0.25">
      <c r="E180" s="2"/>
      <c r="F180" s="199">
        <f>COUNTIF(J$113:J180,J180)</f>
        <v>5</v>
      </c>
      <c r="G180" t="s">
        <v>198</v>
      </c>
      <c r="H180" s="330">
        <v>2583</v>
      </c>
      <c r="I180" s="330">
        <v>25</v>
      </c>
      <c r="J180" t="s">
        <v>127</v>
      </c>
      <c r="K180" s="143"/>
      <c r="L180" s="220" t="str">
        <f>IF(Protokoll!I$1&lt;&gt;"",IF(N179=N$113,IF(AND(DMAX(F$113:J$403,F$113,O179:O180)&gt;COUNTA(L$111:L179)-2,DCOUNTA(F$113:J$403,G$113,N179:O180)=1),DGET(F$113:J$403,G$113,N179:O180),""),IF(AND(DMAX(F$113:J$403,F$113,Q179:Q180)&gt;COUNTA(L$111:L179)-2,DCOUNTA(F$113:J$403,G$113,P179:Q180)=1),DGET(F$113:J$403,G$113,P179:Q180),"")),G180)</f>
        <v/>
      </c>
      <c r="M180" s="143"/>
      <c r="N180" s="221" t="str">
        <f>IF(N179=N$113,IF(COUNT(N$113:Q179)&lt;DMAX(F$113:J$403,F$113,O179:O180),COUNT(N$113:Q179)+1,""),IF(COUNT(N$113:Q179)&lt;DMAX(F$113:J$403,F$113,Q179:Q180),N$113,""))</f>
        <v/>
      </c>
      <c r="O180" s="222" t="str">
        <f>IF(O179=O$113,IF(COUNTA(L$111:L179)-2&lt;DMAX(F$113:J$403,F$113,Q178:Q179),Protokoll!I$1,""),IF(O179&lt;&gt;"",IF(COUNTA(L$111:L179)-1&lt;DMAX(F$113:J$403,F$113,O178:O179),O$113,""),""))</f>
        <v/>
      </c>
      <c r="P180" s="223" t="str">
        <f>IF(N179=N$113,IF(COUNT(N$113:Q179)&lt;DMAX(F$113:J$403,F$113,O179:O180),N$113,""),IF(COUNT(N$113:Q179)&lt;DMAX(F$113:J$403,F$113,Q179:Q180),COUNT(N$113:Q179)+1,""))</f>
        <v/>
      </c>
      <c r="Q180" s="199" t="str">
        <f>IF(O179=O$113,IF(COUNTA(L$111:L179)-2&lt;DMAX(F$113:J$403,F$113,Q178:Q179),O$113,""),IF(Q179&lt;&gt;"",IF(COUNTA(L$111:L179)-2&lt;DMAX(F$113:J$403,F$113,O178:O179),Protokoll!I$1,""),""))</f>
        <v/>
      </c>
      <c r="T180" s="331" t="str">
        <f>IF(OR(Protokoll!$X$5&lt;&gt;"",Lokalbeskrivn!$M$4&lt;&gt;""),"",U180)</f>
        <v/>
      </c>
      <c r="U180" s="330" t="s">
        <v>1252</v>
      </c>
      <c r="V180" s="351" t="s">
        <v>1251</v>
      </c>
      <c r="W180" s="2"/>
      <c r="Y180" s="401" t="s">
        <v>2420</v>
      </c>
      <c r="Z180" s="401" t="s">
        <v>2421</v>
      </c>
      <c r="AB180" s="478" t="str">
        <f>IF(COUNT(AB173:AB179)&gt;0,MAX(AB173:AB179)+1,"")</f>
        <v/>
      </c>
      <c r="AC180" s="433" t="str">
        <f>IF(AND(AH180&lt;&gt;"",AG180&lt;&gt;"",AI180&gt;0,AH180&gt;0),MAX(AC$2:AC179)+1,"XX")</f>
        <v>XX</v>
      </c>
      <c r="AD180" s="429" t="str">
        <f>IF('Antal &amp; Längder (vikter)'!$C$23&lt;&gt;"",'Antal &amp; Längder (vikter)'!$C$23,"XX")</f>
        <v>XX</v>
      </c>
      <c r="AE180" s="406" t="str">
        <f>IF(AND('Antal &amp; Längder (vikter)'!F$25&lt;&gt;"",ISNUMBER($AH180)),'Antal &amp; Längder (vikter)'!F$25,"")</f>
        <v/>
      </c>
      <c r="AF180" s="425" t="str">
        <f t="shared" si="6"/>
        <v/>
      </c>
      <c r="AG180" s="426" t="str">
        <f t="shared" si="7"/>
        <v/>
      </c>
      <c r="AH180" s="409" t="str">
        <f>IF('Antal &amp; Längder (vikter)'!G$26="Längd (mm)",IF('Antal &amp; Längder (vikter)'!G34&lt;&gt;"",'Antal &amp; Längder (vikter)'!G34,"XX"),"XX")</f>
        <v>XX</v>
      </c>
      <c r="AI180" s="7">
        <v>-9</v>
      </c>
      <c r="AN180" s="357"/>
      <c r="AO180" s="357"/>
      <c r="AP180" s="357"/>
      <c r="AQ180" s="357"/>
      <c r="AR180" s="357"/>
      <c r="AS180" s="357"/>
      <c r="AT180" s="357"/>
      <c r="AU180" s="357"/>
      <c r="AV180" s="357"/>
    </row>
    <row r="181" spans="5:48" x14ac:dyDescent="0.25">
      <c r="E181" s="2"/>
      <c r="F181" s="199">
        <f>COUNTIF(J$113:J181,J181)</f>
        <v>4</v>
      </c>
      <c r="G181" t="s">
        <v>199</v>
      </c>
      <c r="H181" s="330">
        <v>1917</v>
      </c>
      <c r="I181" s="330">
        <v>19</v>
      </c>
      <c r="J181" t="s">
        <v>125</v>
      </c>
      <c r="K181" s="143"/>
      <c r="L181" s="220" t="str">
        <f>IF(Protokoll!I$1&lt;&gt;"",IF(N180=N$113,IF(AND(DMAX(F$113:J$403,F$113,O180:O181)&gt;COUNTA(L$111:L180)-2,DCOUNTA(F$113:J$403,G$113,N180:O181)=1),DGET(F$113:J$403,G$113,N180:O181),""),IF(AND(DMAX(F$113:J$403,F$113,Q180:Q181)&gt;COUNTA(L$111:L180)-2,DCOUNTA(F$113:J$403,G$113,P180:Q181)=1),DGET(F$113:J$403,G$113,P180:Q181),"")),G181)</f>
        <v/>
      </c>
      <c r="M181" s="143"/>
      <c r="N181" s="221" t="str">
        <f>IF(N180=N$113,IF(COUNT(N$113:Q180)&lt;DMAX(F$113:J$403,F$113,O180:O181),COUNT(N$113:Q180)+1,""),IF(COUNT(N$113:Q180)&lt;DMAX(F$113:J$403,F$113,Q180:Q181),N$113,""))</f>
        <v/>
      </c>
      <c r="O181" s="222" t="str">
        <f>IF(O180=O$113,IF(COUNTA(L$111:L180)-2&lt;DMAX(F$113:J$403,F$113,Q179:Q180),Protokoll!I$1,""),IF(O180&lt;&gt;"",IF(COUNTA(L$111:L180)-1&lt;DMAX(F$113:J$403,F$113,O179:O180),O$113,""),""))</f>
        <v/>
      </c>
      <c r="P181" s="223" t="str">
        <f>IF(N180=N$113,IF(COUNT(N$113:Q180)&lt;DMAX(F$113:J$403,F$113,O180:O181),N$113,""),IF(COUNT(N$113:Q180)&lt;DMAX(F$113:J$403,F$113,Q180:Q181),COUNT(N$113:Q180)+1,""))</f>
        <v/>
      </c>
      <c r="Q181" s="199" t="str">
        <f>IF(O180=O$113,IF(COUNTA(L$111:L180)-2&lt;DMAX(F$113:J$403,F$113,Q179:Q180),O$113,""),IF(Q180&lt;&gt;"",IF(COUNTA(L$111:L180)-2&lt;DMAX(F$113:J$403,F$113,O179:O180),Protokoll!I$1,""),""))</f>
        <v/>
      </c>
      <c r="T181" s="331" t="str">
        <f>IF(OR(Protokoll!$X$5&lt;&gt;"",Lokalbeskrivn!$M$4&lt;&gt;""),"",U181)</f>
        <v/>
      </c>
      <c r="U181" s="330" t="s">
        <v>1254</v>
      </c>
      <c r="V181" s="351" t="s">
        <v>1253</v>
      </c>
      <c r="W181" s="2"/>
      <c r="Y181" s="401" t="s">
        <v>2422</v>
      </c>
      <c r="Z181" s="401" t="s">
        <v>2422</v>
      </c>
      <c r="AB181" s="472" t="str">
        <f>IF(COUNT(AB173:AB180)&gt;0,MAX(AB173:AB180)+1,"")</f>
        <v/>
      </c>
      <c r="AC181" s="433" t="str">
        <f>IF(AND(AH181&lt;&gt;"",AG181&lt;&gt;"",AI181&gt;0,AH181&gt;0),MAX(AC$2:AC180)+1,"XX")</f>
        <v>XX</v>
      </c>
      <c r="AD181" s="429" t="str">
        <f>IF('Antal &amp; Längder (vikter)'!$C$23&lt;&gt;"",'Antal &amp; Längder (vikter)'!$C$23,"XX")</f>
        <v>XX</v>
      </c>
      <c r="AE181" s="406" t="str">
        <f>IF(AND('Antal &amp; Längder (vikter)'!F$25&lt;&gt;"",ISNUMBER($AH181)),'Antal &amp; Längder (vikter)'!F$25,"")</f>
        <v/>
      </c>
      <c r="AF181" s="425" t="str">
        <f t="shared" si="6"/>
        <v/>
      </c>
      <c r="AG181" s="426" t="str">
        <f t="shared" si="7"/>
        <v/>
      </c>
      <c r="AH181" s="409" t="str">
        <f>IF('Antal &amp; Längder (vikter)'!G$26="Längd (mm)",IF('Antal &amp; Längder (vikter)'!G35&lt;&gt;"",'Antal &amp; Längder (vikter)'!G35,"XX"),"XX")</f>
        <v>XX</v>
      </c>
      <c r="AI181" s="7">
        <v>-9</v>
      </c>
    </row>
    <row r="182" spans="5:48" x14ac:dyDescent="0.25">
      <c r="E182" s="2"/>
      <c r="F182" s="199">
        <f>COUNTIF(J$113:J182,J182)</f>
        <v>5</v>
      </c>
      <c r="G182" t="s">
        <v>200</v>
      </c>
      <c r="H182" s="330">
        <v>2083</v>
      </c>
      <c r="I182" s="330">
        <v>20</v>
      </c>
      <c r="J182" t="s">
        <v>112</v>
      </c>
      <c r="K182" s="143"/>
      <c r="L182" s="220" t="str">
        <f>IF(Protokoll!I$1&lt;&gt;"",IF(N181=N$113,IF(AND(DMAX(F$113:J$403,F$113,O181:O182)&gt;COUNTA(L$111:L181)-2,DCOUNTA(F$113:J$403,G$113,N181:O182)=1),DGET(F$113:J$403,G$113,N181:O182),""),IF(AND(DMAX(F$113:J$403,F$113,Q181:Q182)&gt;COUNTA(L$111:L181)-2,DCOUNTA(F$113:J$403,G$113,P181:Q182)=1),DGET(F$113:J$403,G$113,P181:Q182),"")),G182)</f>
        <v/>
      </c>
      <c r="M182" s="143"/>
      <c r="N182" s="221" t="str">
        <f>IF(N181=N$113,IF(COUNT(N$113:Q181)&lt;DMAX(F$113:J$403,F$113,O181:O182),COUNT(N$113:Q181)+1,""),IF(COUNT(N$113:Q181)&lt;DMAX(F$113:J$403,F$113,Q181:Q182),N$113,""))</f>
        <v/>
      </c>
      <c r="O182" s="222" t="str">
        <f>IF(O181=O$113,IF(COUNTA(L$111:L181)-2&lt;DMAX(F$113:J$403,F$113,Q180:Q181),Protokoll!I$1,""),IF(O181&lt;&gt;"",IF(COUNTA(L$111:L181)-1&lt;DMAX(F$113:J$403,F$113,O180:O181),O$113,""),""))</f>
        <v/>
      </c>
      <c r="P182" s="223" t="str">
        <f>IF(N181=N$113,IF(COUNT(N$113:Q181)&lt;DMAX(F$113:J$403,F$113,O181:O182),N$113,""),IF(COUNT(N$113:Q181)&lt;DMAX(F$113:J$403,F$113,Q181:Q182),COUNT(N$113:Q181)+1,""))</f>
        <v/>
      </c>
      <c r="Q182" s="199" t="str">
        <f>IF(O181=O$113,IF(COUNTA(L$111:L181)-2&lt;DMAX(F$113:J$403,F$113,Q180:Q181),O$113,""),IF(Q181&lt;&gt;"",IF(COUNTA(L$111:L181)-2&lt;DMAX(F$113:J$403,F$113,O180:O181),Protokoll!I$1,""),""))</f>
        <v/>
      </c>
      <c r="T182" s="331" t="str">
        <f>IF(OR(Protokoll!$X$5&lt;&gt;"",Lokalbeskrivn!$M$4&lt;&gt;""),"",U182)</f>
        <v/>
      </c>
      <c r="U182" s="330" t="s">
        <v>1256</v>
      </c>
      <c r="V182" s="351" t="s">
        <v>1255</v>
      </c>
      <c r="W182" s="2"/>
      <c r="Y182" s="401" t="s">
        <v>2423</v>
      </c>
      <c r="Z182" s="401" t="s">
        <v>2424</v>
      </c>
      <c r="AB182" s="479" t="str">
        <f>IF(COUNT(AB173:AB181)&gt;0,MAX(AB173:AB181)+1,"")</f>
        <v/>
      </c>
      <c r="AC182" s="433" t="str">
        <f>IF(AND(AH182&lt;&gt;"",AG182&lt;&gt;"",AI182&gt;0,AH182&gt;0),MAX(AC$2:AC181)+1,"XX")</f>
        <v>XX</v>
      </c>
      <c r="AD182" s="429" t="str">
        <f>IF('Antal &amp; Längder (vikter)'!$C$23&lt;&gt;"",'Antal &amp; Längder (vikter)'!$C$23,"XX")</f>
        <v>XX</v>
      </c>
      <c r="AE182" s="406" t="str">
        <f>IF(AND('Antal &amp; Längder (vikter)'!F$25&lt;&gt;"",ISNUMBER($AH182)),'Antal &amp; Längder (vikter)'!F$25,"")</f>
        <v/>
      </c>
      <c r="AF182" s="425" t="str">
        <f t="shared" si="6"/>
        <v/>
      </c>
      <c r="AG182" s="426" t="str">
        <f t="shared" si="7"/>
        <v/>
      </c>
      <c r="AH182" s="409" t="str">
        <f>IF('Antal &amp; Längder (vikter)'!G$26="Längd (mm)",IF('Antal &amp; Längder (vikter)'!G36&lt;&gt;"",'Antal &amp; Längder (vikter)'!G36,"XX"),"XX")</f>
        <v>XX</v>
      </c>
      <c r="AI182" s="7">
        <v>-9</v>
      </c>
    </row>
    <row r="183" spans="5:48" x14ac:dyDescent="0.25">
      <c r="E183" s="2"/>
      <c r="F183" s="199">
        <f>COUNTIF(J$113:J183,J183)</f>
        <v>6</v>
      </c>
      <c r="G183" t="s">
        <v>201</v>
      </c>
      <c r="H183" s="330">
        <v>1283</v>
      </c>
      <c r="I183" s="330">
        <v>12</v>
      </c>
      <c r="J183" t="s">
        <v>134</v>
      </c>
      <c r="K183" s="143"/>
      <c r="L183" s="220" t="str">
        <f>IF(Protokoll!I$1&lt;&gt;"",IF(N182=N$113,IF(AND(DMAX(F$113:J$403,F$113,O182:O183)&gt;COUNTA(L$111:L182)-2,DCOUNTA(F$113:J$403,G$113,N182:O183)=1),DGET(F$113:J$403,G$113,N182:O183),""),IF(AND(DMAX(F$113:J$403,F$113,Q182:Q183)&gt;COUNTA(L$111:L182)-2,DCOUNTA(F$113:J$403,G$113,P182:Q183)=1),DGET(F$113:J$403,G$113,P182:Q183),"")),G183)</f>
        <v/>
      </c>
      <c r="M183" s="143"/>
      <c r="N183" s="221" t="str">
        <f>IF(N182=N$113,IF(COUNT(N$113:Q182)&lt;DMAX(F$113:J$403,F$113,O182:O183),COUNT(N$113:Q182)+1,""),IF(COUNT(N$113:Q182)&lt;DMAX(F$113:J$403,F$113,Q182:Q183),N$113,""))</f>
        <v/>
      </c>
      <c r="O183" s="222" t="str">
        <f>IF(O182=O$113,IF(COUNTA(L$111:L182)-2&lt;DMAX(F$113:J$403,F$113,Q181:Q182),Protokoll!I$1,""),IF(O182&lt;&gt;"",IF(COUNTA(L$111:L182)-1&lt;DMAX(F$113:J$403,F$113,O181:O182),O$113,""),""))</f>
        <v/>
      </c>
      <c r="P183" s="223" t="str">
        <f>IF(N182=N$113,IF(COUNT(N$113:Q182)&lt;DMAX(F$113:J$403,F$113,O182:O183),N$113,""),IF(COUNT(N$113:Q182)&lt;DMAX(F$113:J$403,F$113,Q182:Q183),COUNT(N$113:Q182)+1,""))</f>
        <v/>
      </c>
      <c r="Q183" s="199" t="str">
        <f>IF(O182=O$113,IF(COUNTA(L$111:L182)-2&lt;DMAX(F$113:J$403,F$113,Q181:Q182),O$113,""),IF(Q182&lt;&gt;"",IF(COUNTA(L$111:L182)-2&lt;DMAX(F$113:J$403,F$113,O181:O182),Protokoll!I$1,""),""))</f>
        <v/>
      </c>
      <c r="T183" s="331" t="str">
        <f>IF(OR(Protokoll!$X$5&lt;&gt;"",Lokalbeskrivn!$M$4&lt;&gt;""),"",U183)</f>
        <v/>
      </c>
      <c r="U183" s="330" t="s">
        <v>1258</v>
      </c>
      <c r="V183" s="351" t="s">
        <v>1257</v>
      </c>
      <c r="W183" s="2"/>
      <c r="Y183" s="401" t="s">
        <v>2193</v>
      </c>
      <c r="Z183" s="401" t="s">
        <v>2194</v>
      </c>
      <c r="AB183" s="480" t="str">
        <f>IF(AND(ISNUMBER(AH183),AH183&gt;0),IF(MAX(AB$3:AB182)&gt;0,MAX(AB$3:AB182)+1,10+COUNTIF(F$38:F$49,"&gt;0")*10+1),"")</f>
        <v/>
      </c>
      <c r="AC183" s="433" t="str">
        <f>IF(AND(AH183&lt;&gt;"",AG183&lt;&gt;"",AI183&gt;0,AH183&gt;0),MAX(AC$2:AC182)+1,"XX")</f>
        <v>XX</v>
      </c>
      <c r="AD183" s="429" t="str">
        <f>IF('Antal &amp; Längder (vikter)'!$C$23&lt;&gt;"",'Antal &amp; Längder (vikter)'!$C$23,"XX")</f>
        <v>XX</v>
      </c>
      <c r="AE183" s="415" t="str">
        <f>IF(AND('Antal &amp; Längder (vikter)'!H$25&lt;&gt;"",ISNUMBER($AH183)),'Antal &amp; Längder (vikter)'!H$25,"")</f>
        <v/>
      </c>
      <c r="AF183" s="425" t="str">
        <f t="shared" si="6"/>
        <v/>
      </c>
      <c r="AG183" s="426" t="str">
        <f t="shared" si="7"/>
        <v/>
      </c>
      <c r="AH183" s="407" t="str">
        <f>IF('Antal &amp; Längder (vikter)'!H27&lt;&gt;"",'Antal &amp; Längder (vikter)'!H27,"XX")</f>
        <v>XX</v>
      </c>
      <c r="AI183" s="436">
        <f>IF('Antal &amp; Längder (vikter)'!I$26="Vikt (g)",'Antal &amp; Längder (vikter)'!I27,-9)</f>
        <v>-9</v>
      </c>
    </row>
    <row r="184" spans="5:48" x14ac:dyDescent="0.25">
      <c r="E184" s="2"/>
      <c r="F184" s="199">
        <f>COUNTIF(J$113:J184,J184)</f>
        <v>14</v>
      </c>
      <c r="G184" t="s">
        <v>202</v>
      </c>
      <c r="H184" s="330">
        <v>1466</v>
      </c>
      <c r="I184" s="330">
        <v>14</v>
      </c>
      <c r="J184" t="s">
        <v>114</v>
      </c>
      <c r="K184" s="143"/>
      <c r="L184" s="220" t="str">
        <f>IF(Protokoll!I$1&lt;&gt;"",IF(N183=N$113,IF(AND(DMAX(F$113:J$403,F$113,O183:O184)&gt;COUNTA(L$111:L183)-2,DCOUNTA(F$113:J$403,G$113,N183:O184)=1),DGET(F$113:J$403,G$113,N183:O184),""),IF(AND(DMAX(F$113:J$403,F$113,Q183:Q184)&gt;COUNTA(L$111:L183)-2,DCOUNTA(F$113:J$403,G$113,P183:Q184)=1),DGET(F$113:J$403,G$113,P183:Q184),"")),G184)</f>
        <v/>
      </c>
      <c r="M184" s="143"/>
      <c r="N184" s="221" t="str">
        <f>IF(N183=N$113,IF(COUNT(N$113:Q183)&lt;DMAX(F$113:J$403,F$113,O183:O184),COUNT(N$113:Q183)+1,""),IF(COUNT(N$113:Q183)&lt;DMAX(F$113:J$403,F$113,Q183:Q184),N$113,""))</f>
        <v/>
      </c>
      <c r="O184" s="222" t="str">
        <f>IF(O183=O$113,IF(COUNTA(L$111:L183)-2&lt;DMAX(F$113:J$403,F$113,Q182:Q183),Protokoll!I$1,""),IF(O183&lt;&gt;"",IF(COUNTA(L$111:L183)-1&lt;DMAX(F$113:J$403,F$113,O182:O183),O$113,""),""))</f>
        <v/>
      </c>
      <c r="P184" s="223" t="str">
        <f>IF(N183=N$113,IF(COUNT(N$113:Q183)&lt;DMAX(F$113:J$403,F$113,O183:O184),N$113,""),IF(COUNT(N$113:Q183)&lt;DMAX(F$113:J$403,F$113,Q183:Q184),COUNT(N$113:Q183)+1,""))</f>
        <v/>
      </c>
      <c r="Q184" s="199" t="str">
        <f>IF(O183=O$113,IF(COUNTA(L$111:L183)-2&lt;DMAX(F$113:J$403,F$113,Q182:Q183),O$113,""),IF(Q183&lt;&gt;"",IF(COUNTA(L$111:L183)-2&lt;DMAX(F$113:J$403,F$113,O182:O183),Protokoll!I$1,""),""))</f>
        <v/>
      </c>
      <c r="T184" s="331" t="str">
        <f>IF(OR(Protokoll!$X$5&lt;&gt;"",Lokalbeskrivn!$M$4&lt;&gt;""),"",U184)</f>
        <v/>
      </c>
      <c r="U184" s="330" t="s">
        <v>1260</v>
      </c>
      <c r="V184" s="351" t="s">
        <v>1259</v>
      </c>
      <c r="W184" s="2"/>
      <c r="Y184" s="401" t="s">
        <v>1701</v>
      </c>
      <c r="Z184" s="401" t="s">
        <v>1702</v>
      </c>
      <c r="AB184" s="476" t="str">
        <f>IF(COUNT(AB183:AB183)&gt;0,MAX(AB183:AB183)+1,"")</f>
        <v/>
      </c>
      <c r="AC184" s="433" t="str">
        <f>IF(AND(AH184&lt;&gt;"",AG184&lt;&gt;"",AI184&gt;0,AH184&gt;0),MAX(AC$2:AC183)+1,"XX")</f>
        <v>XX</v>
      </c>
      <c r="AD184" s="429" t="str">
        <f>IF('Antal &amp; Längder (vikter)'!$C$23&lt;&gt;"",'Antal &amp; Längder (vikter)'!$C$23,"XX")</f>
        <v>XX</v>
      </c>
      <c r="AE184" s="415" t="str">
        <f>IF(AND('Antal &amp; Längder (vikter)'!H$25&lt;&gt;"",ISNUMBER($AH184)),'Antal &amp; Längder (vikter)'!H$25,"")</f>
        <v/>
      </c>
      <c r="AF184" s="425" t="str">
        <f t="shared" si="6"/>
        <v/>
      </c>
      <c r="AG184" s="426" t="str">
        <f t="shared" si="7"/>
        <v/>
      </c>
      <c r="AH184" s="407" t="str">
        <f>IF('Antal &amp; Längder (vikter)'!H28&lt;&gt;"",'Antal &amp; Längder (vikter)'!H28,"XX")</f>
        <v>XX</v>
      </c>
      <c r="AI184" s="436">
        <f>IF('Antal &amp; Längder (vikter)'!I$26="Vikt (g)",'Antal &amp; Längder (vikter)'!I28,-9)</f>
        <v>-9</v>
      </c>
    </row>
    <row r="185" spans="5:48" x14ac:dyDescent="0.25">
      <c r="E185" s="2"/>
      <c r="F185" s="199">
        <f>COUNTIF(J$113:J185,J185)</f>
        <v>15</v>
      </c>
      <c r="G185" t="s">
        <v>203</v>
      </c>
      <c r="H185" s="330">
        <v>1497</v>
      </c>
      <c r="I185" s="330">
        <v>14</v>
      </c>
      <c r="J185" t="s">
        <v>114</v>
      </c>
      <c r="K185" s="143"/>
      <c r="L185" s="220" t="str">
        <f>IF(Protokoll!I$1&lt;&gt;"",IF(N184=N$113,IF(AND(DMAX(F$113:J$403,F$113,O184:O185)&gt;COUNTA(L$111:L184)-2,DCOUNTA(F$113:J$403,G$113,N184:O185)=1),DGET(F$113:J$403,G$113,N184:O185),""),IF(AND(DMAX(F$113:J$403,F$113,Q184:Q185)&gt;COUNTA(L$111:L184)-2,DCOUNTA(F$113:J$403,G$113,P184:Q185)=1),DGET(F$113:J$403,G$113,P184:Q185),"")),G185)</f>
        <v/>
      </c>
      <c r="M185" s="143"/>
      <c r="N185" s="221" t="str">
        <f>IF(N184=N$113,IF(COUNT(N$113:Q184)&lt;DMAX(F$113:J$403,F$113,O184:O185),COUNT(N$113:Q184)+1,""),IF(COUNT(N$113:Q184)&lt;DMAX(F$113:J$403,F$113,Q184:Q185),N$113,""))</f>
        <v/>
      </c>
      <c r="O185" s="222" t="str">
        <f>IF(O184=O$113,IF(COUNTA(L$111:L184)-2&lt;DMAX(F$113:J$403,F$113,Q183:Q184),Protokoll!I$1,""),IF(O184&lt;&gt;"",IF(COUNTA(L$111:L184)-1&lt;DMAX(F$113:J$403,F$113,O183:O184),O$113,""),""))</f>
        <v/>
      </c>
      <c r="P185" s="223" t="str">
        <f>IF(N184=N$113,IF(COUNT(N$113:Q184)&lt;DMAX(F$113:J$403,F$113,O184:O185),N$113,""),IF(COUNT(N$113:Q184)&lt;DMAX(F$113:J$403,F$113,Q184:Q185),COUNT(N$113:Q184)+1,""))</f>
        <v/>
      </c>
      <c r="Q185" s="199" t="str">
        <f>IF(O184=O$113,IF(COUNTA(L$111:L184)-2&lt;DMAX(F$113:J$403,F$113,Q183:Q184),O$113,""),IF(Q184&lt;&gt;"",IF(COUNTA(L$111:L184)-2&lt;DMAX(F$113:J$403,F$113,O183:O184),Protokoll!I$1,""),""))</f>
        <v/>
      </c>
      <c r="T185" s="331" t="str">
        <f>IF(OR(Protokoll!$X$5&lt;&gt;"",Lokalbeskrivn!$M$4&lt;&gt;""),"",U185)</f>
        <v/>
      </c>
      <c r="U185" s="330" t="s">
        <v>1262</v>
      </c>
      <c r="V185" s="351" t="s">
        <v>1261</v>
      </c>
      <c r="W185" s="2"/>
      <c r="Y185" s="401" t="s">
        <v>2425</v>
      </c>
      <c r="Z185" s="401" t="s">
        <v>257</v>
      </c>
      <c r="AB185" s="477" t="str">
        <f>IF(COUNT(AB183:AB184)&gt;0,MAX(AB183:AB184)+1,"")</f>
        <v/>
      </c>
      <c r="AC185" s="433" t="str">
        <f>IF(AND(AH185&lt;&gt;"",AG185&lt;&gt;"",AI185&gt;0,AH185&gt;0),MAX(AC$2:AC184)+1,"XX")</f>
        <v>XX</v>
      </c>
      <c r="AD185" s="429" t="str">
        <f>IF('Antal &amp; Längder (vikter)'!$C$23&lt;&gt;"",'Antal &amp; Längder (vikter)'!$C$23,"XX")</f>
        <v>XX</v>
      </c>
      <c r="AE185" s="415" t="str">
        <f>IF(AND('Antal &amp; Längder (vikter)'!H$25&lt;&gt;"",ISNUMBER($AH185)),'Antal &amp; Längder (vikter)'!H$25,"")</f>
        <v/>
      </c>
      <c r="AF185" s="425" t="str">
        <f t="shared" si="6"/>
        <v/>
      </c>
      <c r="AG185" s="426" t="str">
        <f t="shared" si="7"/>
        <v/>
      </c>
      <c r="AH185" s="407" t="str">
        <f>IF('Antal &amp; Längder (vikter)'!H29&lt;&gt;"",'Antal &amp; Längder (vikter)'!H29,"XX")</f>
        <v>XX</v>
      </c>
      <c r="AI185" s="436">
        <f>IF('Antal &amp; Längder (vikter)'!I$26="Vikt (g)",'Antal &amp; Längder (vikter)'!I29,-9)</f>
        <v>-9</v>
      </c>
    </row>
    <row r="186" spans="5:48" x14ac:dyDescent="0.25">
      <c r="E186" s="2"/>
      <c r="F186" s="199">
        <f>COUNTIF(J$113:J186,J186)</f>
        <v>3</v>
      </c>
      <c r="G186" t="s">
        <v>204</v>
      </c>
      <c r="H186" s="330">
        <v>2104</v>
      </c>
      <c r="I186" s="330">
        <v>21</v>
      </c>
      <c r="J186" t="s">
        <v>117</v>
      </c>
      <c r="K186" s="143"/>
      <c r="L186" s="220" t="str">
        <f>IF(Protokoll!I$1&lt;&gt;"",IF(N185=N$113,IF(AND(DMAX(F$113:J$403,F$113,O185:O186)&gt;COUNTA(L$111:L185)-2,DCOUNTA(F$113:J$403,G$113,N185:O186)=1),DGET(F$113:J$403,G$113,N185:O186),""),IF(AND(DMAX(F$113:J$403,F$113,Q185:Q186)&gt;COUNTA(L$111:L185)-2,DCOUNTA(F$113:J$403,G$113,P185:Q186)=1),DGET(F$113:J$403,G$113,P185:Q186),"")),G186)</f>
        <v/>
      </c>
      <c r="M186" s="143"/>
      <c r="N186" s="221" t="str">
        <f>IF(N185=N$113,IF(COUNT(N$113:Q185)&lt;DMAX(F$113:J$403,F$113,O185:O186),COUNT(N$113:Q185)+1,""),IF(COUNT(N$113:Q185)&lt;DMAX(F$113:J$403,F$113,Q185:Q186),N$113,""))</f>
        <v/>
      </c>
      <c r="O186" s="222" t="str">
        <f>IF(O185=O$113,IF(COUNTA(L$111:L185)-2&lt;DMAX(F$113:J$403,F$113,Q184:Q185),Protokoll!I$1,""),IF(O185&lt;&gt;"",IF(COUNTA(L$111:L185)-1&lt;DMAX(F$113:J$403,F$113,O184:O185),O$113,""),""))</f>
        <v/>
      </c>
      <c r="P186" s="223" t="str">
        <f>IF(N185=N$113,IF(COUNT(N$113:Q185)&lt;DMAX(F$113:J$403,F$113,O185:O186),N$113,""),IF(COUNT(N$113:Q185)&lt;DMAX(F$113:J$403,F$113,Q185:Q186),COUNT(N$113:Q185)+1,""))</f>
        <v/>
      </c>
      <c r="Q186" s="199" t="str">
        <f>IF(O185=O$113,IF(COUNTA(L$111:L185)-2&lt;DMAX(F$113:J$403,F$113,Q184:Q185),O$113,""),IF(Q185&lt;&gt;"",IF(COUNTA(L$111:L185)-2&lt;DMAX(F$113:J$403,F$113,O184:O185),Protokoll!I$1,""),""))</f>
        <v/>
      </c>
      <c r="T186" s="331" t="str">
        <f>IF(OR(Protokoll!$X$5&lt;&gt;"",Lokalbeskrivn!$M$4&lt;&gt;""),"",U186)</f>
        <v/>
      </c>
      <c r="U186" s="330" t="s">
        <v>1264</v>
      </c>
      <c r="V186" s="351" t="s">
        <v>1263</v>
      </c>
      <c r="W186" s="2"/>
      <c r="Y186" s="401" t="s">
        <v>2183</v>
      </c>
      <c r="Z186" s="401" t="s">
        <v>2184</v>
      </c>
      <c r="AB186" s="434" t="str">
        <f>IF(COUNT(AB183:AB185)&gt;0,MAX(AB183:AB185)+1,"")</f>
        <v/>
      </c>
      <c r="AC186" s="433" t="str">
        <f>IF(AND(AH186&lt;&gt;"",AG186&lt;&gt;"",AI186&gt;0,AH186&gt;0),MAX(AC$2:AC185)+1,"XX")</f>
        <v>XX</v>
      </c>
      <c r="AD186" s="429" t="str">
        <f>IF('Antal &amp; Längder (vikter)'!$C$23&lt;&gt;"",'Antal &amp; Längder (vikter)'!$C$23,"XX")</f>
        <v>XX</v>
      </c>
      <c r="AE186" s="415" t="str">
        <f>IF(AND('Antal &amp; Längder (vikter)'!H$25&lt;&gt;"",ISNUMBER($AH186)),'Antal &amp; Längder (vikter)'!H$25,"")</f>
        <v/>
      </c>
      <c r="AF186" s="425" t="str">
        <f t="shared" si="6"/>
        <v/>
      </c>
      <c r="AG186" s="426" t="str">
        <f t="shared" si="7"/>
        <v/>
      </c>
      <c r="AH186" s="407" t="str">
        <f>IF('Antal &amp; Längder (vikter)'!H30&lt;&gt;"",'Antal &amp; Längder (vikter)'!H30,"XX")</f>
        <v>XX</v>
      </c>
      <c r="AI186" s="436">
        <f>IF('Antal &amp; Längder (vikter)'!I$26="Vikt (g)",'Antal &amp; Längder (vikter)'!I30,-9)</f>
        <v>-9</v>
      </c>
    </row>
    <row r="187" spans="5:48" x14ac:dyDescent="0.25">
      <c r="E187" s="2"/>
      <c r="F187" s="199">
        <f>COUNTIF(J$113:J187,J187)</f>
        <v>5</v>
      </c>
      <c r="G187" t="s">
        <v>205</v>
      </c>
      <c r="H187" s="330">
        <v>126</v>
      </c>
      <c r="I187" s="330">
        <v>1</v>
      </c>
      <c r="J187" t="s">
        <v>136</v>
      </c>
      <c r="K187" s="143"/>
      <c r="L187" s="220" t="str">
        <f>IF(Protokoll!I$1&lt;&gt;"",IF(N186=N$113,IF(AND(DMAX(F$113:J$403,F$113,O186:O187)&gt;COUNTA(L$111:L186)-2,DCOUNTA(F$113:J$403,G$113,N186:O187)=1),DGET(F$113:J$403,G$113,N186:O187),""),IF(AND(DMAX(F$113:J$403,F$113,Q186:Q187)&gt;COUNTA(L$111:L186)-2,DCOUNTA(F$113:J$403,G$113,P186:Q187)=1),DGET(F$113:J$403,G$113,P186:Q187),"")),G187)</f>
        <v/>
      </c>
      <c r="M187" s="143"/>
      <c r="N187" s="221" t="str">
        <f>IF(N186=N$113,IF(COUNT(N$113:Q186)&lt;DMAX(F$113:J$403,F$113,O186:O187),COUNT(N$113:Q186)+1,""),IF(COUNT(N$113:Q186)&lt;DMAX(F$113:J$403,F$113,Q186:Q187),N$113,""))</f>
        <v/>
      </c>
      <c r="O187" s="222" t="str">
        <f>IF(O186=O$113,IF(COUNTA(L$111:L186)-2&lt;DMAX(F$113:J$403,F$113,Q185:Q186),Protokoll!I$1,""),IF(O186&lt;&gt;"",IF(COUNTA(L$111:L186)-1&lt;DMAX(F$113:J$403,F$113,O185:O186),O$113,""),""))</f>
        <v/>
      </c>
      <c r="P187" s="223" t="str">
        <f>IF(N186=N$113,IF(COUNT(N$113:Q186)&lt;DMAX(F$113:J$403,F$113,O186:O187),N$113,""),IF(COUNT(N$113:Q186)&lt;DMAX(F$113:J$403,F$113,Q186:Q187),COUNT(N$113:Q186)+1,""))</f>
        <v/>
      </c>
      <c r="Q187" s="199" t="str">
        <f>IF(O186=O$113,IF(COUNTA(L$111:L186)-2&lt;DMAX(F$113:J$403,F$113,Q185:Q186),O$113,""),IF(Q186&lt;&gt;"",IF(COUNTA(L$111:L186)-2&lt;DMAX(F$113:J$403,F$113,O185:O186),Protokoll!I$1,""),""))</f>
        <v/>
      </c>
      <c r="T187" s="331" t="str">
        <f>IF(OR(Protokoll!$X$5&lt;&gt;"",Lokalbeskrivn!$M$4&lt;&gt;""),"",U187)</f>
        <v/>
      </c>
      <c r="U187" s="330" t="s">
        <v>1266</v>
      </c>
      <c r="V187" s="351" t="s">
        <v>1265</v>
      </c>
      <c r="W187" s="2"/>
      <c r="Y187" s="401" t="s">
        <v>1773</v>
      </c>
      <c r="Z187" s="401" t="s">
        <v>1773</v>
      </c>
      <c r="AB187" s="475" t="str">
        <f>IF(COUNT(AB183:AB186)&gt;0,MAX(AB183:AB186)+1,"")</f>
        <v/>
      </c>
      <c r="AC187" s="433" t="str">
        <f>IF(AND(AH187&lt;&gt;"",AG187&lt;&gt;"",AI187&gt;0,AH187&gt;0),MAX(AC$2:AC186)+1,"XX")</f>
        <v>XX</v>
      </c>
      <c r="AD187" s="429" t="str">
        <f>IF('Antal &amp; Längder (vikter)'!$C$23&lt;&gt;"",'Antal &amp; Längder (vikter)'!$C$23,"XX")</f>
        <v>XX</v>
      </c>
      <c r="AE187" s="415" t="str">
        <f>IF(AND('Antal &amp; Längder (vikter)'!H$25&lt;&gt;"",ISNUMBER($AH187)),'Antal &amp; Längder (vikter)'!H$25,"")</f>
        <v/>
      </c>
      <c r="AF187" s="425" t="str">
        <f t="shared" si="6"/>
        <v/>
      </c>
      <c r="AG187" s="426" t="str">
        <f t="shared" si="7"/>
        <v/>
      </c>
      <c r="AH187" s="407" t="str">
        <f>IF('Antal &amp; Längder (vikter)'!H31&lt;&gt;"",'Antal &amp; Längder (vikter)'!H31,"XX")</f>
        <v>XX</v>
      </c>
      <c r="AI187" s="436">
        <f>IF('Antal &amp; Längder (vikter)'!I$26="Vikt (g)",'Antal &amp; Längder (vikter)'!I31,-9)</f>
        <v>-9</v>
      </c>
    </row>
    <row r="188" spans="5:48" x14ac:dyDescent="0.25">
      <c r="E188" s="2"/>
      <c r="F188" s="199">
        <f>COUNTIF(J$113:J188,J188)</f>
        <v>4</v>
      </c>
      <c r="G188" t="s">
        <v>206</v>
      </c>
      <c r="H188" s="330">
        <v>2184</v>
      </c>
      <c r="I188" s="330">
        <v>21</v>
      </c>
      <c r="J188" t="s">
        <v>117</v>
      </c>
      <c r="K188" s="143"/>
      <c r="L188" s="220" t="str">
        <f>IF(Protokoll!I$1&lt;&gt;"",IF(N187=N$113,IF(AND(DMAX(F$113:J$403,F$113,O187:O188)&gt;COUNTA(L$111:L187)-2,DCOUNTA(F$113:J$403,G$113,N187:O188)=1),DGET(F$113:J$403,G$113,N187:O188),""),IF(AND(DMAX(F$113:J$403,F$113,Q187:Q188)&gt;COUNTA(L$111:L187)-2,DCOUNTA(F$113:J$403,G$113,P187:Q188)=1),DGET(F$113:J$403,G$113,P187:Q188),"")),G188)</f>
        <v/>
      </c>
      <c r="M188" s="143"/>
      <c r="N188" s="221" t="str">
        <f>IF(N187=N$113,IF(COUNT(N$113:Q187)&lt;DMAX(F$113:J$403,F$113,O187:O188),COUNT(N$113:Q187)+1,""),IF(COUNT(N$113:Q187)&lt;DMAX(F$113:J$403,F$113,Q187:Q188),N$113,""))</f>
        <v/>
      </c>
      <c r="O188" s="222" t="str">
        <f>IF(O187=O$113,IF(COUNTA(L$111:L187)-2&lt;DMAX(F$113:J$403,F$113,Q186:Q187),Protokoll!I$1,""),IF(O187&lt;&gt;"",IF(COUNTA(L$111:L187)-1&lt;DMAX(F$113:J$403,F$113,O186:O187),O$113,""),""))</f>
        <v/>
      </c>
      <c r="P188" s="223" t="str">
        <f>IF(N187=N$113,IF(COUNT(N$113:Q187)&lt;DMAX(F$113:J$403,F$113,O187:O188),N$113,""),IF(COUNT(N$113:Q187)&lt;DMAX(F$113:J$403,F$113,Q187:Q188),COUNT(N$113:Q187)+1,""))</f>
        <v/>
      </c>
      <c r="Q188" s="199" t="str">
        <f>IF(O187=O$113,IF(COUNTA(L$111:L187)-2&lt;DMAX(F$113:J$403,F$113,Q186:Q187),O$113,""),IF(Q187&lt;&gt;"",IF(COUNTA(L$111:L187)-2&lt;DMAX(F$113:J$403,F$113,O186:O187),Protokoll!I$1,""),""))</f>
        <v/>
      </c>
      <c r="T188" s="331" t="str">
        <f>IF(OR(Protokoll!$X$5&lt;&gt;"",Lokalbeskrivn!$M$4&lt;&gt;""),"",U188)</f>
        <v/>
      </c>
      <c r="U188" s="330" t="s">
        <v>1268</v>
      </c>
      <c r="V188" s="351" t="s">
        <v>1267</v>
      </c>
      <c r="W188" s="2"/>
      <c r="Y188" s="401" t="s">
        <v>2201</v>
      </c>
      <c r="Z188" s="401" t="s">
        <v>2202</v>
      </c>
      <c r="AB188" s="471" t="str">
        <f>IF(COUNT(AB183:AB187)&gt;0,MAX(AB183:AB187)+1,"")</f>
        <v/>
      </c>
      <c r="AC188" s="433" t="str">
        <f>IF(AND(AH188&lt;&gt;"",AG188&lt;&gt;"",AI188&gt;0,AH188&gt;0),MAX(AC$2:AC187)+1,"XX")</f>
        <v>XX</v>
      </c>
      <c r="AD188" s="429" t="str">
        <f>IF('Antal &amp; Längder (vikter)'!$C$23&lt;&gt;"",'Antal &amp; Längder (vikter)'!$C$23,"XX")</f>
        <v>XX</v>
      </c>
      <c r="AE188" s="415" t="str">
        <f>IF(AND('Antal &amp; Längder (vikter)'!H$25&lt;&gt;"",ISNUMBER($AH188)),'Antal &amp; Längder (vikter)'!H$25,"")</f>
        <v/>
      </c>
      <c r="AF188" s="425" t="str">
        <f t="shared" si="6"/>
        <v/>
      </c>
      <c r="AG188" s="426" t="str">
        <f t="shared" si="7"/>
        <v/>
      </c>
      <c r="AH188" s="407" t="str">
        <f>IF('Antal &amp; Längder (vikter)'!H32&lt;&gt;"",'Antal &amp; Längder (vikter)'!H32,"XX")</f>
        <v>XX</v>
      </c>
      <c r="AI188" s="436">
        <f>IF('Antal &amp; Längder (vikter)'!I$26="Vikt (g)",'Antal &amp; Längder (vikter)'!I32,-9)</f>
        <v>-9</v>
      </c>
    </row>
    <row r="189" spans="5:48" x14ac:dyDescent="0.25">
      <c r="E189" s="2"/>
      <c r="F189" s="199">
        <f>COUNTIF(J$113:J189,J189)</f>
        <v>3</v>
      </c>
      <c r="G189" t="s">
        <v>207</v>
      </c>
      <c r="H189" s="330">
        <v>860</v>
      </c>
      <c r="I189" s="330">
        <v>8</v>
      </c>
      <c r="J189" t="s">
        <v>128</v>
      </c>
      <c r="K189" s="143"/>
      <c r="L189" s="220" t="str">
        <f>IF(Protokoll!I$1&lt;&gt;"",IF(N188=N$113,IF(AND(DMAX(F$113:J$403,F$113,O188:O189)&gt;COUNTA(L$111:L188)-2,DCOUNTA(F$113:J$403,G$113,N188:O189)=1),DGET(F$113:J$403,G$113,N188:O189),""),IF(AND(DMAX(F$113:J$403,F$113,Q188:Q189)&gt;COUNTA(L$111:L188)-2,DCOUNTA(F$113:J$403,G$113,P188:Q189)=1),DGET(F$113:J$403,G$113,P188:Q189),"")),G189)</f>
        <v/>
      </c>
      <c r="M189" s="143"/>
      <c r="N189" s="221" t="str">
        <f>IF(N188=N$113,IF(COUNT(N$113:Q188)&lt;DMAX(F$113:J$403,F$113,O188:O189),COUNT(N$113:Q188)+1,""),IF(COUNT(N$113:Q188)&lt;DMAX(F$113:J$403,F$113,Q188:Q189),N$113,""))</f>
        <v/>
      </c>
      <c r="O189" s="222" t="str">
        <f>IF(O188=O$113,IF(COUNTA(L$111:L188)-2&lt;DMAX(F$113:J$403,F$113,Q187:Q188),Protokoll!I$1,""),IF(O188&lt;&gt;"",IF(COUNTA(L$111:L188)-1&lt;DMAX(F$113:J$403,F$113,O187:O188),O$113,""),""))</f>
        <v/>
      </c>
      <c r="P189" s="223" t="str">
        <f>IF(N188=N$113,IF(COUNT(N$113:Q188)&lt;DMAX(F$113:J$403,F$113,O188:O189),N$113,""),IF(COUNT(N$113:Q188)&lt;DMAX(F$113:J$403,F$113,Q188:Q189),COUNT(N$113:Q188)+1,""))</f>
        <v/>
      </c>
      <c r="Q189" s="199" t="str">
        <f>IF(O188=O$113,IF(COUNTA(L$111:L188)-2&lt;DMAX(F$113:J$403,F$113,Q187:Q188),O$113,""),IF(Q188&lt;&gt;"",IF(COUNTA(L$111:L188)-2&lt;DMAX(F$113:J$403,F$113,O187:O188),Protokoll!I$1,""),""))</f>
        <v/>
      </c>
      <c r="T189" s="331" t="str">
        <f>IF(OR(Protokoll!$X$5&lt;&gt;"",Lokalbeskrivn!$M$4&lt;&gt;""),"",U189)</f>
        <v/>
      </c>
      <c r="U189" s="330" t="s">
        <v>1270</v>
      </c>
      <c r="V189" s="351" t="s">
        <v>1269</v>
      </c>
      <c r="W189" s="2"/>
      <c r="Y189" s="401" t="s">
        <v>1719</v>
      </c>
      <c r="Z189" s="401" t="s">
        <v>1720</v>
      </c>
      <c r="AB189" s="474" t="str">
        <f>IF(COUNT(AB183:AB188)&gt;0,MAX(AB183:AB188)+1,"")</f>
        <v/>
      </c>
      <c r="AC189" s="433" t="str">
        <f>IF(AND(AH189&lt;&gt;"",AG189&lt;&gt;"",AI189&gt;0,AH189&gt;0),MAX(AC$2:AC188)+1,"XX")</f>
        <v>XX</v>
      </c>
      <c r="AD189" s="429" t="str">
        <f>IF('Antal &amp; Längder (vikter)'!$C$23&lt;&gt;"",'Antal &amp; Längder (vikter)'!$C$23,"XX")</f>
        <v>XX</v>
      </c>
      <c r="AE189" s="415" t="str">
        <f>IF(AND('Antal &amp; Längder (vikter)'!H$25&lt;&gt;"",ISNUMBER($AH189)),'Antal &amp; Längder (vikter)'!H$25,"")</f>
        <v/>
      </c>
      <c r="AF189" s="425" t="str">
        <f t="shared" si="6"/>
        <v/>
      </c>
      <c r="AG189" s="426" t="str">
        <f t="shared" si="7"/>
        <v/>
      </c>
      <c r="AH189" s="407" t="str">
        <f>IF('Antal &amp; Längder (vikter)'!H33&lt;&gt;"",'Antal &amp; Längder (vikter)'!H33,"XX")</f>
        <v>XX</v>
      </c>
      <c r="AI189" s="436">
        <f>IF('Antal &amp; Längder (vikter)'!I$26="Vikt (g)",'Antal &amp; Längder (vikter)'!I33,-9)</f>
        <v>-9</v>
      </c>
    </row>
    <row r="190" spans="5:48" x14ac:dyDescent="0.25">
      <c r="E190" s="2"/>
      <c r="F190" s="199">
        <f>COUNTIF(J$113:J190,J190)</f>
        <v>3</v>
      </c>
      <c r="G190" t="s">
        <v>208</v>
      </c>
      <c r="H190" s="330">
        <v>1315</v>
      </c>
      <c r="I190" s="330">
        <v>13</v>
      </c>
      <c r="J190" t="s">
        <v>120</v>
      </c>
      <c r="K190" s="143"/>
      <c r="L190" s="220" t="str">
        <f>IF(Protokoll!I$1&lt;&gt;"",IF(N189=N$113,IF(AND(DMAX(F$113:J$403,F$113,O189:O190)&gt;COUNTA(L$111:L189)-2,DCOUNTA(F$113:J$403,G$113,N189:O190)=1),DGET(F$113:J$403,G$113,N189:O190),""),IF(AND(DMAX(F$113:J$403,F$113,Q189:Q190)&gt;COUNTA(L$111:L189)-2,DCOUNTA(F$113:J$403,G$113,P189:Q190)=1),DGET(F$113:J$403,G$113,P189:Q190),"")),G190)</f>
        <v/>
      </c>
      <c r="M190" s="143"/>
      <c r="N190" s="221" t="str">
        <f>IF(N189=N$113,IF(COUNT(N$113:Q189)&lt;DMAX(F$113:J$403,F$113,O189:O190),COUNT(N$113:Q189)+1,""),IF(COUNT(N$113:Q189)&lt;DMAX(F$113:J$403,F$113,Q189:Q190),N$113,""))</f>
        <v/>
      </c>
      <c r="O190" s="222" t="str">
        <f>IF(O189=O$113,IF(COUNTA(L$111:L189)-2&lt;DMAX(F$113:J$403,F$113,Q188:Q189),Protokoll!I$1,""),IF(O189&lt;&gt;"",IF(COUNTA(L$111:L189)-1&lt;DMAX(F$113:J$403,F$113,O188:O189),O$113,""),""))</f>
        <v/>
      </c>
      <c r="P190" s="223" t="str">
        <f>IF(N189=N$113,IF(COUNT(N$113:Q189)&lt;DMAX(F$113:J$403,F$113,O189:O190),N$113,""),IF(COUNT(N$113:Q189)&lt;DMAX(F$113:J$403,F$113,Q189:Q190),COUNT(N$113:Q189)+1,""))</f>
        <v/>
      </c>
      <c r="Q190" s="199" t="str">
        <f>IF(O189=O$113,IF(COUNTA(L$111:L189)-2&lt;DMAX(F$113:J$403,F$113,Q188:Q189),O$113,""),IF(Q189&lt;&gt;"",IF(COUNTA(L$111:L189)-2&lt;DMAX(F$113:J$403,F$113,O188:O189),Protokoll!I$1,""),""))</f>
        <v/>
      </c>
      <c r="T190" s="331" t="str">
        <f>IF(OR(Protokoll!$X$5&lt;&gt;"",Lokalbeskrivn!$M$4&lt;&gt;""),"",U190)</f>
        <v/>
      </c>
      <c r="U190" s="330" t="s">
        <v>1272</v>
      </c>
      <c r="V190" s="351" t="s">
        <v>1271</v>
      </c>
      <c r="W190" s="2"/>
      <c r="Y190" s="401" t="s">
        <v>1771</v>
      </c>
      <c r="Z190" s="401" t="s">
        <v>1772</v>
      </c>
      <c r="AB190" s="478" t="str">
        <f>IF(COUNT(AB183:AB189)&gt;0,MAX(AB183:AB189)+1,"")</f>
        <v/>
      </c>
      <c r="AC190" s="433" t="str">
        <f>IF(AND(AH190&lt;&gt;"",AG190&lt;&gt;"",AI190&gt;0,AH190&gt;0),MAX(AC$2:AC189)+1,"XX")</f>
        <v>XX</v>
      </c>
      <c r="AD190" s="429" t="str">
        <f>IF('Antal &amp; Längder (vikter)'!$C$23&lt;&gt;"",'Antal &amp; Längder (vikter)'!$C$23,"XX")</f>
        <v>XX</v>
      </c>
      <c r="AE190" s="415" t="str">
        <f>IF(AND('Antal &amp; Längder (vikter)'!H$25&lt;&gt;"",ISNUMBER($AH190)),'Antal &amp; Längder (vikter)'!H$25,"")</f>
        <v/>
      </c>
      <c r="AF190" s="425" t="str">
        <f t="shared" si="6"/>
        <v/>
      </c>
      <c r="AG190" s="426" t="str">
        <f t="shared" si="7"/>
        <v/>
      </c>
      <c r="AH190" s="407" t="str">
        <f>IF('Antal &amp; Längder (vikter)'!H34&lt;&gt;"",'Antal &amp; Längder (vikter)'!H34,"XX")</f>
        <v>XX</v>
      </c>
      <c r="AI190" s="436">
        <f>IF('Antal &amp; Längder (vikter)'!I$26="Vikt (g)",'Antal &amp; Längder (vikter)'!I34,-9)</f>
        <v>-9</v>
      </c>
    </row>
    <row r="191" spans="5:48" x14ac:dyDescent="0.25">
      <c r="E191" s="2"/>
      <c r="F191" s="199">
        <f>COUNTIF(J$113:J191,J191)</f>
        <v>2</v>
      </c>
      <c r="G191" t="s">
        <v>209</v>
      </c>
      <c r="H191" s="330">
        <v>305</v>
      </c>
      <c r="I191" s="330">
        <v>3</v>
      </c>
      <c r="J191" t="s">
        <v>140</v>
      </c>
      <c r="K191" s="143"/>
      <c r="L191" s="220" t="str">
        <f>IF(Protokoll!I$1&lt;&gt;"",IF(N190=N$113,IF(AND(DMAX(F$113:J$403,F$113,O190:O191)&gt;COUNTA(L$111:L190)-2,DCOUNTA(F$113:J$403,G$113,N190:O191)=1),DGET(F$113:J$403,G$113,N190:O191),""),IF(AND(DMAX(F$113:J$403,F$113,Q190:Q191)&gt;COUNTA(L$111:L190)-2,DCOUNTA(F$113:J$403,G$113,P190:Q191)=1),DGET(F$113:J$403,G$113,P190:Q191),"")),G191)</f>
        <v/>
      </c>
      <c r="M191" s="143"/>
      <c r="N191" s="221" t="str">
        <f>IF(N190=N$113,IF(COUNT(N$113:Q190)&lt;DMAX(F$113:J$403,F$113,O190:O191),COUNT(N$113:Q190)+1,""),IF(COUNT(N$113:Q190)&lt;DMAX(F$113:J$403,F$113,Q190:Q191),N$113,""))</f>
        <v/>
      </c>
      <c r="O191" s="222" t="str">
        <f>IF(O190=O$113,IF(COUNTA(L$111:L190)-2&lt;DMAX(F$113:J$403,F$113,Q189:Q190),Protokoll!I$1,""),IF(O190&lt;&gt;"",IF(COUNTA(L$111:L190)-1&lt;DMAX(F$113:J$403,F$113,O189:O190),O$113,""),""))</f>
        <v/>
      </c>
      <c r="P191" s="223" t="str">
        <f>IF(N190=N$113,IF(COUNT(N$113:Q190)&lt;DMAX(F$113:J$403,F$113,O190:O191),N$113,""),IF(COUNT(N$113:Q190)&lt;DMAX(F$113:J$403,F$113,Q190:Q191),COUNT(N$113:Q190)+1,""))</f>
        <v/>
      </c>
      <c r="Q191" s="199" t="str">
        <f>IF(O190=O$113,IF(COUNTA(L$111:L190)-2&lt;DMAX(F$113:J$403,F$113,Q189:Q190),O$113,""),IF(Q190&lt;&gt;"",IF(COUNTA(L$111:L190)-2&lt;DMAX(F$113:J$403,F$113,O189:O190),Protokoll!I$1,""),""))</f>
        <v/>
      </c>
      <c r="T191" s="331" t="str">
        <f>IF(OR(Protokoll!$X$5&lt;&gt;"",Lokalbeskrivn!$M$4&lt;&gt;""),"",U191)</f>
        <v/>
      </c>
      <c r="U191" s="330" t="s">
        <v>1274</v>
      </c>
      <c r="V191" s="351" t="s">
        <v>1273</v>
      </c>
      <c r="W191" s="2"/>
      <c r="Y191" s="401" t="s">
        <v>2426</v>
      </c>
      <c r="Z191" s="401" t="s">
        <v>2427</v>
      </c>
      <c r="AB191" s="472" t="str">
        <f>IF(COUNT(AB183:AB190)&gt;0,MAX(AB183:AB190)+1,"")</f>
        <v/>
      </c>
      <c r="AC191" s="433" t="str">
        <f>IF(AND(AH191&lt;&gt;"",AG191&lt;&gt;"",AI191&gt;0,AH191&gt;0),MAX(AC$2:AC190)+1,"XX")</f>
        <v>XX</v>
      </c>
      <c r="AD191" s="429" t="str">
        <f>IF('Antal &amp; Längder (vikter)'!$C$23&lt;&gt;"",'Antal &amp; Längder (vikter)'!$C$23,"XX")</f>
        <v>XX</v>
      </c>
      <c r="AE191" s="415" t="str">
        <f>IF(AND('Antal &amp; Längder (vikter)'!H$25&lt;&gt;"",ISNUMBER($AH191)),'Antal &amp; Längder (vikter)'!H$25,"")</f>
        <v/>
      </c>
      <c r="AF191" s="425" t="str">
        <f t="shared" si="6"/>
        <v/>
      </c>
      <c r="AG191" s="426" t="str">
        <f t="shared" si="7"/>
        <v/>
      </c>
      <c r="AH191" s="407" t="str">
        <f>IF('Antal &amp; Längder (vikter)'!H35&lt;&gt;"",'Antal &amp; Längder (vikter)'!H35,"XX")</f>
        <v>XX</v>
      </c>
      <c r="AI191" s="436">
        <f>IF('Antal &amp; Längder (vikter)'!I$26="Vikt (g)",'Antal &amp; Längder (vikter)'!I35,-9)</f>
        <v>-9</v>
      </c>
    </row>
    <row r="192" spans="5:48" x14ac:dyDescent="0.25">
      <c r="E192" s="2"/>
      <c r="F192" s="199">
        <f>COUNTIF(J$113:J192,J192)</f>
        <v>4</v>
      </c>
      <c r="G192" t="s">
        <v>210</v>
      </c>
      <c r="H192" s="330">
        <v>1863</v>
      </c>
      <c r="I192" s="330">
        <v>18</v>
      </c>
      <c r="J192" t="s">
        <v>133</v>
      </c>
      <c r="K192" s="143"/>
      <c r="L192" s="220" t="str">
        <f>IF(Protokoll!I$1&lt;&gt;"",IF(N191=N$113,IF(AND(DMAX(F$113:J$403,F$113,O191:O192)&gt;COUNTA(L$111:L191)-2,DCOUNTA(F$113:J$403,G$113,N191:O192)=1),DGET(F$113:J$403,G$113,N191:O192),""),IF(AND(DMAX(F$113:J$403,F$113,Q191:Q192)&gt;COUNTA(L$111:L191)-2,DCOUNTA(F$113:J$403,G$113,P191:Q192)=1),DGET(F$113:J$403,G$113,P191:Q192),"")),G192)</f>
        <v/>
      </c>
      <c r="M192" s="143"/>
      <c r="N192" s="221" t="str">
        <f>IF(N191=N$113,IF(COUNT(N$113:Q191)&lt;DMAX(F$113:J$403,F$113,O191:O192),COUNT(N$113:Q191)+1,""),IF(COUNT(N$113:Q191)&lt;DMAX(F$113:J$403,F$113,Q191:Q192),N$113,""))</f>
        <v/>
      </c>
      <c r="O192" s="222" t="str">
        <f>IF(O191=O$113,IF(COUNTA(L$111:L191)-2&lt;DMAX(F$113:J$403,F$113,Q190:Q191),Protokoll!I$1,""),IF(O191&lt;&gt;"",IF(COUNTA(L$111:L191)-1&lt;DMAX(F$113:J$403,F$113,O190:O191),O$113,""),""))</f>
        <v/>
      </c>
      <c r="P192" s="223" t="str">
        <f>IF(N191=N$113,IF(COUNT(N$113:Q191)&lt;DMAX(F$113:J$403,F$113,O191:O192),N$113,""),IF(COUNT(N$113:Q191)&lt;DMAX(F$113:J$403,F$113,Q191:Q192),COUNT(N$113:Q191)+1,""))</f>
        <v/>
      </c>
      <c r="Q192" s="199" t="str">
        <f>IF(O191=O$113,IF(COUNTA(L$111:L191)-2&lt;DMAX(F$113:J$403,F$113,Q190:Q191),O$113,""),IF(Q191&lt;&gt;"",IF(COUNTA(L$111:L191)-2&lt;DMAX(F$113:J$403,F$113,O190:O191),Protokoll!I$1,""),""))</f>
        <v/>
      </c>
      <c r="T192" s="331" t="str">
        <f>IF(OR(Protokoll!$X$5&lt;&gt;"",Lokalbeskrivn!$M$4&lt;&gt;""),"",U192)</f>
        <v/>
      </c>
      <c r="U192" s="330" t="s">
        <v>1276</v>
      </c>
      <c r="V192" s="351" t="s">
        <v>1275</v>
      </c>
      <c r="W192" s="2"/>
      <c r="Y192" s="401" t="s">
        <v>2161</v>
      </c>
      <c r="Z192" s="401" t="s">
        <v>2162</v>
      </c>
      <c r="AB192" s="479" t="str">
        <f>IF(COUNT(AB183:AB191)&gt;0,MAX(AB183:AB191)+1,"")</f>
        <v/>
      </c>
      <c r="AC192" s="433" t="str">
        <f>IF(AND(AH192&lt;&gt;"",AG192&lt;&gt;"",AI192&gt;0,AH192&gt;0),MAX(AC$2:AC191)+1,"XX")</f>
        <v>XX</v>
      </c>
      <c r="AD192" s="429" t="str">
        <f>IF('Antal &amp; Längder (vikter)'!$C$23&lt;&gt;"",'Antal &amp; Längder (vikter)'!$C$23,"XX")</f>
        <v>XX</v>
      </c>
      <c r="AE192" s="415" t="str">
        <f>IF(AND('Antal &amp; Längder (vikter)'!H$25&lt;&gt;"",ISNUMBER($AH192)),'Antal &amp; Längder (vikter)'!H$25,"")</f>
        <v/>
      </c>
      <c r="AF192" s="425" t="str">
        <f t="shared" si="6"/>
        <v/>
      </c>
      <c r="AG192" s="426" t="str">
        <f t="shared" si="7"/>
        <v/>
      </c>
      <c r="AH192" s="407" t="str">
        <f>IF('Antal &amp; Längder (vikter)'!H36&lt;&gt;"",'Antal &amp; Längder (vikter)'!H36,"XX")</f>
        <v>XX</v>
      </c>
      <c r="AI192" s="436">
        <f>IF('Antal &amp; Längder (vikter)'!I$26="Vikt (g)",'Antal &amp; Längder (vikter)'!I36,-9)</f>
        <v>-9</v>
      </c>
    </row>
    <row r="193" spans="5:35" x14ac:dyDescent="0.25">
      <c r="E193" s="2"/>
      <c r="F193" s="199">
        <f>COUNTIF(J$113:J193,J193)</f>
        <v>3</v>
      </c>
      <c r="G193" t="s">
        <v>211</v>
      </c>
      <c r="H193" s="330">
        <v>2361</v>
      </c>
      <c r="I193" s="330">
        <v>23</v>
      </c>
      <c r="J193" t="s">
        <v>123</v>
      </c>
      <c r="K193" s="143"/>
      <c r="L193" s="220" t="str">
        <f>IF(Protokoll!I$1&lt;&gt;"",IF(N192=N$113,IF(AND(DMAX(F$113:J$403,F$113,O192:O193)&gt;COUNTA(L$111:L192)-2,DCOUNTA(F$113:J$403,G$113,N192:O193)=1),DGET(F$113:J$403,G$113,N192:O193),""),IF(AND(DMAX(F$113:J$403,F$113,Q192:Q193)&gt;COUNTA(L$111:L192)-2,DCOUNTA(F$113:J$403,G$113,P192:Q193)=1),DGET(F$113:J$403,G$113,P192:Q193),"")),G193)</f>
        <v/>
      </c>
      <c r="M193" s="143"/>
      <c r="N193" s="221" t="str">
        <f>IF(N192=N$113,IF(COUNT(N$113:Q192)&lt;DMAX(F$113:J$403,F$113,O192:O193),COUNT(N$113:Q192)+1,""),IF(COUNT(N$113:Q192)&lt;DMAX(F$113:J$403,F$113,Q192:Q193),N$113,""))</f>
        <v/>
      </c>
      <c r="O193" s="222" t="str">
        <f>IF(O192=O$113,IF(COUNTA(L$111:L192)-2&lt;DMAX(F$113:J$403,F$113,Q191:Q192),Protokoll!I$1,""),IF(O192&lt;&gt;"",IF(COUNTA(L$111:L192)-1&lt;DMAX(F$113:J$403,F$113,O191:O192),O$113,""),""))</f>
        <v/>
      </c>
      <c r="P193" s="223" t="str">
        <f>IF(N192=N$113,IF(COUNT(N$113:Q192)&lt;DMAX(F$113:J$403,F$113,O192:O193),N$113,""),IF(COUNT(N$113:Q192)&lt;DMAX(F$113:J$403,F$113,Q192:Q193),COUNT(N$113:Q192)+1,""))</f>
        <v/>
      </c>
      <c r="Q193" s="199" t="str">
        <f>IF(O192=O$113,IF(COUNTA(L$111:L192)-2&lt;DMAX(F$113:J$403,F$113,Q191:Q192),O$113,""),IF(Q192&lt;&gt;"",IF(COUNTA(L$111:L192)-2&lt;DMAX(F$113:J$403,F$113,O191:O192),Protokoll!I$1,""),""))</f>
        <v/>
      </c>
      <c r="T193" s="331" t="str">
        <f>IF(OR(Protokoll!$X$5&lt;&gt;"",Lokalbeskrivn!$M$4&lt;&gt;""),"",U193)</f>
        <v/>
      </c>
      <c r="U193" s="330" t="s">
        <v>1278</v>
      </c>
      <c r="V193" s="351" t="s">
        <v>1277</v>
      </c>
      <c r="W193" s="2"/>
      <c r="Y193" s="401" t="s">
        <v>1940</v>
      </c>
      <c r="Z193" s="401" t="s">
        <v>1941</v>
      </c>
      <c r="AB193" s="480" t="str">
        <f>IF(AND(ISNUMBER(AH193),AH193&gt;0),IF(MAX(AB$3:AB192)&gt;0,MAX(AB$3:AB192)+1,10+COUNTIF(F$38:F$49,"&gt;0")*10+1),"")</f>
        <v/>
      </c>
      <c r="AC193" s="433" t="str">
        <f>IF(AND(AH193&lt;&gt;"",AG193&lt;&gt;"",AI193&gt;0,AH193&gt;0),MAX(AC$2:AC192)+1,"XX")</f>
        <v>XX</v>
      </c>
      <c r="AD193" s="429" t="str">
        <f>IF('Antal &amp; Längder (vikter)'!$C$23&lt;&gt;"",'Antal &amp; Längder (vikter)'!$C$23,"XX")</f>
        <v>XX</v>
      </c>
      <c r="AE193" s="415" t="str">
        <f>IF(AND('Antal &amp; Längder (vikter)'!H$25&lt;&gt;"",ISNUMBER($AH193)),'Antal &amp; Längder (vikter)'!H$25,"")</f>
        <v/>
      </c>
      <c r="AF193" s="425" t="str">
        <f t="shared" si="6"/>
        <v/>
      </c>
      <c r="AG193" s="426" t="str">
        <f t="shared" si="7"/>
        <v/>
      </c>
      <c r="AH193" s="409" t="str">
        <f>IF('Antal &amp; Längder (vikter)'!I$26="Längd (mm)",IF('Antal &amp; Längder (vikter)'!I27&lt;&gt;"",'Antal &amp; Längder (vikter)'!I27,"XX"),"XX")</f>
        <v>XX</v>
      </c>
      <c r="AI193" s="7">
        <v>-9</v>
      </c>
    </row>
    <row r="194" spans="5:35" x14ac:dyDescent="0.25">
      <c r="E194" s="2"/>
      <c r="F194" s="199">
        <f>COUNTIF(J$113:J194,J194)</f>
        <v>1</v>
      </c>
      <c r="G194" t="s">
        <v>212</v>
      </c>
      <c r="H194" s="330">
        <v>2280</v>
      </c>
      <c r="I194" s="330">
        <v>22</v>
      </c>
      <c r="J194" t="s">
        <v>145</v>
      </c>
      <c r="K194" s="143"/>
      <c r="L194" s="220" t="str">
        <f>IF(Protokoll!I$1&lt;&gt;"",IF(N193=N$113,IF(AND(DMAX(F$113:J$403,F$113,O193:O194)&gt;COUNTA(L$111:L193)-2,DCOUNTA(F$113:J$403,G$113,N193:O194)=1),DGET(F$113:J$403,G$113,N193:O194),""),IF(AND(DMAX(F$113:J$403,F$113,Q193:Q194)&gt;COUNTA(L$111:L193)-2,DCOUNTA(F$113:J$403,G$113,P193:Q194)=1),DGET(F$113:J$403,G$113,P193:Q194),"")),G194)</f>
        <v/>
      </c>
      <c r="M194" s="143"/>
      <c r="N194" s="221" t="str">
        <f>IF(N193=N$113,IF(COUNT(N$113:Q193)&lt;DMAX(F$113:J$403,F$113,O193:O194),COUNT(N$113:Q193)+1,""),IF(COUNT(N$113:Q193)&lt;DMAX(F$113:J$403,F$113,Q193:Q194),N$113,""))</f>
        <v/>
      </c>
      <c r="O194" s="222" t="str">
        <f>IF(O193=O$113,IF(COUNTA(L$111:L193)-2&lt;DMAX(F$113:J$403,F$113,Q192:Q193),Protokoll!I$1,""),IF(O193&lt;&gt;"",IF(COUNTA(L$111:L193)-1&lt;DMAX(F$113:J$403,F$113,O192:O193),O$113,""),""))</f>
        <v/>
      </c>
      <c r="P194" s="223" t="str">
        <f>IF(N193=N$113,IF(COUNT(N$113:Q193)&lt;DMAX(F$113:J$403,F$113,O193:O194),N$113,""),IF(COUNT(N$113:Q193)&lt;DMAX(F$113:J$403,F$113,Q193:Q194),COUNT(N$113:Q193)+1,""))</f>
        <v/>
      </c>
      <c r="Q194" s="199" t="str">
        <f>IF(O193=O$113,IF(COUNTA(L$111:L193)-2&lt;DMAX(F$113:J$403,F$113,Q192:Q193),O$113,""),IF(Q193&lt;&gt;"",IF(COUNTA(L$111:L193)-2&lt;DMAX(F$113:J$403,F$113,O192:O193),Protokoll!I$1,""),""))</f>
        <v/>
      </c>
      <c r="T194" s="331" t="str">
        <f>IF(OR(Protokoll!$X$5&lt;&gt;"",Lokalbeskrivn!$M$4&lt;&gt;""),"",U194)</f>
        <v/>
      </c>
      <c r="U194" s="330" t="s">
        <v>1280</v>
      </c>
      <c r="V194" s="351" t="s">
        <v>1279</v>
      </c>
      <c r="W194" s="2"/>
      <c r="Y194" s="401" t="s">
        <v>1964</v>
      </c>
      <c r="Z194" s="401" t="s">
        <v>1965</v>
      </c>
      <c r="AB194" s="476" t="str">
        <f>IF(COUNT(AB193:AB193)&gt;0,MAX(AB193:AB193)+1,"")</f>
        <v/>
      </c>
      <c r="AC194" s="433" t="str">
        <f>IF(AND(AH194&lt;&gt;"",AG194&lt;&gt;"",AI194&gt;0,AH194&gt;0),MAX(AC$2:AC193)+1,"XX")</f>
        <v>XX</v>
      </c>
      <c r="AD194" s="429" t="str">
        <f>IF('Antal &amp; Längder (vikter)'!$C$23&lt;&gt;"",'Antal &amp; Längder (vikter)'!$C$23,"XX")</f>
        <v>XX</v>
      </c>
      <c r="AE194" s="415" t="str">
        <f>IF(AND('Antal &amp; Längder (vikter)'!H$25&lt;&gt;"",ISNUMBER($AH194)),'Antal &amp; Längder (vikter)'!H$25,"")</f>
        <v/>
      </c>
      <c r="AF194" s="425" t="str">
        <f t="shared" si="6"/>
        <v/>
      </c>
      <c r="AG194" s="426" t="str">
        <f t="shared" si="7"/>
        <v/>
      </c>
      <c r="AH194" s="409" t="str">
        <f>IF('Antal &amp; Längder (vikter)'!I$26="Längd (mm)",IF('Antal &amp; Längder (vikter)'!I28&lt;&gt;"",'Antal &amp; Längder (vikter)'!I28,"XX"),"XX")</f>
        <v>XX</v>
      </c>
      <c r="AI194" s="7">
        <v>-9</v>
      </c>
    </row>
    <row r="195" spans="5:35" x14ac:dyDescent="0.25">
      <c r="E195" s="2"/>
      <c r="F195" s="199">
        <f>COUNTIF(J$113:J195,J195)</f>
        <v>16</v>
      </c>
      <c r="G195" t="s">
        <v>213</v>
      </c>
      <c r="H195" s="330">
        <v>1401</v>
      </c>
      <c r="I195" s="330">
        <v>14</v>
      </c>
      <c r="J195" t="s">
        <v>114</v>
      </c>
      <c r="K195" s="143"/>
      <c r="L195" s="220" t="str">
        <f>IF(Protokoll!I$1&lt;&gt;"",IF(N194=N$113,IF(AND(DMAX(F$113:J$403,F$113,O194:O195)&gt;COUNTA(L$111:L194)-2,DCOUNTA(F$113:J$403,G$113,N194:O195)=1),DGET(F$113:J$403,G$113,N194:O195),""),IF(AND(DMAX(F$113:J$403,F$113,Q194:Q195)&gt;COUNTA(L$111:L194)-2,DCOUNTA(F$113:J$403,G$113,P194:Q195)=1),DGET(F$113:J$403,G$113,P194:Q195),"")),G195)</f>
        <v/>
      </c>
      <c r="M195" s="143"/>
      <c r="N195" s="221" t="str">
        <f>IF(N194=N$113,IF(COUNT(N$113:Q194)&lt;DMAX(F$113:J$403,F$113,O194:O195),COUNT(N$113:Q194)+1,""),IF(COUNT(N$113:Q194)&lt;DMAX(F$113:J$403,F$113,Q194:Q195),N$113,""))</f>
        <v/>
      </c>
      <c r="O195" s="222" t="str">
        <f>IF(O194=O$113,IF(COUNTA(L$111:L194)-2&lt;DMAX(F$113:J$403,F$113,Q193:Q194),Protokoll!I$1,""),IF(O194&lt;&gt;"",IF(COUNTA(L$111:L194)-1&lt;DMAX(F$113:J$403,F$113,O193:O194),O$113,""),""))</f>
        <v/>
      </c>
      <c r="P195" s="223" t="str">
        <f>IF(N194=N$113,IF(COUNT(N$113:Q194)&lt;DMAX(F$113:J$403,F$113,O194:O195),N$113,""),IF(COUNT(N$113:Q194)&lt;DMAX(F$113:J$403,F$113,Q194:Q195),COUNT(N$113:Q194)+1,""))</f>
        <v/>
      </c>
      <c r="Q195" s="199" t="str">
        <f>IF(O194=O$113,IF(COUNTA(L$111:L194)-2&lt;DMAX(F$113:J$403,F$113,Q193:Q194),O$113,""),IF(Q194&lt;&gt;"",IF(COUNTA(L$111:L194)-2&lt;DMAX(F$113:J$403,F$113,O193:O194),Protokoll!I$1,""),""))</f>
        <v/>
      </c>
      <c r="T195" s="331" t="str">
        <f>IF(OR(Protokoll!$X$5&lt;&gt;"",Lokalbeskrivn!$M$4&lt;&gt;""),"",U195)</f>
        <v/>
      </c>
      <c r="U195" s="330" t="s">
        <v>1282</v>
      </c>
      <c r="V195" s="351" t="s">
        <v>1281</v>
      </c>
      <c r="W195" s="2"/>
      <c r="Y195" s="401" t="s">
        <v>1524</v>
      </c>
      <c r="Z195" s="401" t="s">
        <v>1788</v>
      </c>
      <c r="AB195" s="477" t="str">
        <f>IF(COUNT(AB193:AB194)&gt;0,MAX(AB193:AB194)+1,"")</f>
        <v/>
      </c>
      <c r="AC195" s="433" t="str">
        <f>IF(AND(AH195&lt;&gt;"",AG195&lt;&gt;"",AI195&gt;0,AH195&gt;0),MAX(AC$2:AC194)+1,"XX")</f>
        <v>XX</v>
      </c>
      <c r="AD195" s="429" t="str">
        <f>IF('Antal &amp; Längder (vikter)'!$C$23&lt;&gt;"",'Antal &amp; Längder (vikter)'!$C$23,"XX")</f>
        <v>XX</v>
      </c>
      <c r="AE195" s="415" t="str">
        <f>IF(AND('Antal &amp; Längder (vikter)'!H$25&lt;&gt;"",ISNUMBER($AH195)),'Antal &amp; Längder (vikter)'!H$25,"")</f>
        <v/>
      </c>
      <c r="AF195" s="425" t="str">
        <f t="shared" ref="AF195:AF258" si="8">IF(AND(ISNUMBER(AH195),AE195&lt;&gt;""),VLOOKUP(AE195,$N$2:$O$60,2,FALSE),"")</f>
        <v/>
      </c>
      <c r="AG195" s="426" t="str">
        <f t="shared" ref="AG195:AG258" si="9">IF(AF195&lt;&gt;"",VLOOKUP(AF195,O$2:U$60,7,FALSE),"")</f>
        <v/>
      </c>
      <c r="AH195" s="409" t="str">
        <f>IF('Antal &amp; Längder (vikter)'!I$26="Längd (mm)",IF('Antal &amp; Längder (vikter)'!I29&lt;&gt;"",'Antal &amp; Längder (vikter)'!I29,"XX"),"XX")</f>
        <v>XX</v>
      </c>
      <c r="AI195" s="7">
        <v>-9</v>
      </c>
    </row>
    <row r="196" spans="5:35" x14ac:dyDescent="0.25">
      <c r="E196" s="2"/>
      <c r="F196" s="199">
        <f>COUNTIF(J$113:J196,J196)</f>
        <v>7</v>
      </c>
      <c r="G196" t="s">
        <v>214</v>
      </c>
      <c r="H196" s="330">
        <v>1293</v>
      </c>
      <c r="I196" s="330">
        <v>12</v>
      </c>
      <c r="J196" t="s">
        <v>134</v>
      </c>
      <c r="K196" s="143"/>
      <c r="L196" s="220" t="str">
        <f>IF(Protokoll!I$1&lt;&gt;"",IF(N195=N$113,IF(AND(DMAX(F$113:J$403,F$113,O195:O196)&gt;COUNTA(L$111:L195)-2,DCOUNTA(F$113:J$403,G$113,N195:O196)=1),DGET(F$113:J$403,G$113,N195:O196),""),IF(AND(DMAX(F$113:J$403,F$113,Q195:Q196)&gt;COUNTA(L$111:L195)-2,DCOUNTA(F$113:J$403,G$113,P195:Q196)=1),DGET(F$113:J$403,G$113,P195:Q196),"")),G196)</f>
        <v/>
      </c>
      <c r="M196" s="143"/>
      <c r="N196" s="221" t="str">
        <f>IF(N195=N$113,IF(COUNT(N$113:Q195)&lt;DMAX(F$113:J$403,F$113,O195:O196),COUNT(N$113:Q195)+1,""),IF(COUNT(N$113:Q195)&lt;DMAX(F$113:J$403,F$113,Q195:Q196),N$113,""))</f>
        <v/>
      </c>
      <c r="O196" s="222" t="str">
        <f>IF(O195=O$113,IF(COUNTA(L$111:L195)-2&lt;DMAX(F$113:J$403,F$113,Q194:Q195),Protokoll!I$1,""),IF(O195&lt;&gt;"",IF(COUNTA(L$111:L195)-1&lt;DMAX(F$113:J$403,F$113,O194:O195),O$113,""),""))</f>
        <v/>
      </c>
      <c r="P196" s="223" t="str">
        <f>IF(N195=N$113,IF(COUNT(N$113:Q195)&lt;DMAX(F$113:J$403,F$113,O195:O196),N$113,""),IF(COUNT(N$113:Q195)&lt;DMAX(F$113:J$403,F$113,Q195:Q196),COUNT(N$113:Q195)+1,""))</f>
        <v/>
      </c>
      <c r="Q196" s="199" t="str">
        <f>IF(O195=O$113,IF(COUNTA(L$111:L195)-2&lt;DMAX(F$113:J$403,F$113,Q194:Q195),O$113,""),IF(Q195&lt;&gt;"",IF(COUNTA(L$111:L195)-2&lt;DMAX(F$113:J$403,F$113,O194:O195),Protokoll!I$1,""),""))</f>
        <v/>
      </c>
      <c r="T196" s="331" t="str">
        <f>IF(OR(Protokoll!$X$5&lt;&gt;"",Lokalbeskrivn!$M$4&lt;&gt;""),"",U196)</f>
        <v/>
      </c>
      <c r="U196" s="330" t="s">
        <v>1284</v>
      </c>
      <c r="V196" s="351" t="s">
        <v>1283</v>
      </c>
      <c r="W196" s="2"/>
      <c r="Y196" s="401" t="s">
        <v>1805</v>
      </c>
      <c r="Z196" s="401" t="s">
        <v>1806</v>
      </c>
      <c r="AB196" s="434" t="str">
        <f>IF(COUNT(AB193:AB195)&gt;0,MAX(AB193:AB195)+1,"")</f>
        <v/>
      </c>
      <c r="AC196" s="433" t="str">
        <f>IF(AND(AH196&lt;&gt;"",AG196&lt;&gt;"",AI196&gt;0,AH196&gt;0),MAX(AC$2:AC195)+1,"XX")</f>
        <v>XX</v>
      </c>
      <c r="AD196" s="429" t="str">
        <f>IF('Antal &amp; Längder (vikter)'!$C$23&lt;&gt;"",'Antal &amp; Längder (vikter)'!$C$23,"XX")</f>
        <v>XX</v>
      </c>
      <c r="AE196" s="415" t="str">
        <f>IF(AND('Antal &amp; Längder (vikter)'!H$25&lt;&gt;"",ISNUMBER($AH196)),'Antal &amp; Längder (vikter)'!H$25,"")</f>
        <v/>
      </c>
      <c r="AF196" s="425" t="str">
        <f t="shared" si="8"/>
        <v/>
      </c>
      <c r="AG196" s="426" t="str">
        <f t="shared" si="9"/>
        <v/>
      </c>
      <c r="AH196" s="409" t="str">
        <f>IF('Antal &amp; Längder (vikter)'!I$26="Längd (mm)",IF('Antal &amp; Längder (vikter)'!I30&lt;&gt;"",'Antal &amp; Längder (vikter)'!I30,"XX"),"XX")</f>
        <v>XX</v>
      </c>
      <c r="AI196" s="7">
        <v>-9</v>
      </c>
    </row>
    <row r="197" spans="5:35" x14ac:dyDescent="0.25">
      <c r="E197" s="2"/>
      <c r="F197" s="199">
        <f>COUNTIF(J$113:J197,J197)</f>
        <v>8</v>
      </c>
      <c r="G197" t="s">
        <v>215</v>
      </c>
      <c r="H197" s="330">
        <v>1284</v>
      </c>
      <c r="I197" s="330">
        <v>12</v>
      </c>
      <c r="J197" t="s">
        <v>134</v>
      </c>
      <c r="K197" s="143"/>
      <c r="L197" s="220" t="str">
        <f>IF(Protokoll!I$1&lt;&gt;"",IF(N196=N$113,IF(AND(DMAX(F$113:J$403,F$113,O196:O197)&gt;COUNTA(L$111:L196)-2,DCOUNTA(F$113:J$403,G$113,N196:O197)=1),DGET(F$113:J$403,G$113,N196:O197),""),IF(AND(DMAX(F$113:J$403,F$113,Q196:Q197)&gt;COUNTA(L$111:L196)-2,DCOUNTA(F$113:J$403,G$113,P196:Q197)=1),DGET(F$113:J$403,G$113,P196:Q197),"")),G197)</f>
        <v/>
      </c>
      <c r="M197" s="143"/>
      <c r="N197" s="221" t="str">
        <f>IF(N196=N$113,IF(COUNT(N$113:Q196)&lt;DMAX(F$113:J$403,F$113,O196:O197),COUNT(N$113:Q196)+1,""),IF(COUNT(N$113:Q196)&lt;DMAX(F$113:J$403,F$113,Q196:Q197),N$113,""))</f>
        <v/>
      </c>
      <c r="O197" s="222" t="str">
        <f>IF(O196=O$113,IF(COUNTA(L$111:L196)-2&lt;DMAX(F$113:J$403,F$113,Q195:Q196),Protokoll!I$1,""),IF(O196&lt;&gt;"",IF(COUNTA(L$111:L196)-1&lt;DMAX(F$113:J$403,F$113,O195:O196),O$113,""),""))</f>
        <v/>
      </c>
      <c r="P197" s="223" t="str">
        <f>IF(N196=N$113,IF(COUNT(N$113:Q196)&lt;DMAX(F$113:J$403,F$113,O196:O197),N$113,""),IF(COUNT(N$113:Q196)&lt;DMAX(F$113:J$403,F$113,Q196:Q197),COUNT(N$113:Q196)+1,""))</f>
        <v/>
      </c>
      <c r="Q197" s="199" t="str">
        <f>IF(O196=O$113,IF(COUNTA(L$111:L196)-2&lt;DMAX(F$113:J$403,F$113,Q195:Q196),O$113,""),IF(Q196&lt;&gt;"",IF(COUNTA(L$111:L196)-2&lt;DMAX(F$113:J$403,F$113,O195:O196),Protokoll!I$1,""),""))</f>
        <v/>
      </c>
      <c r="T197" s="331" t="str">
        <f>IF(OR(Protokoll!$X$5&lt;&gt;"",Lokalbeskrivn!$M$4&lt;&gt;""),"",U197)</f>
        <v/>
      </c>
      <c r="U197" s="330" t="s">
        <v>1286</v>
      </c>
      <c r="V197" s="351" t="s">
        <v>1285</v>
      </c>
      <c r="W197" s="2"/>
      <c r="Y197" s="401" t="s">
        <v>1825</v>
      </c>
      <c r="Z197" s="401" t="s">
        <v>1826</v>
      </c>
      <c r="AB197" s="475" t="str">
        <f>IF(COUNT(AB193:AB196)&gt;0,MAX(AB193:AB196)+1,"")</f>
        <v/>
      </c>
      <c r="AC197" s="433" t="str">
        <f>IF(AND(AH197&lt;&gt;"",AG197&lt;&gt;"",AI197&gt;0,AH197&gt;0),MAX(AC$2:AC196)+1,"XX")</f>
        <v>XX</v>
      </c>
      <c r="AD197" s="429" t="str">
        <f>IF('Antal &amp; Längder (vikter)'!$C$23&lt;&gt;"",'Antal &amp; Längder (vikter)'!$C$23,"XX")</f>
        <v>XX</v>
      </c>
      <c r="AE197" s="415" t="str">
        <f>IF(AND('Antal &amp; Längder (vikter)'!H$25&lt;&gt;"",ISNUMBER($AH197)),'Antal &amp; Längder (vikter)'!H$25,"")</f>
        <v/>
      </c>
      <c r="AF197" s="425" t="str">
        <f t="shared" si="8"/>
        <v/>
      </c>
      <c r="AG197" s="426" t="str">
        <f t="shared" si="9"/>
        <v/>
      </c>
      <c r="AH197" s="409" t="str">
        <f>IF('Antal &amp; Längder (vikter)'!I$26="Längd (mm)",IF('Antal &amp; Längder (vikter)'!I31&lt;&gt;"",'Antal &amp; Längder (vikter)'!I31,"XX"),"XX")</f>
        <v>XX</v>
      </c>
      <c r="AI197" s="7">
        <v>-9</v>
      </c>
    </row>
    <row r="198" spans="5:35" x14ac:dyDescent="0.25">
      <c r="E198" s="2"/>
      <c r="F198" s="199">
        <f>COUNTIF(J$113:J198,J198)</f>
        <v>4</v>
      </c>
      <c r="G198" t="s">
        <v>216</v>
      </c>
      <c r="H198" s="330">
        <v>821</v>
      </c>
      <c r="I198" s="330">
        <v>8</v>
      </c>
      <c r="J198" t="s">
        <v>128</v>
      </c>
      <c r="K198" s="143"/>
      <c r="L198" s="220" t="str">
        <f>IF(Protokoll!I$1&lt;&gt;"",IF(N197=N$113,IF(AND(DMAX(F$113:J$403,F$113,O197:O198)&gt;COUNTA(L$111:L197)-2,DCOUNTA(F$113:J$403,G$113,N197:O198)=1),DGET(F$113:J$403,G$113,N197:O198),""),IF(AND(DMAX(F$113:J$403,F$113,Q197:Q198)&gt;COUNTA(L$111:L197)-2,DCOUNTA(F$113:J$403,G$113,P197:Q198)=1),DGET(F$113:J$403,G$113,P197:Q198),"")),G198)</f>
        <v/>
      </c>
      <c r="M198" s="143"/>
      <c r="N198" s="221" t="str">
        <f>IF(N197=N$113,IF(COUNT(N$113:Q197)&lt;DMAX(F$113:J$403,F$113,O197:O198),COUNT(N$113:Q197)+1,""),IF(COUNT(N$113:Q197)&lt;DMAX(F$113:J$403,F$113,Q197:Q198),N$113,""))</f>
        <v/>
      </c>
      <c r="O198" s="222" t="str">
        <f>IF(O197=O$113,IF(COUNTA(L$111:L197)-2&lt;DMAX(F$113:J$403,F$113,Q196:Q197),Protokoll!I$1,""),IF(O197&lt;&gt;"",IF(COUNTA(L$111:L197)-1&lt;DMAX(F$113:J$403,F$113,O196:O197),O$113,""),""))</f>
        <v/>
      </c>
      <c r="P198" s="223" t="str">
        <f>IF(N197=N$113,IF(COUNT(N$113:Q197)&lt;DMAX(F$113:J$403,F$113,O197:O198),N$113,""),IF(COUNT(N$113:Q197)&lt;DMAX(F$113:J$403,F$113,Q197:Q198),COUNT(N$113:Q197)+1,""))</f>
        <v/>
      </c>
      <c r="Q198" s="199" t="str">
        <f>IF(O197=O$113,IF(COUNTA(L$111:L197)-2&lt;DMAX(F$113:J$403,F$113,Q196:Q197),O$113,""),IF(Q197&lt;&gt;"",IF(COUNTA(L$111:L197)-2&lt;DMAX(F$113:J$403,F$113,O196:O197),Protokoll!I$1,""),""))</f>
        <v/>
      </c>
      <c r="T198" s="331" t="str">
        <f>IF(OR(Protokoll!$X$5&lt;&gt;"",Lokalbeskrivn!$M$4&lt;&gt;""),"",U198)</f>
        <v/>
      </c>
      <c r="U198" s="330" t="s">
        <v>1288</v>
      </c>
      <c r="V198" s="351" t="s">
        <v>1287</v>
      </c>
      <c r="W198" s="2"/>
      <c r="Y198" s="401" t="s">
        <v>1803</v>
      </c>
      <c r="Z198" s="401" t="s">
        <v>1804</v>
      </c>
      <c r="AB198" s="471" t="str">
        <f>IF(COUNT(AB193:AB197)&gt;0,MAX(AB193:AB197)+1,"")</f>
        <v/>
      </c>
      <c r="AC198" s="433" t="str">
        <f>IF(AND(AH198&lt;&gt;"",AG198&lt;&gt;"",AI198&gt;0,AH198&gt;0),MAX(AC$2:AC197)+1,"XX")</f>
        <v>XX</v>
      </c>
      <c r="AD198" s="429" t="str">
        <f>IF('Antal &amp; Längder (vikter)'!$C$23&lt;&gt;"",'Antal &amp; Längder (vikter)'!$C$23,"XX")</f>
        <v>XX</v>
      </c>
      <c r="AE198" s="415" t="str">
        <f>IF(AND('Antal &amp; Längder (vikter)'!H$25&lt;&gt;"",ISNUMBER($AH198)),'Antal &amp; Längder (vikter)'!H$25,"")</f>
        <v/>
      </c>
      <c r="AF198" s="425" t="str">
        <f t="shared" si="8"/>
        <v/>
      </c>
      <c r="AG198" s="426" t="str">
        <f t="shared" si="9"/>
        <v/>
      </c>
      <c r="AH198" s="409" t="str">
        <f>IF('Antal &amp; Längder (vikter)'!I$26="Längd (mm)",IF('Antal &amp; Längder (vikter)'!I32&lt;&gt;"",'Antal &amp; Längder (vikter)'!I32,"XX"),"XX")</f>
        <v>XX</v>
      </c>
      <c r="AI198" s="7">
        <v>-9</v>
      </c>
    </row>
    <row r="199" spans="5:35" x14ac:dyDescent="0.25">
      <c r="E199" s="2"/>
      <c r="F199" s="199">
        <f>COUNTIF(J$113:J199,J199)</f>
        <v>9</v>
      </c>
      <c r="G199" t="s">
        <v>217</v>
      </c>
      <c r="H199" s="330">
        <v>1266</v>
      </c>
      <c r="I199" s="330">
        <v>12</v>
      </c>
      <c r="J199" t="s">
        <v>134</v>
      </c>
      <c r="K199" s="143"/>
      <c r="L199" s="220" t="str">
        <f>IF(Protokoll!I$1&lt;&gt;"",IF(N198=N$113,IF(AND(DMAX(F$113:J$403,F$113,O198:O199)&gt;COUNTA(L$111:L198)-2,DCOUNTA(F$113:J$403,G$113,N198:O199)=1),DGET(F$113:J$403,G$113,N198:O199),""),IF(AND(DMAX(F$113:J$403,F$113,Q198:Q199)&gt;COUNTA(L$111:L198)-2,DCOUNTA(F$113:J$403,G$113,P198:Q199)=1),DGET(F$113:J$403,G$113,P198:Q199),"")),G199)</f>
        <v/>
      </c>
      <c r="M199" s="143"/>
      <c r="N199" s="221" t="str">
        <f>IF(N198=N$113,IF(COUNT(N$113:Q198)&lt;DMAX(F$113:J$403,F$113,O198:O199),COUNT(N$113:Q198)+1,""),IF(COUNT(N$113:Q198)&lt;DMAX(F$113:J$403,F$113,Q198:Q199),N$113,""))</f>
        <v/>
      </c>
      <c r="O199" s="222" t="str">
        <f>IF(O198=O$113,IF(COUNTA(L$111:L198)-2&lt;DMAX(F$113:J$403,F$113,Q197:Q198),Protokoll!I$1,""),IF(O198&lt;&gt;"",IF(COUNTA(L$111:L198)-1&lt;DMAX(F$113:J$403,F$113,O197:O198),O$113,""),""))</f>
        <v/>
      </c>
      <c r="P199" s="223" t="str">
        <f>IF(N198=N$113,IF(COUNT(N$113:Q198)&lt;DMAX(F$113:J$403,F$113,O198:O199),N$113,""),IF(COUNT(N$113:Q198)&lt;DMAX(F$113:J$403,F$113,Q198:Q199),COUNT(N$113:Q198)+1,""))</f>
        <v/>
      </c>
      <c r="Q199" s="199" t="str">
        <f>IF(O198=O$113,IF(COUNTA(L$111:L198)-2&lt;DMAX(F$113:J$403,F$113,Q197:Q198),O$113,""),IF(Q198&lt;&gt;"",IF(COUNTA(L$111:L198)-2&lt;DMAX(F$113:J$403,F$113,O197:O198),Protokoll!I$1,""),""))</f>
        <v/>
      </c>
      <c r="T199" s="331" t="str">
        <f>IF(OR(Protokoll!$X$5&lt;&gt;"",Lokalbeskrivn!$M$4&lt;&gt;""),"",U199)</f>
        <v/>
      </c>
      <c r="U199" s="330" t="s">
        <v>1290</v>
      </c>
      <c r="V199" s="351" t="s">
        <v>1289</v>
      </c>
      <c r="W199" s="2"/>
      <c r="Y199" s="401" t="s">
        <v>1827</v>
      </c>
      <c r="Z199" s="401" t="s">
        <v>1828</v>
      </c>
      <c r="AB199" s="474" t="str">
        <f>IF(COUNT(AB193:AB198)&gt;0,MAX(AB193:AB198)+1,"")</f>
        <v/>
      </c>
      <c r="AC199" s="433" t="str">
        <f>IF(AND(AH199&lt;&gt;"",AG199&lt;&gt;"",AI199&gt;0,AH199&gt;0),MAX(AC$2:AC198)+1,"XX")</f>
        <v>XX</v>
      </c>
      <c r="AD199" s="429" t="str">
        <f>IF('Antal &amp; Längder (vikter)'!$C$23&lt;&gt;"",'Antal &amp; Längder (vikter)'!$C$23,"XX")</f>
        <v>XX</v>
      </c>
      <c r="AE199" s="415" t="str">
        <f>IF(AND('Antal &amp; Längder (vikter)'!H$25&lt;&gt;"",ISNUMBER($AH199)),'Antal &amp; Längder (vikter)'!H$25,"")</f>
        <v/>
      </c>
      <c r="AF199" s="425" t="str">
        <f t="shared" si="8"/>
        <v/>
      </c>
      <c r="AG199" s="426" t="str">
        <f t="shared" si="9"/>
        <v/>
      </c>
      <c r="AH199" s="409" t="str">
        <f>IF('Antal &amp; Längder (vikter)'!I$26="Längd (mm)",IF('Antal &amp; Längder (vikter)'!I33&lt;&gt;"",'Antal &amp; Längder (vikter)'!I33,"XX"),"XX")</f>
        <v>XX</v>
      </c>
      <c r="AI199" s="7">
        <v>-9</v>
      </c>
    </row>
    <row r="200" spans="5:35" x14ac:dyDescent="0.25">
      <c r="E200" s="2"/>
      <c r="F200" s="199">
        <f>COUNTIF(J$113:J200,J200)</f>
        <v>10</v>
      </c>
      <c r="G200" t="s">
        <v>218</v>
      </c>
      <c r="H200" s="330">
        <v>1267</v>
      </c>
      <c r="I200" s="330">
        <v>12</v>
      </c>
      <c r="J200" t="s">
        <v>134</v>
      </c>
      <c r="K200" s="143"/>
      <c r="L200" s="220" t="str">
        <f>IF(Protokoll!I$1&lt;&gt;"",IF(N199=N$113,IF(AND(DMAX(F$113:J$403,F$113,O199:O200)&gt;COUNTA(L$111:L199)-2,DCOUNTA(F$113:J$403,G$113,N199:O200)=1),DGET(F$113:J$403,G$113,N199:O200),""),IF(AND(DMAX(F$113:J$403,F$113,Q199:Q200)&gt;COUNTA(L$111:L199)-2,DCOUNTA(F$113:J$403,G$113,P199:Q200)=1),DGET(F$113:J$403,G$113,P199:Q200),"")),G200)</f>
        <v/>
      </c>
      <c r="M200" s="143"/>
      <c r="N200" s="221" t="str">
        <f>IF(N199=N$113,IF(COUNT(N$113:Q199)&lt;DMAX(F$113:J$403,F$113,O199:O200),COUNT(N$113:Q199)+1,""),IF(COUNT(N$113:Q199)&lt;DMAX(F$113:J$403,F$113,Q199:Q200),N$113,""))</f>
        <v/>
      </c>
      <c r="O200" s="222" t="str">
        <f>IF(O199=O$113,IF(COUNTA(L$111:L199)-2&lt;DMAX(F$113:J$403,F$113,Q198:Q199),Protokoll!I$1,""),IF(O199&lt;&gt;"",IF(COUNTA(L$111:L199)-1&lt;DMAX(F$113:J$403,F$113,O198:O199),O$113,""),""))</f>
        <v/>
      </c>
      <c r="P200" s="223" t="str">
        <f>IF(N199=N$113,IF(COUNT(N$113:Q199)&lt;DMAX(F$113:J$403,F$113,O199:O200),N$113,""),IF(COUNT(N$113:Q199)&lt;DMAX(F$113:J$403,F$113,Q199:Q200),COUNT(N$113:Q199)+1,""))</f>
        <v/>
      </c>
      <c r="Q200" s="199" t="str">
        <f>IF(O199=O$113,IF(COUNTA(L$111:L199)-2&lt;DMAX(F$113:J$403,F$113,Q198:Q199),O$113,""),IF(Q199&lt;&gt;"",IF(COUNTA(L$111:L199)-2&lt;DMAX(F$113:J$403,F$113,O198:O199),Protokoll!I$1,""),""))</f>
        <v/>
      </c>
      <c r="T200" s="331" t="str">
        <f>IF(OR(Protokoll!$X$5&lt;&gt;"",Lokalbeskrivn!$M$4&lt;&gt;""),"",U200)</f>
        <v/>
      </c>
      <c r="U200" s="330" t="s">
        <v>1292</v>
      </c>
      <c r="V200" s="351" t="s">
        <v>1291</v>
      </c>
      <c r="W200" s="2"/>
      <c r="Y200" s="401" t="s">
        <v>1811</v>
      </c>
      <c r="Z200" s="401" t="s">
        <v>1812</v>
      </c>
      <c r="AB200" s="478" t="str">
        <f>IF(COUNT(AB193:AB199)&gt;0,MAX(AB193:AB199)+1,"")</f>
        <v/>
      </c>
      <c r="AC200" s="433" t="str">
        <f>IF(AND(AH200&lt;&gt;"",AG200&lt;&gt;"",AI200&gt;0,AH200&gt;0),MAX(AC$2:AC199)+1,"XX")</f>
        <v>XX</v>
      </c>
      <c r="AD200" s="429" t="str">
        <f>IF('Antal &amp; Längder (vikter)'!$C$23&lt;&gt;"",'Antal &amp; Längder (vikter)'!$C$23,"XX")</f>
        <v>XX</v>
      </c>
      <c r="AE200" s="415" t="str">
        <f>IF(AND('Antal &amp; Längder (vikter)'!H$25&lt;&gt;"",ISNUMBER($AH200)),'Antal &amp; Längder (vikter)'!H$25,"")</f>
        <v/>
      </c>
      <c r="AF200" s="425" t="str">
        <f t="shared" si="8"/>
        <v/>
      </c>
      <c r="AG200" s="426" t="str">
        <f t="shared" si="9"/>
        <v/>
      </c>
      <c r="AH200" s="409" t="str">
        <f>IF('Antal &amp; Längder (vikter)'!I$26="Längd (mm)",IF('Antal &amp; Längder (vikter)'!I34&lt;&gt;"",'Antal &amp; Längder (vikter)'!I34,"XX"),"XX")</f>
        <v>XX</v>
      </c>
      <c r="AI200" s="7">
        <v>-9</v>
      </c>
    </row>
    <row r="201" spans="5:35" x14ac:dyDescent="0.25">
      <c r="E201" s="2"/>
      <c r="F201" s="199">
        <f>COUNTIF(J$113:J201,J201)</f>
        <v>6</v>
      </c>
      <c r="G201" t="s">
        <v>219</v>
      </c>
      <c r="H201" s="330">
        <v>2510</v>
      </c>
      <c r="I201" s="330">
        <v>25</v>
      </c>
      <c r="J201" t="s">
        <v>127</v>
      </c>
      <c r="K201" s="143"/>
      <c r="L201" s="220" t="str">
        <f>IF(Protokoll!I$1&lt;&gt;"",IF(N200=N$113,IF(AND(DMAX(F$113:J$403,F$113,O200:O201)&gt;COUNTA(L$111:L200)-2,DCOUNTA(F$113:J$403,G$113,N200:O201)=1),DGET(F$113:J$403,G$113,N200:O201),""),IF(AND(DMAX(F$113:J$403,F$113,Q200:Q201)&gt;COUNTA(L$111:L200)-2,DCOUNTA(F$113:J$403,G$113,P200:Q201)=1),DGET(F$113:J$403,G$113,P200:Q201),"")),G201)</f>
        <v/>
      </c>
      <c r="M201" s="143"/>
      <c r="N201" s="221" t="str">
        <f>IF(N200=N$113,IF(COUNT(N$113:Q200)&lt;DMAX(F$113:J$403,F$113,O200:O201),COUNT(N$113:Q200)+1,""),IF(COUNT(N$113:Q200)&lt;DMAX(F$113:J$403,F$113,Q200:Q201),N$113,""))</f>
        <v/>
      </c>
      <c r="O201" s="222" t="str">
        <f>IF(O200=O$113,IF(COUNTA(L$111:L200)-2&lt;DMAX(F$113:J$403,F$113,Q199:Q200),Protokoll!I$1,""),IF(O200&lt;&gt;"",IF(COUNTA(L$111:L200)-1&lt;DMAX(F$113:J$403,F$113,O199:O200),O$113,""),""))</f>
        <v/>
      </c>
      <c r="P201" s="223" t="str">
        <f>IF(N200=N$113,IF(COUNT(N$113:Q200)&lt;DMAX(F$113:J$403,F$113,O200:O201),N$113,""),IF(COUNT(N$113:Q200)&lt;DMAX(F$113:J$403,F$113,Q200:Q201),COUNT(N$113:Q200)+1,""))</f>
        <v/>
      </c>
      <c r="Q201" s="199" t="str">
        <f>IF(O200=O$113,IF(COUNTA(L$111:L200)-2&lt;DMAX(F$113:J$403,F$113,Q199:Q200),O$113,""),IF(Q200&lt;&gt;"",IF(COUNTA(L$111:L200)-2&lt;DMAX(F$113:J$403,F$113,O199:O200),Protokoll!I$1,""),""))</f>
        <v/>
      </c>
      <c r="T201" s="331" t="str">
        <f>IF(OR(Protokoll!$X$5&lt;&gt;"",Lokalbeskrivn!$M$4&lt;&gt;""),"",U201)</f>
        <v/>
      </c>
      <c r="U201" s="330" t="s">
        <v>1294</v>
      </c>
      <c r="V201" s="351" t="s">
        <v>1293</v>
      </c>
      <c r="W201" s="2"/>
      <c r="Y201" s="401" t="s">
        <v>1831</v>
      </c>
      <c r="Z201" s="401" t="s">
        <v>1832</v>
      </c>
      <c r="AB201" s="472" t="str">
        <f>IF(COUNT(AB193:AB200)&gt;0,MAX(AB193:AB200)+1,"")</f>
        <v/>
      </c>
      <c r="AC201" s="433" t="str">
        <f>IF(AND(AH201&lt;&gt;"",AG201&lt;&gt;"",AI201&gt;0,AH201&gt;0),MAX(AC$2:AC200)+1,"XX")</f>
        <v>XX</v>
      </c>
      <c r="AD201" s="429" t="str">
        <f>IF('Antal &amp; Längder (vikter)'!$C$23&lt;&gt;"",'Antal &amp; Längder (vikter)'!$C$23,"XX")</f>
        <v>XX</v>
      </c>
      <c r="AE201" s="415" t="str">
        <f>IF(AND('Antal &amp; Längder (vikter)'!H$25&lt;&gt;"",ISNUMBER($AH201)),'Antal &amp; Längder (vikter)'!H$25,"")</f>
        <v/>
      </c>
      <c r="AF201" s="425" t="str">
        <f t="shared" si="8"/>
        <v/>
      </c>
      <c r="AG201" s="426" t="str">
        <f t="shared" si="9"/>
        <v/>
      </c>
      <c r="AH201" s="409" t="str">
        <f>IF('Antal &amp; Längder (vikter)'!I$26="Längd (mm)",IF('Antal &amp; Längder (vikter)'!I35&lt;&gt;"",'Antal &amp; Längder (vikter)'!I35,"XX"),"XX")</f>
        <v>XX</v>
      </c>
      <c r="AI201" s="7">
        <v>-9</v>
      </c>
    </row>
    <row r="202" spans="5:35" x14ac:dyDescent="0.25">
      <c r="E202" s="2"/>
      <c r="F202" s="199">
        <f>COUNTIF(J$113:J202,J202)</f>
        <v>6</v>
      </c>
      <c r="G202" t="s">
        <v>220</v>
      </c>
      <c r="H202" s="330">
        <v>123</v>
      </c>
      <c r="I202" s="330">
        <v>1</v>
      </c>
      <c r="J202" t="s">
        <v>136</v>
      </c>
      <c r="K202" s="143"/>
      <c r="L202" s="220" t="str">
        <f>IF(Protokoll!I$1&lt;&gt;"",IF(N201=N$113,IF(AND(DMAX(F$113:J$403,F$113,O201:O202)&gt;COUNTA(L$111:L201)-2,DCOUNTA(F$113:J$403,G$113,N201:O202)=1),DGET(F$113:J$403,G$113,N201:O202),""),IF(AND(DMAX(F$113:J$403,F$113,Q201:Q202)&gt;COUNTA(L$111:L201)-2,DCOUNTA(F$113:J$403,G$113,P201:Q202)=1),DGET(F$113:J$403,G$113,P201:Q202),"")),G202)</f>
        <v/>
      </c>
      <c r="M202" s="143"/>
      <c r="N202" s="221" t="str">
        <f>IF(N201=N$113,IF(COUNT(N$113:Q201)&lt;DMAX(F$113:J$403,F$113,O201:O202),COUNT(N$113:Q201)+1,""),IF(COUNT(N$113:Q201)&lt;DMAX(F$113:J$403,F$113,Q201:Q202),N$113,""))</f>
        <v/>
      </c>
      <c r="O202" s="222" t="str">
        <f>IF(O201=O$113,IF(COUNTA(L$111:L201)-2&lt;DMAX(F$113:J$403,F$113,Q200:Q201),Protokoll!I$1,""),IF(O201&lt;&gt;"",IF(COUNTA(L$111:L201)-1&lt;DMAX(F$113:J$403,F$113,O200:O201),O$113,""),""))</f>
        <v/>
      </c>
      <c r="P202" s="223" t="str">
        <f>IF(N201=N$113,IF(COUNT(N$113:Q201)&lt;DMAX(F$113:J$403,F$113,O201:O202),N$113,""),IF(COUNT(N$113:Q201)&lt;DMAX(F$113:J$403,F$113,Q201:Q202),COUNT(N$113:Q201)+1,""))</f>
        <v/>
      </c>
      <c r="Q202" s="199" t="str">
        <f>IF(O201=O$113,IF(COUNTA(L$111:L201)-2&lt;DMAX(F$113:J$403,F$113,Q200:Q201),O$113,""),IF(Q201&lt;&gt;"",IF(COUNTA(L$111:L201)-2&lt;DMAX(F$113:J$403,F$113,O200:O201),Protokoll!I$1,""),""))</f>
        <v/>
      </c>
      <c r="T202" s="331" t="str">
        <f>IF(OR(Protokoll!$X$5&lt;&gt;"",Lokalbeskrivn!$M$4&lt;&gt;""),"",U202)</f>
        <v/>
      </c>
      <c r="U202" s="330" t="s">
        <v>1296</v>
      </c>
      <c r="V202" s="351" t="s">
        <v>1295</v>
      </c>
      <c r="W202" s="2"/>
      <c r="Y202" s="401" t="s">
        <v>1797</v>
      </c>
      <c r="Z202" s="401" t="s">
        <v>1798</v>
      </c>
      <c r="AB202" s="479" t="str">
        <f>IF(COUNT(AB193:AB201)&gt;0,MAX(AB193:AB201)+1,"")</f>
        <v/>
      </c>
      <c r="AC202" s="433" t="str">
        <f>IF(AND(AH202&lt;&gt;"",AG202&lt;&gt;"",AI202&gt;0,AH202&gt;0),MAX(AC$2:AC201)+1,"XX")</f>
        <v>XX</v>
      </c>
      <c r="AD202" s="429" t="str">
        <f>IF('Antal &amp; Längder (vikter)'!$C$23&lt;&gt;"",'Antal &amp; Längder (vikter)'!$C$23,"XX")</f>
        <v>XX</v>
      </c>
      <c r="AE202" s="415" t="str">
        <f>IF(AND('Antal &amp; Längder (vikter)'!H$25&lt;&gt;"",ISNUMBER($AH202)),'Antal &amp; Längder (vikter)'!H$25,"")</f>
        <v/>
      </c>
      <c r="AF202" s="425" t="str">
        <f t="shared" si="8"/>
        <v/>
      </c>
      <c r="AG202" s="426" t="str">
        <f t="shared" si="9"/>
        <v/>
      </c>
      <c r="AH202" s="409" t="str">
        <f>IF('Antal &amp; Längder (vikter)'!I$26="Längd (mm)",IF('Antal &amp; Längder (vikter)'!I36&lt;&gt;"",'Antal &amp; Längder (vikter)'!I36,"XX"),"XX")</f>
        <v>XX</v>
      </c>
      <c r="AI202" s="7">
        <v>-9</v>
      </c>
    </row>
    <row r="203" spans="5:35" x14ac:dyDescent="0.25">
      <c r="E203" s="2"/>
      <c r="F203" s="199">
        <f>COUNTIF(J$113:J203,J203)</f>
        <v>6</v>
      </c>
      <c r="G203" t="s">
        <v>221</v>
      </c>
      <c r="H203" s="330">
        <v>680</v>
      </c>
      <c r="I203" s="330">
        <v>6</v>
      </c>
      <c r="J203" t="s">
        <v>122</v>
      </c>
      <c r="K203" s="143"/>
      <c r="L203" s="220" t="str">
        <f>IF(Protokoll!I$1&lt;&gt;"",IF(N202=N$113,IF(AND(DMAX(F$113:J$403,F$113,O202:O203)&gt;COUNTA(L$111:L202)-2,DCOUNTA(F$113:J$403,G$113,N202:O203)=1),DGET(F$113:J$403,G$113,N202:O203),""),IF(AND(DMAX(F$113:J$403,F$113,Q202:Q203)&gt;COUNTA(L$111:L202)-2,DCOUNTA(F$113:J$403,G$113,P202:Q203)=1),DGET(F$113:J$403,G$113,P202:Q203),"")),G203)</f>
        <v/>
      </c>
      <c r="M203" s="143"/>
      <c r="N203" s="221" t="str">
        <f>IF(N202=N$113,IF(COUNT(N$113:Q202)&lt;DMAX(F$113:J$403,F$113,O202:O203),COUNT(N$113:Q202)+1,""),IF(COUNT(N$113:Q202)&lt;DMAX(F$113:J$403,F$113,Q202:Q203),N$113,""))</f>
        <v/>
      </c>
      <c r="O203" s="222" t="str">
        <f>IF(O202=O$113,IF(COUNTA(L$111:L202)-2&lt;DMAX(F$113:J$403,F$113,Q201:Q202),Protokoll!I$1,""),IF(O202&lt;&gt;"",IF(COUNTA(L$111:L202)-1&lt;DMAX(F$113:J$403,F$113,O201:O202),O$113,""),""))</f>
        <v/>
      </c>
      <c r="P203" s="223" t="str">
        <f>IF(N202=N$113,IF(COUNT(N$113:Q202)&lt;DMAX(F$113:J$403,F$113,O202:O203),N$113,""),IF(COUNT(N$113:Q202)&lt;DMAX(F$113:J$403,F$113,Q202:Q203),COUNT(N$113:Q202)+1,""))</f>
        <v/>
      </c>
      <c r="Q203" s="199" t="str">
        <f>IF(O202=O$113,IF(COUNTA(L$111:L202)-2&lt;DMAX(F$113:J$403,F$113,Q201:Q202),O$113,""),IF(Q202&lt;&gt;"",IF(COUNTA(L$111:L202)-2&lt;DMAX(F$113:J$403,F$113,O201:O202),Protokoll!I$1,""),""))</f>
        <v/>
      </c>
      <c r="T203" s="331" t="str">
        <f>IF(OR(Protokoll!$X$5&lt;&gt;"",Lokalbeskrivn!$M$4&lt;&gt;""),"",U203)</f>
        <v/>
      </c>
      <c r="U203" s="330" t="s">
        <v>1298</v>
      </c>
      <c r="V203" s="351" t="s">
        <v>1297</v>
      </c>
      <c r="W203" s="2"/>
      <c r="Y203" s="401" t="s">
        <v>1801</v>
      </c>
      <c r="Z203" s="401" t="s">
        <v>1802</v>
      </c>
      <c r="AB203" s="480" t="str">
        <f>IF(AND(ISNUMBER(AH203),AH203&gt;0),IF(MAX(AB$3:AB202)&gt;0,MAX(AB$3:AB202)+1,10+COUNTIF(F$38:F$49,"&gt;0")*10+1),"")</f>
        <v/>
      </c>
      <c r="AC203" s="433" t="str">
        <f>IF(AND(AH203&lt;&gt;"",AG203&lt;&gt;"",AI203&gt;0,AH203&gt;0),MAX(AC$2:AC202)+1,"XX")</f>
        <v>XX</v>
      </c>
      <c r="AD203" s="429" t="str">
        <f>IF('Antal &amp; Längder (vikter)'!$C$23&lt;&gt;"",'Antal &amp; Längder (vikter)'!$C$23,"XX")</f>
        <v>XX</v>
      </c>
      <c r="AE203" s="406" t="str">
        <f>IF(AND('Antal &amp; Längder (vikter)'!J$25&lt;&gt;"",ISNUMBER($AH203)),'Antal &amp; Längder (vikter)'!J$25,"")</f>
        <v/>
      </c>
      <c r="AF203" s="425" t="str">
        <f t="shared" si="8"/>
        <v/>
      </c>
      <c r="AG203" s="426" t="str">
        <f t="shared" si="9"/>
        <v/>
      </c>
      <c r="AH203" s="407" t="str">
        <f>IF('Antal &amp; Längder (vikter)'!J27&lt;&gt;"",'Antal &amp; Längder (vikter)'!J27,"XX")</f>
        <v>XX</v>
      </c>
      <c r="AI203" s="436">
        <f>IF('Antal &amp; Längder (vikter)'!K$26="Vikt (g)",'Antal &amp; Längder (vikter)'!K27,-9)</f>
        <v>-9</v>
      </c>
    </row>
    <row r="204" spans="5:35" x14ac:dyDescent="0.25">
      <c r="E204" s="2"/>
      <c r="F204" s="199">
        <f>COUNTIF(J$113:J204,J204)</f>
        <v>7</v>
      </c>
      <c r="G204" t="s">
        <v>222</v>
      </c>
      <c r="H204" s="330">
        <v>2514</v>
      </c>
      <c r="I204" s="330">
        <v>25</v>
      </c>
      <c r="J204" t="s">
        <v>127</v>
      </c>
      <c r="K204" s="143"/>
      <c r="L204" s="220" t="str">
        <f>IF(Protokoll!I$1&lt;&gt;"",IF(N203=N$113,IF(AND(DMAX(F$113:J$403,F$113,O203:O204)&gt;COUNTA(L$111:L203)-2,DCOUNTA(F$113:J$403,G$113,N203:O204)=1),DGET(F$113:J$403,G$113,N203:O204),""),IF(AND(DMAX(F$113:J$403,F$113,Q203:Q204)&gt;COUNTA(L$111:L203)-2,DCOUNTA(F$113:J$403,G$113,P203:Q204)=1),DGET(F$113:J$403,G$113,P203:Q204),"")),G204)</f>
        <v/>
      </c>
      <c r="M204" s="143"/>
      <c r="N204" s="221" t="str">
        <f>IF(N203=N$113,IF(COUNT(N$113:Q203)&lt;DMAX(F$113:J$403,F$113,O203:O204),COUNT(N$113:Q203)+1,""),IF(COUNT(N$113:Q203)&lt;DMAX(F$113:J$403,F$113,Q203:Q204),N$113,""))</f>
        <v/>
      </c>
      <c r="O204" s="222" t="str">
        <f>IF(O203=O$113,IF(COUNTA(L$111:L203)-2&lt;DMAX(F$113:J$403,F$113,Q202:Q203),Protokoll!I$1,""),IF(O203&lt;&gt;"",IF(COUNTA(L$111:L203)-1&lt;DMAX(F$113:J$403,F$113,O202:O203),O$113,""),""))</f>
        <v/>
      </c>
      <c r="P204" s="223" t="str">
        <f>IF(N203=N$113,IF(COUNT(N$113:Q203)&lt;DMAX(F$113:J$403,F$113,O203:O204),N$113,""),IF(COUNT(N$113:Q203)&lt;DMAX(F$113:J$403,F$113,Q203:Q204),COUNT(N$113:Q203)+1,""))</f>
        <v/>
      </c>
      <c r="Q204" s="199" t="str">
        <f>IF(O203=O$113,IF(COUNTA(L$111:L203)-2&lt;DMAX(F$113:J$403,F$113,Q202:Q203),O$113,""),IF(Q203&lt;&gt;"",IF(COUNTA(L$111:L203)-2&lt;DMAX(F$113:J$403,F$113,O202:O203),Protokoll!I$1,""),""))</f>
        <v/>
      </c>
      <c r="T204" s="331" t="str">
        <f>IF(OR(Protokoll!$X$5&lt;&gt;"",Lokalbeskrivn!$M$4&lt;&gt;""),"",U204)</f>
        <v/>
      </c>
      <c r="U204" s="330" t="s">
        <v>1300</v>
      </c>
      <c r="V204" s="351" t="s">
        <v>1299</v>
      </c>
      <c r="W204" s="2"/>
      <c r="Y204" s="401" t="s">
        <v>1807</v>
      </c>
      <c r="Z204" s="401" t="s">
        <v>1808</v>
      </c>
      <c r="AB204" s="476" t="str">
        <f>IF(COUNT(AB203:AB203)&gt;0,MAX(AB203:AB203)+1,"")</f>
        <v/>
      </c>
      <c r="AC204" s="433" t="str">
        <f>IF(AND(AH204&lt;&gt;"",AG204&lt;&gt;"",AI204&gt;0,AH204&gt;0),MAX(AC$2:AC203)+1,"XX")</f>
        <v>XX</v>
      </c>
      <c r="AD204" s="429" t="str">
        <f>IF('Antal &amp; Längder (vikter)'!$C$23&lt;&gt;"",'Antal &amp; Längder (vikter)'!$C$23,"XX")</f>
        <v>XX</v>
      </c>
      <c r="AE204" s="406" t="str">
        <f>IF(AND('Antal &amp; Längder (vikter)'!J$25&lt;&gt;"",ISNUMBER($AH204)),'Antal &amp; Längder (vikter)'!J$25,"")</f>
        <v/>
      </c>
      <c r="AF204" s="425" t="str">
        <f t="shared" si="8"/>
        <v/>
      </c>
      <c r="AG204" s="426" t="str">
        <f t="shared" si="9"/>
        <v/>
      </c>
      <c r="AH204" s="407" t="str">
        <f>IF('Antal &amp; Längder (vikter)'!J28&lt;&gt;"",'Antal &amp; Längder (vikter)'!J28,"XX")</f>
        <v>XX</v>
      </c>
      <c r="AI204" s="436">
        <f>IF('Antal &amp; Längder (vikter)'!K$26="Vikt (g)",'Antal &amp; Längder (vikter)'!K28,-9)</f>
        <v>-9</v>
      </c>
    </row>
    <row r="205" spans="5:35" x14ac:dyDescent="0.25">
      <c r="E205" s="2"/>
      <c r="F205" s="199">
        <f>COUNTIF(J$113:J205,J205)</f>
        <v>5</v>
      </c>
      <c r="G205" t="s">
        <v>223</v>
      </c>
      <c r="H205" s="330">
        <v>880</v>
      </c>
      <c r="I205" s="330">
        <v>8</v>
      </c>
      <c r="J205" t="s">
        <v>128</v>
      </c>
      <c r="K205" s="143"/>
      <c r="L205" s="220" t="str">
        <f>IF(Protokoll!I$1&lt;&gt;"",IF(N204=N$113,IF(AND(DMAX(F$113:J$403,F$113,O204:O205)&gt;COUNTA(L$111:L204)-2,DCOUNTA(F$113:J$403,G$113,N204:O205)=1),DGET(F$113:J$403,G$113,N204:O205),""),IF(AND(DMAX(F$113:J$403,F$113,Q204:Q205)&gt;COUNTA(L$111:L204)-2,DCOUNTA(F$113:J$403,G$113,P204:Q205)=1),DGET(F$113:J$403,G$113,P204:Q205),"")),G205)</f>
        <v/>
      </c>
      <c r="M205" s="143"/>
      <c r="N205" s="221" t="str">
        <f>IF(N204=N$113,IF(COUNT(N$113:Q204)&lt;DMAX(F$113:J$403,F$113,O204:O205),COUNT(N$113:Q204)+1,""),IF(COUNT(N$113:Q204)&lt;DMAX(F$113:J$403,F$113,Q204:Q205),N$113,""))</f>
        <v/>
      </c>
      <c r="O205" s="222" t="str">
        <f>IF(O204=O$113,IF(COUNTA(L$111:L204)-2&lt;DMAX(F$113:J$403,F$113,Q203:Q204),Protokoll!I$1,""),IF(O204&lt;&gt;"",IF(COUNTA(L$111:L204)-1&lt;DMAX(F$113:J$403,F$113,O203:O204),O$113,""),""))</f>
        <v/>
      </c>
      <c r="P205" s="223" t="str">
        <f>IF(N204=N$113,IF(COUNT(N$113:Q204)&lt;DMAX(F$113:J$403,F$113,O204:O205),N$113,""),IF(COUNT(N$113:Q204)&lt;DMAX(F$113:J$403,F$113,Q204:Q205),COUNT(N$113:Q204)+1,""))</f>
        <v/>
      </c>
      <c r="Q205" s="199" t="str">
        <f>IF(O204=O$113,IF(COUNTA(L$111:L204)-2&lt;DMAX(F$113:J$403,F$113,Q203:Q204),O$113,""),IF(Q204&lt;&gt;"",IF(COUNTA(L$111:L204)-2&lt;DMAX(F$113:J$403,F$113,O203:O204),Protokoll!I$1,""),""))</f>
        <v/>
      </c>
      <c r="T205" s="331" t="str">
        <f>IF(OR(Protokoll!$X$5&lt;&gt;"",Lokalbeskrivn!$M$4&lt;&gt;""),"",U205)</f>
        <v/>
      </c>
      <c r="U205" s="330" t="s">
        <v>1302</v>
      </c>
      <c r="V205" s="351" t="s">
        <v>1301</v>
      </c>
      <c r="W205" s="2"/>
      <c r="Y205" s="401" t="s">
        <v>1799</v>
      </c>
      <c r="Z205" s="401" t="s">
        <v>1800</v>
      </c>
      <c r="AB205" s="477" t="str">
        <f>IF(COUNT(AB203:AB204)&gt;0,MAX(AB203:AB204)+1,"")</f>
        <v/>
      </c>
      <c r="AC205" s="433" t="str">
        <f>IF(AND(AH205&lt;&gt;"",AG205&lt;&gt;"",AI205&gt;0,AH205&gt;0),MAX(AC$2:AC204)+1,"XX")</f>
        <v>XX</v>
      </c>
      <c r="AD205" s="429" t="str">
        <f>IF('Antal &amp; Längder (vikter)'!$C$23&lt;&gt;"",'Antal &amp; Längder (vikter)'!$C$23,"XX")</f>
        <v>XX</v>
      </c>
      <c r="AE205" s="406" t="str">
        <f>IF(AND('Antal &amp; Längder (vikter)'!J$25&lt;&gt;"",ISNUMBER($AH205)),'Antal &amp; Längder (vikter)'!J$25,"")</f>
        <v/>
      </c>
      <c r="AF205" s="425" t="str">
        <f t="shared" si="8"/>
        <v/>
      </c>
      <c r="AG205" s="426" t="str">
        <f t="shared" si="9"/>
        <v/>
      </c>
      <c r="AH205" s="407" t="str">
        <f>IF('Antal &amp; Längder (vikter)'!J29&lt;&gt;"",'Antal &amp; Längder (vikter)'!J29,"XX")</f>
        <v>XX</v>
      </c>
      <c r="AI205" s="436">
        <f>IF('Antal &amp; Längder (vikter)'!K$26="Vikt (g)",'Antal &amp; Längder (vikter)'!K29,-9)</f>
        <v>-9</v>
      </c>
    </row>
    <row r="206" spans="5:35" x14ac:dyDescent="0.25">
      <c r="E206" s="2"/>
      <c r="F206" s="199">
        <f>COUNTIF(J$113:J206,J206)</f>
        <v>17</v>
      </c>
      <c r="G206" t="s">
        <v>224</v>
      </c>
      <c r="H206" s="330">
        <v>1446</v>
      </c>
      <c r="I206" s="330">
        <v>14</v>
      </c>
      <c r="J206" t="s">
        <v>114</v>
      </c>
      <c r="K206" s="143"/>
      <c r="L206" s="220" t="str">
        <f>IF(Protokoll!I$1&lt;&gt;"",IF(N205=N$113,IF(AND(DMAX(F$113:J$403,F$113,O205:O206)&gt;COUNTA(L$111:L205)-2,DCOUNTA(F$113:J$403,G$113,N205:O206)=1),DGET(F$113:J$403,G$113,N205:O206),""),IF(AND(DMAX(F$113:J$403,F$113,Q205:Q206)&gt;COUNTA(L$111:L205)-2,DCOUNTA(F$113:J$403,G$113,P205:Q206)=1),DGET(F$113:J$403,G$113,P205:Q206),"")),G206)</f>
        <v/>
      </c>
      <c r="M206" s="143"/>
      <c r="N206" s="221" t="str">
        <f>IF(N205=N$113,IF(COUNT(N$113:Q205)&lt;DMAX(F$113:J$403,F$113,O205:O206),COUNT(N$113:Q205)+1,""),IF(COUNT(N$113:Q205)&lt;DMAX(F$113:J$403,F$113,Q205:Q206),N$113,""))</f>
        <v/>
      </c>
      <c r="O206" s="222" t="str">
        <f>IF(O205=O$113,IF(COUNTA(L$111:L205)-2&lt;DMAX(F$113:J$403,F$113,Q204:Q205),Protokoll!I$1,""),IF(O205&lt;&gt;"",IF(COUNTA(L$111:L205)-1&lt;DMAX(F$113:J$403,F$113,O204:O205),O$113,""),""))</f>
        <v/>
      </c>
      <c r="P206" s="223" t="str">
        <f>IF(N205=N$113,IF(COUNT(N$113:Q205)&lt;DMAX(F$113:J$403,F$113,O205:O206),N$113,""),IF(COUNT(N$113:Q205)&lt;DMAX(F$113:J$403,F$113,Q205:Q206),COUNT(N$113:Q205)+1,""))</f>
        <v/>
      </c>
      <c r="Q206" s="199" t="str">
        <f>IF(O205=O$113,IF(COUNTA(L$111:L205)-2&lt;DMAX(F$113:J$403,F$113,Q204:Q205),O$113,""),IF(Q205&lt;&gt;"",IF(COUNTA(L$111:L205)-2&lt;DMAX(F$113:J$403,F$113,O204:O205),Protokoll!I$1,""),""))</f>
        <v/>
      </c>
      <c r="T206" s="331" t="str">
        <f>IF(OR(Protokoll!$X$5&lt;&gt;"",Lokalbeskrivn!$M$4&lt;&gt;""),"",U206)</f>
        <v/>
      </c>
      <c r="U206" s="330" t="s">
        <v>1304</v>
      </c>
      <c r="V206" s="351" t="s">
        <v>1303</v>
      </c>
      <c r="W206" s="2"/>
      <c r="Y206" s="401" t="s">
        <v>1835</v>
      </c>
      <c r="Z206" s="401" t="s">
        <v>1836</v>
      </c>
      <c r="AB206" s="434" t="str">
        <f>IF(COUNT(AB203:AB205)&gt;0,MAX(AB203:AB205)+1,"")</f>
        <v/>
      </c>
      <c r="AC206" s="433" t="str">
        <f>IF(AND(AH206&lt;&gt;"",AG206&lt;&gt;"",AI206&gt;0,AH206&gt;0),MAX(AC$2:AC205)+1,"XX")</f>
        <v>XX</v>
      </c>
      <c r="AD206" s="429" t="str">
        <f>IF('Antal &amp; Längder (vikter)'!$C$23&lt;&gt;"",'Antal &amp; Längder (vikter)'!$C$23,"XX")</f>
        <v>XX</v>
      </c>
      <c r="AE206" s="406" t="str">
        <f>IF(AND('Antal &amp; Längder (vikter)'!J$25&lt;&gt;"",ISNUMBER($AH206)),'Antal &amp; Längder (vikter)'!J$25,"")</f>
        <v/>
      </c>
      <c r="AF206" s="425" t="str">
        <f t="shared" si="8"/>
        <v/>
      </c>
      <c r="AG206" s="426" t="str">
        <f t="shared" si="9"/>
        <v/>
      </c>
      <c r="AH206" s="407" t="str">
        <f>IF('Antal &amp; Längder (vikter)'!J30&lt;&gt;"",'Antal &amp; Längder (vikter)'!J30,"XX")</f>
        <v>XX</v>
      </c>
      <c r="AI206" s="436">
        <f>IF('Antal &amp; Längder (vikter)'!K$26="Vikt (g)",'Antal &amp; Längder (vikter)'!K30,-9)</f>
        <v>-9</v>
      </c>
    </row>
    <row r="207" spans="5:35" x14ac:dyDescent="0.25">
      <c r="E207" s="2"/>
      <c r="F207" s="199">
        <f>COUNTIF(J$113:J207,J207)</f>
        <v>1</v>
      </c>
      <c r="G207" t="s">
        <v>225</v>
      </c>
      <c r="H207" s="330">
        <v>1082</v>
      </c>
      <c r="I207" s="330">
        <v>10</v>
      </c>
      <c r="J207" t="s">
        <v>110</v>
      </c>
      <c r="K207" s="143"/>
      <c r="L207" s="220" t="str">
        <f>IF(Protokoll!I$1&lt;&gt;"",IF(N206=N$113,IF(AND(DMAX(F$113:J$403,F$113,O206:O207)&gt;COUNTA(L$111:L206)-2,DCOUNTA(F$113:J$403,G$113,N206:O207)=1),DGET(F$113:J$403,G$113,N206:O207),""),IF(AND(DMAX(F$113:J$403,F$113,Q206:Q207)&gt;COUNTA(L$111:L206)-2,DCOUNTA(F$113:J$403,G$113,P206:Q207)=1),DGET(F$113:J$403,G$113,P206:Q207),"")),G207)</f>
        <v/>
      </c>
      <c r="M207" s="143"/>
      <c r="N207" s="221" t="str">
        <f>IF(N206=N$113,IF(COUNT(N$113:Q206)&lt;DMAX(F$113:J$403,F$113,O206:O207),COUNT(N$113:Q206)+1,""),IF(COUNT(N$113:Q206)&lt;DMAX(F$113:J$403,F$113,Q206:Q207),N$113,""))</f>
        <v/>
      </c>
      <c r="O207" s="222" t="str">
        <f>IF(O206=O$113,IF(COUNTA(L$111:L206)-2&lt;DMAX(F$113:J$403,F$113,Q205:Q206),Protokoll!I$1,""),IF(O206&lt;&gt;"",IF(COUNTA(L$111:L206)-1&lt;DMAX(F$113:J$403,F$113,O205:O206),O$113,""),""))</f>
        <v/>
      </c>
      <c r="P207" s="223" t="str">
        <f>IF(N206=N$113,IF(COUNT(N$113:Q206)&lt;DMAX(F$113:J$403,F$113,O206:O207),N$113,""),IF(COUNT(N$113:Q206)&lt;DMAX(F$113:J$403,F$113,Q206:Q207),COUNT(N$113:Q206)+1,""))</f>
        <v/>
      </c>
      <c r="Q207" s="199" t="str">
        <f>IF(O206=O$113,IF(COUNTA(L$111:L206)-2&lt;DMAX(F$113:J$403,F$113,Q205:Q206),O$113,""),IF(Q206&lt;&gt;"",IF(COUNTA(L$111:L206)-2&lt;DMAX(F$113:J$403,F$113,O205:O206),Protokoll!I$1,""),""))</f>
        <v/>
      </c>
      <c r="T207" s="331" t="str">
        <f>IF(OR(Protokoll!$X$5&lt;&gt;"",Lokalbeskrivn!$M$4&lt;&gt;""),"",U207)</f>
        <v/>
      </c>
      <c r="U207" s="330" t="s">
        <v>1306</v>
      </c>
      <c r="V207" s="351" t="s">
        <v>1305</v>
      </c>
      <c r="W207" s="2"/>
      <c r="Y207" s="401" t="s">
        <v>1817</v>
      </c>
      <c r="Z207" s="401" t="s">
        <v>1818</v>
      </c>
      <c r="AB207" s="475" t="str">
        <f>IF(COUNT(AB203:AB206)&gt;0,MAX(AB203:AB206)+1,"")</f>
        <v/>
      </c>
      <c r="AC207" s="433" t="str">
        <f>IF(AND(AH207&lt;&gt;"",AG207&lt;&gt;"",AI207&gt;0,AH207&gt;0),MAX(AC$2:AC206)+1,"XX")</f>
        <v>XX</v>
      </c>
      <c r="AD207" s="429" t="str">
        <f>IF('Antal &amp; Längder (vikter)'!$C$23&lt;&gt;"",'Antal &amp; Längder (vikter)'!$C$23,"XX")</f>
        <v>XX</v>
      </c>
      <c r="AE207" s="406" t="str">
        <f>IF(AND('Antal &amp; Längder (vikter)'!J$25&lt;&gt;"",ISNUMBER($AH207)),'Antal &amp; Längder (vikter)'!J$25,"")</f>
        <v/>
      </c>
      <c r="AF207" s="425" t="str">
        <f t="shared" si="8"/>
        <v/>
      </c>
      <c r="AG207" s="426" t="str">
        <f t="shared" si="9"/>
        <v/>
      </c>
      <c r="AH207" s="407" t="str">
        <f>IF('Antal &amp; Längder (vikter)'!J31&lt;&gt;"",'Antal &amp; Längder (vikter)'!J31,"XX")</f>
        <v>XX</v>
      </c>
      <c r="AI207" s="436">
        <f>IF('Antal &amp; Längder (vikter)'!K$26="Vikt (g)",'Antal &amp; Längder (vikter)'!K31,-9)</f>
        <v>-9</v>
      </c>
    </row>
    <row r="208" spans="5:35" x14ac:dyDescent="0.25">
      <c r="E208" s="2"/>
      <c r="F208" s="199">
        <f>COUNTIF(J$113:J208,J208)</f>
        <v>5</v>
      </c>
      <c r="G208" t="s">
        <v>226</v>
      </c>
      <c r="H208" s="330">
        <v>1883</v>
      </c>
      <c r="I208" s="330">
        <v>18</v>
      </c>
      <c r="J208" t="s">
        <v>133</v>
      </c>
      <c r="K208" s="143"/>
      <c r="L208" s="220" t="str">
        <f>IF(Protokoll!I$1&lt;&gt;"",IF(N207=N$113,IF(AND(DMAX(F$113:J$403,F$113,O207:O208)&gt;COUNTA(L$111:L207)-2,DCOUNTA(F$113:J$403,G$113,N207:O208)=1),DGET(F$113:J$403,G$113,N207:O208),""),IF(AND(DMAX(F$113:J$403,F$113,Q207:Q208)&gt;COUNTA(L$111:L207)-2,DCOUNTA(F$113:J$403,G$113,P207:Q208)=1),DGET(F$113:J$403,G$113,P207:Q208),"")),G208)</f>
        <v/>
      </c>
      <c r="M208" s="143"/>
      <c r="N208" s="221" t="str">
        <f>IF(N207=N$113,IF(COUNT(N$113:Q207)&lt;DMAX(F$113:J$403,F$113,O207:O208),COUNT(N$113:Q207)+1,""),IF(COUNT(N$113:Q207)&lt;DMAX(F$113:J$403,F$113,Q207:Q208),N$113,""))</f>
        <v/>
      </c>
      <c r="O208" s="222" t="str">
        <f>IF(O207=O$113,IF(COUNTA(L$111:L207)-2&lt;DMAX(F$113:J$403,F$113,Q206:Q207),Protokoll!I$1,""),IF(O207&lt;&gt;"",IF(COUNTA(L$111:L207)-1&lt;DMAX(F$113:J$403,F$113,O206:O207),O$113,""),""))</f>
        <v/>
      </c>
      <c r="P208" s="223" t="str">
        <f>IF(N207=N$113,IF(COUNT(N$113:Q207)&lt;DMAX(F$113:J$403,F$113,O207:O208),N$113,""),IF(COUNT(N$113:Q207)&lt;DMAX(F$113:J$403,F$113,Q207:Q208),COUNT(N$113:Q207)+1,""))</f>
        <v/>
      </c>
      <c r="Q208" s="199" t="str">
        <f>IF(O207=O$113,IF(COUNTA(L$111:L207)-2&lt;DMAX(F$113:J$403,F$113,Q206:Q207),O$113,""),IF(Q207&lt;&gt;"",IF(COUNTA(L$111:L207)-2&lt;DMAX(F$113:J$403,F$113,O206:O207),Protokoll!I$1,""),""))</f>
        <v/>
      </c>
      <c r="T208" s="331" t="str">
        <f>IF(OR(Protokoll!$X$5&lt;&gt;"",Lokalbeskrivn!$M$4&lt;&gt;""),"",U208)</f>
        <v/>
      </c>
      <c r="U208" s="330" t="s">
        <v>1308</v>
      </c>
      <c r="V208" s="351" t="s">
        <v>1307</v>
      </c>
      <c r="W208" s="2"/>
      <c r="Y208" s="401" t="s">
        <v>1809</v>
      </c>
      <c r="Z208" s="401" t="s">
        <v>1810</v>
      </c>
      <c r="AB208" s="471" t="str">
        <f>IF(COUNT(AB203:AB207)&gt;0,MAX(AB203:AB207)+1,"")</f>
        <v/>
      </c>
      <c r="AC208" s="433" t="str">
        <f>IF(AND(AH208&lt;&gt;"",AG208&lt;&gt;"",AI208&gt;0,AH208&gt;0),MAX(AC$2:AC207)+1,"XX")</f>
        <v>XX</v>
      </c>
      <c r="AD208" s="429" t="str">
        <f>IF('Antal &amp; Längder (vikter)'!$C$23&lt;&gt;"",'Antal &amp; Längder (vikter)'!$C$23,"XX")</f>
        <v>XX</v>
      </c>
      <c r="AE208" s="406" t="str">
        <f>IF(AND('Antal &amp; Längder (vikter)'!J$25&lt;&gt;"",ISNUMBER($AH208)),'Antal &amp; Längder (vikter)'!J$25,"")</f>
        <v/>
      </c>
      <c r="AF208" s="425" t="str">
        <f t="shared" si="8"/>
        <v/>
      </c>
      <c r="AG208" s="426" t="str">
        <f t="shared" si="9"/>
        <v/>
      </c>
      <c r="AH208" s="407" t="str">
        <f>IF('Antal &amp; Längder (vikter)'!J32&lt;&gt;"",'Antal &amp; Längder (vikter)'!J32,"XX")</f>
        <v>XX</v>
      </c>
      <c r="AI208" s="436">
        <f>IF('Antal &amp; Längder (vikter)'!K$26="Vikt (g)",'Antal &amp; Längder (vikter)'!K32,-9)</f>
        <v>-9</v>
      </c>
    </row>
    <row r="209" spans="5:35" x14ac:dyDescent="0.25">
      <c r="E209" s="2"/>
      <c r="F209" s="199">
        <f>COUNTIF(J$113:J209,J209)</f>
        <v>2</v>
      </c>
      <c r="G209" t="s">
        <v>227</v>
      </c>
      <c r="H209" s="330">
        <v>1080</v>
      </c>
      <c r="I209" s="330">
        <v>10</v>
      </c>
      <c r="J209" t="s">
        <v>110</v>
      </c>
      <c r="K209" s="143"/>
      <c r="L209" s="220" t="str">
        <f>IF(Protokoll!I$1&lt;&gt;"",IF(N208=N$113,IF(AND(DMAX(F$113:J$403,F$113,O208:O209)&gt;COUNTA(L$111:L208)-2,DCOUNTA(F$113:J$403,G$113,N208:O209)=1),DGET(F$113:J$403,G$113,N208:O209),""),IF(AND(DMAX(F$113:J$403,F$113,Q208:Q209)&gt;COUNTA(L$111:L208)-2,DCOUNTA(F$113:J$403,G$113,P208:Q209)=1),DGET(F$113:J$403,G$113,P208:Q209),"")),G209)</f>
        <v/>
      </c>
      <c r="M209" s="143"/>
      <c r="N209" s="221" t="str">
        <f>IF(N208=N$113,IF(COUNT(N$113:Q208)&lt;DMAX(F$113:J$403,F$113,O208:O209),COUNT(N$113:Q208)+1,""),IF(COUNT(N$113:Q208)&lt;DMAX(F$113:J$403,F$113,Q208:Q209),N$113,""))</f>
        <v/>
      </c>
      <c r="O209" s="222" t="str">
        <f>IF(O208=O$113,IF(COUNTA(L$111:L208)-2&lt;DMAX(F$113:J$403,F$113,Q207:Q208),Protokoll!I$1,""),IF(O208&lt;&gt;"",IF(COUNTA(L$111:L208)-1&lt;DMAX(F$113:J$403,F$113,O207:O208),O$113,""),""))</f>
        <v/>
      </c>
      <c r="P209" s="223" t="str">
        <f>IF(N208=N$113,IF(COUNT(N$113:Q208)&lt;DMAX(F$113:J$403,F$113,O208:O209),N$113,""),IF(COUNT(N$113:Q208)&lt;DMAX(F$113:J$403,F$113,Q208:Q209),COUNT(N$113:Q208)+1,""))</f>
        <v/>
      </c>
      <c r="Q209" s="199" t="str">
        <f>IF(O208=O$113,IF(COUNTA(L$111:L208)-2&lt;DMAX(F$113:J$403,F$113,Q207:Q208),O$113,""),IF(Q208&lt;&gt;"",IF(COUNTA(L$111:L208)-2&lt;DMAX(F$113:J$403,F$113,O207:O208),Protokoll!I$1,""),""))</f>
        <v/>
      </c>
      <c r="T209" s="331" t="str">
        <f>IF(OR(Protokoll!$X$5&lt;&gt;"",Lokalbeskrivn!$M$4&lt;&gt;""),"",U209)</f>
        <v/>
      </c>
      <c r="U209" s="330" t="s">
        <v>1310</v>
      </c>
      <c r="V209" s="351" t="s">
        <v>1309</v>
      </c>
      <c r="W209" s="2"/>
      <c r="Y209" s="401" t="s">
        <v>1789</v>
      </c>
      <c r="Z209" s="401" t="s">
        <v>1790</v>
      </c>
      <c r="AB209" s="474" t="str">
        <f>IF(COUNT(AB203:AB208)&gt;0,MAX(AB203:AB208)+1,"")</f>
        <v/>
      </c>
      <c r="AC209" s="433" t="str">
        <f>IF(AND(AH209&lt;&gt;"",AG209&lt;&gt;"",AI209&gt;0,AH209&gt;0),MAX(AC$2:AC208)+1,"XX")</f>
        <v>XX</v>
      </c>
      <c r="AD209" s="429" t="str">
        <f>IF('Antal &amp; Längder (vikter)'!$C$23&lt;&gt;"",'Antal &amp; Längder (vikter)'!$C$23,"XX")</f>
        <v>XX</v>
      </c>
      <c r="AE209" s="406" t="str">
        <f>IF(AND('Antal &amp; Längder (vikter)'!J$25&lt;&gt;"",ISNUMBER($AH209)),'Antal &amp; Längder (vikter)'!J$25,"")</f>
        <v/>
      </c>
      <c r="AF209" s="425" t="str">
        <f t="shared" si="8"/>
        <v/>
      </c>
      <c r="AG209" s="426" t="str">
        <f t="shared" si="9"/>
        <v/>
      </c>
      <c r="AH209" s="407" t="str">
        <f>IF('Antal &amp; Längder (vikter)'!J33&lt;&gt;"",'Antal &amp; Längder (vikter)'!J33,"XX")</f>
        <v>XX</v>
      </c>
      <c r="AI209" s="436">
        <f>IF('Antal &amp; Längder (vikter)'!K$26="Vikt (g)",'Antal &amp; Längder (vikter)'!K33,-9)</f>
        <v>-9</v>
      </c>
    </row>
    <row r="210" spans="5:35" x14ac:dyDescent="0.25">
      <c r="E210" s="2"/>
      <c r="F210" s="199">
        <f>COUNTIF(J$113:J210,J210)</f>
        <v>8</v>
      </c>
      <c r="G210" t="s">
        <v>228</v>
      </c>
      <c r="H210" s="330">
        <v>1780</v>
      </c>
      <c r="I210" s="330">
        <v>17</v>
      </c>
      <c r="J210" t="s">
        <v>131</v>
      </c>
      <c r="K210" s="143"/>
      <c r="L210" s="220" t="str">
        <f>IF(Protokoll!I$1&lt;&gt;"",IF(N209=N$113,IF(AND(DMAX(F$113:J$403,F$113,O209:O210)&gt;COUNTA(L$111:L209)-2,DCOUNTA(F$113:J$403,G$113,N209:O210)=1),DGET(F$113:J$403,G$113,N209:O210),""),IF(AND(DMAX(F$113:J$403,F$113,Q209:Q210)&gt;COUNTA(L$111:L209)-2,DCOUNTA(F$113:J$403,G$113,P209:Q210)=1),DGET(F$113:J$403,G$113,P209:Q210),"")),G210)</f>
        <v/>
      </c>
      <c r="M210" s="143"/>
      <c r="N210" s="221" t="str">
        <f>IF(N209=N$113,IF(COUNT(N$113:Q209)&lt;DMAX(F$113:J$403,F$113,O209:O210),COUNT(N$113:Q209)+1,""),IF(COUNT(N$113:Q209)&lt;DMAX(F$113:J$403,F$113,Q209:Q210),N$113,""))</f>
        <v/>
      </c>
      <c r="O210" s="222" t="str">
        <f>IF(O209=O$113,IF(COUNTA(L$111:L209)-2&lt;DMAX(F$113:J$403,F$113,Q208:Q209),Protokoll!I$1,""),IF(O209&lt;&gt;"",IF(COUNTA(L$111:L209)-1&lt;DMAX(F$113:J$403,F$113,O208:O209),O$113,""),""))</f>
        <v/>
      </c>
      <c r="P210" s="223" t="str">
        <f>IF(N209=N$113,IF(COUNT(N$113:Q209)&lt;DMAX(F$113:J$403,F$113,O209:O210),N$113,""),IF(COUNT(N$113:Q209)&lt;DMAX(F$113:J$403,F$113,Q209:Q210),COUNT(N$113:Q209)+1,""))</f>
        <v/>
      </c>
      <c r="Q210" s="199" t="str">
        <f>IF(O209=O$113,IF(COUNTA(L$111:L209)-2&lt;DMAX(F$113:J$403,F$113,Q208:Q209),O$113,""),IF(Q209&lt;&gt;"",IF(COUNTA(L$111:L209)-2&lt;DMAX(F$113:J$403,F$113,O208:O209),Protokoll!I$1,""),""))</f>
        <v/>
      </c>
      <c r="T210" s="331" t="str">
        <f>IF(OR(Protokoll!$X$5&lt;&gt;"",Lokalbeskrivn!$M$4&lt;&gt;""),"",U210)</f>
        <v/>
      </c>
      <c r="U210" s="330" t="s">
        <v>1312</v>
      </c>
      <c r="V210" s="351" t="s">
        <v>1311</v>
      </c>
      <c r="W210" s="2"/>
      <c r="Y210" s="401" t="s">
        <v>1793</v>
      </c>
      <c r="Z210" s="401" t="s">
        <v>1794</v>
      </c>
      <c r="AB210" s="478" t="str">
        <f>IF(COUNT(AB203:AB209)&gt;0,MAX(AB203:AB209)+1,"")</f>
        <v/>
      </c>
      <c r="AC210" s="433" t="str">
        <f>IF(AND(AH210&lt;&gt;"",AG210&lt;&gt;"",AI210&gt;0,AH210&gt;0),MAX(AC$2:AC209)+1,"XX")</f>
        <v>XX</v>
      </c>
      <c r="AD210" s="429" t="str">
        <f>IF('Antal &amp; Längder (vikter)'!$C$23&lt;&gt;"",'Antal &amp; Längder (vikter)'!$C$23,"XX")</f>
        <v>XX</v>
      </c>
      <c r="AE210" s="406" t="str">
        <f>IF(AND('Antal &amp; Längder (vikter)'!J$25&lt;&gt;"",ISNUMBER($AH210)),'Antal &amp; Längder (vikter)'!J$25,"")</f>
        <v/>
      </c>
      <c r="AF210" s="425" t="str">
        <f t="shared" si="8"/>
        <v/>
      </c>
      <c r="AG210" s="426" t="str">
        <f t="shared" si="9"/>
        <v/>
      </c>
      <c r="AH210" s="407" t="str">
        <f>IF('Antal &amp; Längder (vikter)'!J34&lt;&gt;"",'Antal &amp; Längder (vikter)'!J34,"XX")</f>
        <v>XX</v>
      </c>
      <c r="AI210" s="436">
        <f>IF('Antal &amp; Längder (vikter)'!K$26="Vikt (g)",'Antal &amp; Längder (vikter)'!K34,-9)</f>
        <v>-9</v>
      </c>
    </row>
    <row r="211" spans="5:35" x14ac:dyDescent="0.25">
      <c r="E211" s="2"/>
      <c r="F211" s="199">
        <f>COUNTIF(J$113:J211,J211)</f>
        <v>4</v>
      </c>
      <c r="G211" t="s">
        <v>229</v>
      </c>
      <c r="H211" s="330">
        <v>483</v>
      </c>
      <c r="I211" s="330">
        <v>4</v>
      </c>
      <c r="J211" t="s">
        <v>138</v>
      </c>
      <c r="K211" s="143"/>
      <c r="L211" s="220" t="str">
        <f>IF(Protokoll!I$1&lt;&gt;"",IF(N210=N$113,IF(AND(DMAX(F$113:J$403,F$113,O210:O211)&gt;COUNTA(L$111:L210)-2,DCOUNTA(F$113:J$403,G$113,N210:O211)=1),DGET(F$113:J$403,G$113,N210:O211),""),IF(AND(DMAX(F$113:J$403,F$113,Q210:Q211)&gt;COUNTA(L$111:L210)-2,DCOUNTA(F$113:J$403,G$113,P210:Q211)=1),DGET(F$113:J$403,G$113,P210:Q211),"")),G211)</f>
        <v/>
      </c>
      <c r="M211" s="143"/>
      <c r="N211" s="221" t="str">
        <f>IF(N210=N$113,IF(COUNT(N$113:Q210)&lt;DMAX(F$113:J$403,F$113,O210:O211),COUNT(N$113:Q210)+1,""),IF(COUNT(N$113:Q210)&lt;DMAX(F$113:J$403,F$113,Q210:Q211),N$113,""))</f>
        <v/>
      </c>
      <c r="O211" s="222" t="str">
        <f>IF(O210=O$113,IF(COUNTA(L$111:L210)-2&lt;DMAX(F$113:J$403,F$113,Q209:Q210),Protokoll!I$1,""),IF(O210&lt;&gt;"",IF(COUNTA(L$111:L210)-1&lt;DMAX(F$113:J$403,F$113,O209:O210),O$113,""),""))</f>
        <v/>
      </c>
      <c r="P211" s="223" t="str">
        <f>IF(N210=N$113,IF(COUNT(N$113:Q210)&lt;DMAX(F$113:J$403,F$113,O210:O211),N$113,""),IF(COUNT(N$113:Q210)&lt;DMAX(F$113:J$403,F$113,Q210:Q211),COUNT(N$113:Q210)+1,""))</f>
        <v/>
      </c>
      <c r="Q211" s="199" t="str">
        <f>IF(O210=O$113,IF(COUNTA(L$111:L210)-2&lt;DMAX(F$113:J$403,F$113,Q209:Q210),O$113,""),IF(Q210&lt;&gt;"",IF(COUNTA(L$111:L210)-2&lt;DMAX(F$113:J$403,F$113,O209:O210),Protokoll!I$1,""),""))</f>
        <v/>
      </c>
      <c r="T211" s="331" t="str">
        <f>IF(OR(Protokoll!$X$5&lt;&gt;"",Lokalbeskrivn!$M$4&lt;&gt;""),"",U211)</f>
        <v/>
      </c>
      <c r="U211" s="330" t="s">
        <v>1314</v>
      </c>
      <c r="V211" s="351" t="s">
        <v>1313</v>
      </c>
      <c r="W211" s="2"/>
      <c r="Y211" s="401" t="s">
        <v>1791</v>
      </c>
      <c r="Z211" s="401" t="s">
        <v>1792</v>
      </c>
      <c r="AB211" s="472" t="str">
        <f>IF(COUNT(AB203:AB210)&gt;0,MAX(AB203:AB210)+1,"")</f>
        <v/>
      </c>
      <c r="AC211" s="433" t="str">
        <f>IF(AND(AH211&lt;&gt;"",AG211&lt;&gt;"",AI211&gt;0,AH211&gt;0),MAX(AC$2:AC210)+1,"XX")</f>
        <v>XX</v>
      </c>
      <c r="AD211" s="429" t="str">
        <f>IF('Antal &amp; Längder (vikter)'!$C$23&lt;&gt;"",'Antal &amp; Längder (vikter)'!$C$23,"XX")</f>
        <v>XX</v>
      </c>
      <c r="AE211" s="406" t="str">
        <f>IF(AND('Antal &amp; Längder (vikter)'!J$25&lt;&gt;"",ISNUMBER($AH211)),'Antal &amp; Längder (vikter)'!J$25,"")</f>
        <v/>
      </c>
      <c r="AF211" s="425" t="str">
        <f t="shared" si="8"/>
        <v/>
      </c>
      <c r="AG211" s="426" t="str">
        <f t="shared" si="9"/>
        <v/>
      </c>
      <c r="AH211" s="407" t="str">
        <f>IF('Antal &amp; Längder (vikter)'!J35&lt;&gt;"",'Antal &amp; Längder (vikter)'!J35,"XX")</f>
        <v>XX</v>
      </c>
      <c r="AI211" s="436">
        <f>IF('Antal &amp; Längder (vikter)'!K$26="Vikt (g)",'Antal &amp; Längder (vikter)'!K35,-9)</f>
        <v>-9</v>
      </c>
    </row>
    <row r="212" spans="5:35" x14ac:dyDescent="0.25">
      <c r="E212" s="2"/>
      <c r="F212" s="199">
        <f>COUNTIF(J$113:J212,J212)</f>
        <v>9</v>
      </c>
      <c r="G212" t="s">
        <v>230</v>
      </c>
      <c r="H212" s="330">
        <v>1715</v>
      </c>
      <c r="I212" s="330">
        <v>17</v>
      </c>
      <c r="J212" t="s">
        <v>131</v>
      </c>
      <c r="K212" s="143"/>
      <c r="L212" s="220" t="str">
        <f>IF(Protokoll!I$1&lt;&gt;"",IF(N211=N$113,IF(AND(DMAX(F$113:J$403,F$113,O211:O212)&gt;COUNTA(L$111:L211)-2,DCOUNTA(F$113:J$403,G$113,N211:O212)=1),DGET(F$113:J$403,G$113,N211:O212),""),IF(AND(DMAX(F$113:J$403,F$113,Q211:Q212)&gt;COUNTA(L$111:L211)-2,DCOUNTA(F$113:J$403,G$113,P211:Q212)=1),DGET(F$113:J$403,G$113,P211:Q212),"")),G212)</f>
        <v/>
      </c>
      <c r="M212" s="143"/>
      <c r="N212" s="221" t="str">
        <f>IF(N211=N$113,IF(COUNT(N$113:Q211)&lt;DMAX(F$113:J$403,F$113,O211:O212),COUNT(N$113:Q211)+1,""),IF(COUNT(N$113:Q211)&lt;DMAX(F$113:J$403,F$113,Q211:Q212),N$113,""))</f>
        <v/>
      </c>
      <c r="O212" s="222" t="str">
        <f>IF(O211=O$113,IF(COUNTA(L$111:L211)-2&lt;DMAX(F$113:J$403,F$113,Q210:Q211),Protokoll!I$1,""),IF(O211&lt;&gt;"",IF(COUNTA(L$111:L211)-1&lt;DMAX(F$113:J$403,F$113,O210:O211),O$113,""),""))</f>
        <v/>
      </c>
      <c r="P212" s="223" t="str">
        <f>IF(N211=N$113,IF(COUNT(N$113:Q211)&lt;DMAX(F$113:J$403,F$113,O211:O212),N$113,""),IF(COUNT(N$113:Q211)&lt;DMAX(F$113:J$403,F$113,Q211:Q212),COUNT(N$113:Q211)+1,""))</f>
        <v/>
      </c>
      <c r="Q212" s="199" t="str">
        <f>IF(O211=O$113,IF(COUNTA(L$111:L211)-2&lt;DMAX(F$113:J$403,F$113,Q210:Q211),O$113,""),IF(Q211&lt;&gt;"",IF(COUNTA(L$111:L211)-2&lt;DMAX(F$113:J$403,F$113,O210:O211),Protokoll!I$1,""),""))</f>
        <v/>
      </c>
      <c r="T212" s="331" t="str">
        <f>IF(OR(Protokoll!$X$5&lt;&gt;"",Lokalbeskrivn!$M$4&lt;&gt;""),"",U212)</f>
        <v/>
      </c>
      <c r="U212" s="330" t="s">
        <v>1316</v>
      </c>
      <c r="V212" s="351" t="s">
        <v>1315</v>
      </c>
      <c r="W212" s="2"/>
      <c r="Y212" s="401" t="s">
        <v>1819</v>
      </c>
      <c r="Z212" s="401" t="s">
        <v>1820</v>
      </c>
      <c r="AB212" s="479" t="str">
        <f>IF(COUNT(AB203:AB211)&gt;0,MAX(AB203:AB211)+1,"")</f>
        <v/>
      </c>
      <c r="AC212" s="433" t="str">
        <f>IF(AND(AH212&lt;&gt;"",AG212&lt;&gt;"",AI212&gt;0,AH212&gt;0),MAX(AC$2:AC211)+1,"XX")</f>
        <v>XX</v>
      </c>
      <c r="AD212" s="429" t="str">
        <f>IF('Antal &amp; Längder (vikter)'!$C$23&lt;&gt;"",'Antal &amp; Längder (vikter)'!$C$23,"XX")</f>
        <v>XX</v>
      </c>
      <c r="AE212" s="406" t="str">
        <f>IF(AND('Antal &amp; Längder (vikter)'!J$25&lt;&gt;"",ISNUMBER($AH212)),'Antal &amp; Längder (vikter)'!J$25,"")</f>
        <v/>
      </c>
      <c r="AF212" s="425" t="str">
        <f t="shared" si="8"/>
        <v/>
      </c>
      <c r="AG212" s="426" t="str">
        <f t="shared" si="9"/>
        <v/>
      </c>
      <c r="AH212" s="407" t="str">
        <f>IF('Antal &amp; Längder (vikter)'!J36&lt;&gt;"",'Antal &amp; Längder (vikter)'!J36,"XX")</f>
        <v>XX</v>
      </c>
      <c r="AI212" s="436">
        <f>IF('Antal &amp; Längder (vikter)'!K$26="Vikt (g)",'Antal &amp; Längder (vikter)'!K36,-9)</f>
        <v>-9</v>
      </c>
    </row>
    <row r="213" spans="5:35" x14ac:dyDescent="0.25">
      <c r="E213" s="2"/>
      <c r="F213" s="199">
        <f>COUNTIF(J$113:J213,J213)</f>
        <v>3</v>
      </c>
      <c r="G213" t="s">
        <v>231</v>
      </c>
      <c r="H213" s="330">
        <v>513</v>
      </c>
      <c r="I213" s="330">
        <v>5</v>
      </c>
      <c r="J213" t="s">
        <v>150</v>
      </c>
      <c r="K213" s="143"/>
      <c r="L213" s="220" t="str">
        <f>IF(Protokoll!I$1&lt;&gt;"",IF(N212=N$113,IF(AND(DMAX(F$113:J$403,F$113,O212:O213)&gt;COUNTA(L$111:L212)-2,DCOUNTA(F$113:J$403,G$113,N212:O213)=1),DGET(F$113:J$403,G$113,N212:O213),""),IF(AND(DMAX(F$113:J$403,F$113,Q212:Q213)&gt;COUNTA(L$111:L212)-2,DCOUNTA(F$113:J$403,G$113,P212:Q213)=1),DGET(F$113:J$403,G$113,P212:Q213),"")),G213)</f>
        <v/>
      </c>
      <c r="M213" s="143"/>
      <c r="N213" s="221" t="str">
        <f>IF(N212=N$113,IF(COUNT(N$113:Q212)&lt;DMAX(F$113:J$403,F$113,O212:O213),COUNT(N$113:Q212)+1,""),IF(COUNT(N$113:Q212)&lt;DMAX(F$113:J$403,F$113,Q212:Q213),N$113,""))</f>
        <v/>
      </c>
      <c r="O213" s="222" t="str">
        <f>IF(O212=O$113,IF(COUNTA(L$111:L212)-2&lt;DMAX(F$113:J$403,F$113,Q211:Q212),Protokoll!I$1,""),IF(O212&lt;&gt;"",IF(COUNTA(L$111:L212)-1&lt;DMAX(F$113:J$403,F$113,O211:O212),O$113,""),""))</f>
        <v/>
      </c>
      <c r="P213" s="223" t="str">
        <f>IF(N212=N$113,IF(COUNT(N$113:Q212)&lt;DMAX(F$113:J$403,F$113,O212:O213),N$113,""),IF(COUNT(N$113:Q212)&lt;DMAX(F$113:J$403,F$113,Q212:Q213),COUNT(N$113:Q212)+1,""))</f>
        <v/>
      </c>
      <c r="Q213" s="199" t="str">
        <f>IF(O212=O$113,IF(COUNTA(L$111:L212)-2&lt;DMAX(F$113:J$403,F$113,Q211:Q212),O$113,""),IF(Q212&lt;&gt;"",IF(COUNTA(L$111:L212)-2&lt;DMAX(F$113:J$403,F$113,O211:O212),Protokoll!I$1,""),""))</f>
        <v/>
      </c>
      <c r="T213" s="331" t="str">
        <f>IF(OR(Protokoll!$X$5&lt;&gt;"",Lokalbeskrivn!$M$4&lt;&gt;""),"",U213)</f>
        <v/>
      </c>
      <c r="U213" s="330" t="s">
        <v>1318</v>
      </c>
      <c r="V213" s="351" t="s">
        <v>1317</v>
      </c>
      <c r="W213" s="2"/>
      <c r="Y213" s="401" t="s">
        <v>1833</v>
      </c>
      <c r="Z213" s="401" t="s">
        <v>1834</v>
      </c>
      <c r="AB213" s="480" t="str">
        <f>IF(AND(ISNUMBER(AH213),AH213&gt;0),IF(MAX(AB$3:AB212)&gt;0,MAX(AB$3:AB212)+1,10+COUNTIF(F$38:F$49,"&gt;0")*10+1),"")</f>
        <v/>
      </c>
      <c r="AC213" s="433" t="str">
        <f>IF(AND(AH213&lt;&gt;"",AG213&lt;&gt;"",AI213&gt;0,AH213&gt;0),MAX(AC$2:AC212)+1,"XX")</f>
        <v>XX</v>
      </c>
      <c r="AD213" s="429" t="str">
        <f>IF('Antal &amp; Längder (vikter)'!$C$23&lt;&gt;"",'Antal &amp; Längder (vikter)'!$C$23,"XX")</f>
        <v>XX</v>
      </c>
      <c r="AE213" s="406" t="str">
        <f>IF(AND('Antal &amp; Längder (vikter)'!J$25&lt;&gt;"",ISNUMBER($AH213)),'Antal &amp; Längder (vikter)'!J$25,"")</f>
        <v/>
      </c>
      <c r="AF213" s="425" t="str">
        <f t="shared" si="8"/>
        <v/>
      </c>
      <c r="AG213" s="426" t="str">
        <f t="shared" si="9"/>
        <v/>
      </c>
      <c r="AH213" s="409" t="str">
        <f>IF('Antal &amp; Längder (vikter)'!K$26="Längd (mm)",IF('Antal &amp; Längder (vikter)'!K27&lt;&gt;"",'Antal &amp; Längder (vikter)'!K27,"XX"),"XX")</f>
        <v>XX</v>
      </c>
      <c r="AI213" s="7">
        <v>-9</v>
      </c>
    </row>
    <row r="214" spans="5:35" x14ac:dyDescent="0.25">
      <c r="E214" s="2"/>
      <c r="F214" s="199">
        <f>COUNTIF(J$113:J214,J214)</f>
        <v>8</v>
      </c>
      <c r="G214" t="s">
        <v>232</v>
      </c>
      <c r="H214" s="330">
        <v>2584</v>
      </c>
      <c r="I214" s="330">
        <v>25</v>
      </c>
      <c r="J214" t="s">
        <v>127</v>
      </c>
      <c r="K214" s="143"/>
      <c r="L214" s="220" t="str">
        <f>IF(Protokoll!I$1&lt;&gt;"",IF(N213=N$113,IF(AND(DMAX(F$113:J$403,F$113,O213:O214)&gt;COUNTA(L$111:L213)-2,DCOUNTA(F$113:J$403,G$113,N213:O214)=1),DGET(F$113:J$403,G$113,N213:O214),""),IF(AND(DMAX(F$113:J$403,F$113,Q213:Q214)&gt;COUNTA(L$111:L213)-2,DCOUNTA(F$113:J$403,G$113,P213:Q214)=1),DGET(F$113:J$403,G$113,P213:Q214),"")),G214)</f>
        <v/>
      </c>
      <c r="M214" s="143"/>
      <c r="N214" s="221" t="str">
        <f>IF(N213=N$113,IF(COUNT(N$113:Q213)&lt;DMAX(F$113:J$403,F$113,O213:O214),COUNT(N$113:Q213)+1,""),IF(COUNT(N$113:Q213)&lt;DMAX(F$113:J$403,F$113,Q213:Q214),N$113,""))</f>
        <v/>
      </c>
      <c r="O214" s="222" t="str">
        <f>IF(O213=O$113,IF(COUNTA(L$111:L213)-2&lt;DMAX(F$113:J$403,F$113,Q212:Q213),Protokoll!I$1,""),IF(O213&lt;&gt;"",IF(COUNTA(L$111:L213)-1&lt;DMAX(F$113:J$403,F$113,O212:O213),O$113,""),""))</f>
        <v/>
      </c>
      <c r="P214" s="223" t="str">
        <f>IF(N213=N$113,IF(COUNT(N$113:Q213)&lt;DMAX(F$113:J$403,F$113,O213:O214),N$113,""),IF(COUNT(N$113:Q213)&lt;DMAX(F$113:J$403,F$113,Q213:Q214),COUNT(N$113:Q213)+1,""))</f>
        <v/>
      </c>
      <c r="Q214" s="199" t="str">
        <f>IF(O213=O$113,IF(COUNTA(L$111:L213)-2&lt;DMAX(F$113:J$403,F$113,Q212:Q213),O$113,""),IF(Q213&lt;&gt;"",IF(COUNTA(L$111:L213)-2&lt;DMAX(F$113:J$403,F$113,O212:O213),Protokoll!I$1,""),""))</f>
        <v/>
      </c>
      <c r="T214" s="331" t="str">
        <f>IF(OR(Protokoll!$X$5&lt;&gt;"",Lokalbeskrivn!$M$4&lt;&gt;""),"",U214)</f>
        <v/>
      </c>
      <c r="U214" s="330" t="s">
        <v>1320</v>
      </c>
      <c r="V214" s="351" t="s">
        <v>1319</v>
      </c>
      <c r="W214" s="2"/>
      <c r="Y214" s="401" t="s">
        <v>1829</v>
      </c>
      <c r="Z214" s="401" t="s">
        <v>1830</v>
      </c>
      <c r="AB214" s="476" t="str">
        <f>IF(COUNT(AB213:AB213)&gt;0,MAX(AB213:AB213)+1,"")</f>
        <v/>
      </c>
      <c r="AC214" s="433" t="str">
        <f>IF(AND(AH214&lt;&gt;"",AG214&lt;&gt;"",AI214&gt;0,AH214&gt;0),MAX(AC$2:AC213)+1,"XX")</f>
        <v>XX</v>
      </c>
      <c r="AD214" s="429" t="str">
        <f>IF('Antal &amp; Längder (vikter)'!$C$23&lt;&gt;"",'Antal &amp; Längder (vikter)'!$C$23,"XX")</f>
        <v>XX</v>
      </c>
      <c r="AE214" s="406" t="str">
        <f>IF(AND('Antal &amp; Längder (vikter)'!J$25&lt;&gt;"",ISNUMBER($AH214)),'Antal &amp; Längder (vikter)'!J$25,"")</f>
        <v/>
      </c>
      <c r="AF214" s="425" t="str">
        <f t="shared" si="8"/>
        <v/>
      </c>
      <c r="AG214" s="426" t="str">
        <f t="shared" si="9"/>
        <v/>
      </c>
      <c r="AH214" s="409" t="str">
        <f>IF('Antal &amp; Längder (vikter)'!K$26="Längd (mm)",IF('Antal &amp; Längder (vikter)'!K28&lt;&gt;"",'Antal &amp; Längder (vikter)'!K28,"XX"),"XX")</f>
        <v>XX</v>
      </c>
      <c r="AI214" s="7">
        <v>-9</v>
      </c>
    </row>
    <row r="215" spans="5:35" x14ac:dyDescent="0.25">
      <c r="E215" s="2"/>
      <c r="F215" s="199">
        <f>COUNTIF(J$113:J215,J215)</f>
        <v>11</v>
      </c>
      <c r="G215" t="s">
        <v>233</v>
      </c>
      <c r="H215" s="330">
        <v>1276</v>
      </c>
      <c r="I215" s="330">
        <v>12</v>
      </c>
      <c r="J215" t="s">
        <v>134</v>
      </c>
      <c r="K215" s="143"/>
      <c r="L215" s="220" t="str">
        <f>IF(Protokoll!I$1&lt;&gt;"",IF(N214=N$113,IF(AND(DMAX(F$113:J$403,F$113,O214:O215)&gt;COUNTA(L$111:L214)-2,DCOUNTA(F$113:J$403,G$113,N214:O215)=1),DGET(F$113:J$403,G$113,N214:O215),""),IF(AND(DMAX(F$113:J$403,F$113,Q214:Q215)&gt;COUNTA(L$111:L214)-2,DCOUNTA(F$113:J$403,G$113,P214:Q215)=1),DGET(F$113:J$403,G$113,P214:Q215),"")),G215)</f>
        <v/>
      </c>
      <c r="M215" s="143"/>
      <c r="N215" s="221" t="str">
        <f>IF(N214=N$113,IF(COUNT(N$113:Q214)&lt;DMAX(F$113:J$403,F$113,O214:O215),COUNT(N$113:Q214)+1,""),IF(COUNT(N$113:Q214)&lt;DMAX(F$113:J$403,F$113,Q214:Q215),N$113,""))</f>
        <v/>
      </c>
      <c r="O215" s="222" t="str">
        <f>IF(O214=O$113,IF(COUNTA(L$111:L214)-2&lt;DMAX(F$113:J$403,F$113,Q213:Q214),Protokoll!I$1,""),IF(O214&lt;&gt;"",IF(COUNTA(L$111:L214)-1&lt;DMAX(F$113:J$403,F$113,O213:O214),O$113,""),""))</f>
        <v/>
      </c>
      <c r="P215" s="223" t="str">
        <f>IF(N214=N$113,IF(COUNT(N$113:Q214)&lt;DMAX(F$113:J$403,F$113,O214:O215),N$113,""),IF(COUNT(N$113:Q214)&lt;DMAX(F$113:J$403,F$113,Q214:Q215),COUNT(N$113:Q214)+1,""))</f>
        <v/>
      </c>
      <c r="Q215" s="199" t="str">
        <f>IF(O214=O$113,IF(COUNTA(L$111:L214)-2&lt;DMAX(F$113:J$403,F$113,Q213:Q214),O$113,""),IF(Q214&lt;&gt;"",IF(COUNTA(L$111:L214)-2&lt;DMAX(F$113:J$403,F$113,O213:O214),Protokoll!I$1,""),""))</f>
        <v/>
      </c>
      <c r="T215" s="331" t="str">
        <f>IF(OR(Protokoll!$X$5&lt;&gt;"",Lokalbeskrivn!$M$4&lt;&gt;""),"",U215)</f>
        <v/>
      </c>
      <c r="U215" s="330" t="s">
        <v>1322</v>
      </c>
      <c r="V215" s="351" t="s">
        <v>1321</v>
      </c>
      <c r="W215" s="2"/>
      <c r="Y215" s="401" t="s">
        <v>1823</v>
      </c>
      <c r="Z215" s="401" t="s">
        <v>1824</v>
      </c>
      <c r="AB215" s="477" t="str">
        <f>IF(COUNT(AB213:AB214)&gt;0,MAX(AB213:AB214)+1,"")</f>
        <v/>
      </c>
      <c r="AC215" s="433" t="str">
        <f>IF(AND(AH215&lt;&gt;"",AG215&lt;&gt;"",AI215&gt;0,AH215&gt;0),MAX(AC$2:AC214)+1,"XX")</f>
        <v>XX</v>
      </c>
      <c r="AD215" s="429" t="str">
        <f>IF('Antal &amp; Längder (vikter)'!$C$23&lt;&gt;"",'Antal &amp; Längder (vikter)'!$C$23,"XX")</f>
        <v>XX</v>
      </c>
      <c r="AE215" s="406" t="str">
        <f>IF(AND('Antal &amp; Längder (vikter)'!J$25&lt;&gt;"",ISNUMBER($AH215)),'Antal &amp; Längder (vikter)'!J$25,"")</f>
        <v/>
      </c>
      <c r="AF215" s="425" t="str">
        <f t="shared" si="8"/>
        <v/>
      </c>
      <c r="AG215" s="426" t="str">
        <f t="shared" si="9"/>
        <v/>
      </c>
      <c r="AH215" s="409" t="str">
        <f>IF('Antal &amp; Längder (vikter)'!K$26="Längd (mm)",IF('Antal &amp; Längder (vikter)'!K29&lt;&gt;"",'Antal &amp; Längder (vikter)'!K29,"XX"),"XX")</f>
        <v>XX</v>
      </c>
      <c r="AI215" s="7">
        <v>-9</v>
      </c>
    </row>
    <row r="216" spans="5:35" x14ac:dyDescent="0.25">
      <c r="E216" s="2"/>
      <c r="F216" s="199">
        <f>COUNTIF(J$113:J216,J216)</f>
        <v>3</v>
      </c>
      <c r="G216" t="s">
        <v>388</v>
      </c>
      <c r="H216" s="330">
        <v>330</v>
      </c>
      <c r="I216" s="330">
        <v>3</v>
      </c>
      <c r="J216" t="s">
        <v>140</v>
      </c>
      <c r="K216" s="143"/>
      <c r="L216" s="220" t="str">
        <f>IF(Protokoll!I$1&lt;&gt;"",IF(N215=N$113,IF(AND(DMAX(F$113:J$403,F$113,O215:O216)&gt;COUNTA(L$111:L215)-2,DCOUNTA(F$113:J$403,G$113,N215:O216)=1),DGET(F$113:J$403,G$113,N215:O216),""),IF(AND(DMAX(F$113:J$403,F$113,Q215:Q216)&gt;COUNTA(L$111:L215)-2,DCOUNTA(F$113:J$403,G$113,P215:Q216)=1),DGET(F$113:J$403,G$113,P215:Q216),"")),G216)</f>
        <v/>
      </c>
      <c r="M216" s="143"/>
      <c r="N216" s="221" t="str">
        <f>IF(N215=N$113,IF(COUNT(N$113:Q215)&lt;DMAX(F$113:J$403,F$113,O215:O216),COUNT(N$113:Q215)+1,""),IF(COUNT(N$113:Q215)&lt;DMAX(F$113:J$403,F$113,Q215:Q216),N$113,""))</f>
        <v/>
      </c>
      <c r="O216" s="222" t="str">
        <f>IF(O215=O$113,IF(COUNTA(L$111:L215)-2&lt;DMAX(F$113:J$403,F$113,Q214:Q215),Protokoll!I$1,""),IF(O215&lt;&gt;"",IF(COUNTA(L$111:L215)-1&lt;DMAX(F$113:J$403,F$113,O214:O215),O$113,""),""))</f>
        <v/>
      </c>
      <c r="P216" s="223" t="str">
        <f>IF(N215=N$113,IF(COUNT(N$113:Q215)&lt;DMAX(F$113:J$403,F$113,O215:O216),N$113,""),IF(COUNT(N$113:Q215)&lt;DMAX(F$113:J$403,F$113,Q215:Q216),COUNT(N$113:Q215)+1,""))</f>
        <v/>
      </c>
      <c r="Q216" s="199" t="str">
        <f>IF(O215=O$113,IF(COUNTA(L$111:L215)-2&lt;DMAX(F$113:J$403,F$113,Q214:Q215),O$113,""),IF(Q215&lt;&gt;"",IF(COUNTA(L$111:L215)-2&lt;DMAX(F$113:J$403,F$113,O214:O215),Protokoll!I$1,""),""))</f>
        <v/>
      </c>
      <c r="T216" s="331" t="str">
        <f>IF(OR(Protokoll!$X$5&lt;&gt;"",Lokalbeskrivn!$M$4&lt;&gt;""),"",U216)</f>
        <v/>
      </c>
      <c r="U216" s="330" t="s">
        <v>1324</v>
      </c>
      <c r="V216" s="351" t="s">
        <v>1323</v>
      </c>
      <c r="W216" s="2"/>
      <c r="Y216" s="401" t="s">
        <v>1813</v>
      </c>
      <c r="Z216" s="401" t="s">
        <v>1814</v>
      </c>
      <c r="AB216" s="434" t="str">
        <f>IF(COUNT(AB213:AB215)&gt;0,MAX(AB213:AB215)+1,"")</f>
        <v/>
      </c>
      <c r="AC216" s="433" t="str">
        <f>IF(AND(AH216&lt;&gt;"",AG216&lt;&gt;"",AI216&gt;0,AH216&gt;0),MAX(AC$2:AC215)+1,"XX")</f>
        <v>XX</v>
      </c>
      <c r="AD216" s="429" t="str">
        <f>IF('Antal &amp; Längder (vikter)'!$C$23&lt;&gt;"",'Antal &amp; Längder (vikter)'!$C$23,"XX")</f>
        <v>XX</v>
      </c>
      <c r="AE216" s="406" t="str">
        <f>IF(AND('Antal &amp; Längder (vikter)'!J$25&lt;&gt;"",ISNUMBER($AH216)),'Antal &amp; Längder (vikter)'!J$25,"")</f>
        <v/>
      </c>
      <c r="AF216" s="425" t="str">
        <f t="shared" si="8"/>
        <v/>
      </c>
      <c r="AG216" s="426" t="str">
        <f t="shared" si="9"/>
        <v/>
      </c>
      <c r="AH216" s="409" t="str">
        <f>IF('Antal &amp; Längder (vikter)'!K$26="Längd (mm)",IF('Antal &amp; Längder (vikter)'!K30&lt;&gt;"",'Antal &amp; Längder (vikter)'!K30,"XX"),"XX")</f>
        <v>XX</v>
      </c>
      <c r="AI216" s="7">
        <v>-9</v>
      </c>
    </row>
    <row r="217" spans="5:35" x14ac:dyDescent="0.25">
      <c r="E217" s="2"/>
      <c r="F217" s="199">
        <f>COUNTIF(J$113:J217,J217)</f>
        <v>2</v>
      </c>
      <c r="G217" t="s">
        <v>234</v>
      </c>
      <c r="H217" s="330">
        <v>2282</v>
      </c>
      <c r="I217" s="330">
        <v>22</v>
      </c>
      <c r="J217" t="s">
        <v>145</v>
      </c>
      <c r="K217" s="143"/>
      <c r="L217" s="220" t="str">
        <f>IF(Protokoll!I$1&lt;&gt;"",IF(N216=N$113,IF(AND(DMAX(F$113:J$403,F$113,O216:O217)&gt;COUNTA(L$111:L216)-2,DCOUNTA(F$113:J$403,G$113,N216:O217)=1),DGET(F$113:J$403,G$113,N216:O217),""),IF(AND(DMAX(F$113:J$403,F$113,Q216:Q217)&gt;COUNTA(L$111:L216)-2,DCOUNTA(F$113:J$403,G$113,P216:Q217)=1),DGET(F$113:J$403,G$113,P216:Q217),"")),G217)</f>
        <v/>
      </c>
      <c r="M217" s="143"/>
      <c r="N217" s="221" t="str">
        <f>IF(N216=N$113,IF(COUNT(N$113:Q216)&lt;DMAX(F$113:J$403,F$113,O216:O217),COUNT(N$113:Q216)+1,""),IF(COUNT(N$113:Q216)&lt;DMAX(F$113:J$403,F$113,Q216:Q217),N$113,""))</f>
        <v/>
      </c>
      <c r="O217" s="222" t="str">
        <f>IF(O216=O$113,IF(COUNTA(L$111:L216)-2&lt;DMAX(F$113:J$403,F$113,Q215:Q216),Protokoll!I$1,""),IF(O216&lt;&gt;"",IF(COUNTA(L$111:L216)-1&lt;DMAX(F$113:J$403,F$113,O215:O216),O$113,""),""))</f>
        <v/>
      </c>
      <c r="P217" s="223" t="str">
        <f>IF(N216=N$113,IF(COUNT(N$113:Q216)&lt;DMAX(F$113:J$403,F$113,O216:O217),N$113,""),IF(COUNT(N$113:Q216)&lt;DMAX(F$113:J$403,F$113,Q216:Q217),COUNT(N$113:Q216)+1,""))</f>
        <v/>
      </c>
      <c r="Q217" s="199" t="str">
        <f>IF(O216=O$113,IF(COUNTA(L$111:L216)-2&lt;DMAX(F$113:J$403,F$113,Q215:Q216),O$113,""),IF(Q216&lt;&gt;"",IF(COUNTA(L$111:L216)-2&lt;DMAX(F$113:J$403,F$113,O215:O216),Protokoll!I$1,""),""))</f>
        <v/>
      </c>
      <c r="T217" s="331" t="str">
        <f>IF(OR(Protokoll!$X$5&lt;&gt;"",Lokalbeskrivn!$M$4&lt;&gt;""),"",U217)</f>
        <v/>
      </c>
      <c r="U217" s="330" t="s">
        <v>1326</v>
      </c>
      <c r="V217" s="351" t="s">
        <v>1325</v>
      </c>
      <c r="W217" s="2"/>
      <c r="Y217" s="401" t="s">
        <v>1815</v>
      </c>
      <c r="Z217" s="401" t="s">
        <v>1816</v>
      </c>
      <c r="AB217" s="475" t="str">
        <f>IF(COUNT(AB213:AB216)&gt;0,MAX(AB213:AB216)+1,"")</f>
        <v/>
      </c>
      <c r="AC217" s="433" t="str">
        <f>IF(AND(AH217&lt;&gt;"",AG217&lt;&gt;"",AI217&gt;0,AH217&gt;0),MAX(AC$2:AC216)+1,"XX")</f>
        <v>XX</v>
      </c>
      <c r="AD217" s="429" t="str">
        <f>IF('Antal &amp; Längder (vikter)'!$C$23&lt;&gt;"",'Antal &amp; Längder (vikter)'!$C$23,"XX")</f>
        <v>XX</v>
      </c>
      <c r="AE217" s="406" t="str">
        <f>IF(AND('Antal &amp; Längder (vikter)'!J$25&lt;&gt;"",ISNUMBER($AH217)),'Antal &amp; Längder (vikter)'!J$25,"")</f>
        <v/>
      </c>
      <c r="AF217" s="425" t="str">
        <f t="shared" si="8"/>
        <v/>
      </c>
      <c r="AG217" s="426" t="str">
        <f t="shared" si="9"/>
        <v/>
      </c>
      <c r="AH217" s="409" t="str">
        <f>IF('Antal &amp; Längder (vikter)'!K$26="Längd (mm)",IF('Antal &amp; Längder (vikter)'!K31&lt;&gt;"",'Antal &amp; Längder (vikter)'!K31,"XX"),"XX")</f>
        <v>XX</v>
      </c>
      <c r="AI217" s="7">
        <v>-9</v>
      </c>
    </row>
    <row r="218" spans="5:35" x14ac:dyDescent="0.25">
      <c r="E218" s="2"/>
      <c r="F218" s="199">
        <f>COUNTIF(J$113:J218,J218)</f>
        <v>12</v>
      </c>
      <c r="G218" t="s">
        <v>235</v>
      </c>
      <c r="H218" s="330">
        <v>1290</v>
      </c>
      <c r="I218" s="330">
        <v>12</v>
      </c>
      <c r="J218" t="s">
        <v>134</v>
      </c>
      <c r="K218" s="143"/>
      <c r="L218" s="220" t="str">
        <f>IF(Protokoll!I$1&lt;&gt;"",IF(N217=N$113,IF(AND(DMAX(F$113:J$403,F$113,O217:O218)&gt;COUNTA(L$111:L217)-2,DCOUNTA(F$113:J$403,G$113,N217:O218)=1),DGET(F$113:J$403,G$113,N217:O218),""),IF(AND(DMAX(F$113:J$403,F$113,Q217:Q218)&gt;COUNTA(L$111:L217)-2,DCOUNTA(F$113:J$403,G$113,P217:Q218)=1),DGET(F$113:J$403,G$113,P217:Q218),"")),G218)</f>
        <v/>
      </c>
      <c r="M218" s="143"/>
      <c r="N218" s="221" t="str">
        <f>IF(N217=N$113,IF(COUNT(N$113:Q217)&lt;DMAX(F$113:J$403,F$113,O217:O218),COUNT(N$113:Q217)+1,""),IF(COUNT(N$113:Q217)&lt;DMAX(F$113:J$403,F$113,Q217:Q218),N$113,""))</f>
        <v/>
      </c>
      <c r="O218" s="222" t="str">
        <f>IF(O217=O$113,IF(COUNTA(L$111:L217)-2&lt;DMAX(F$113:J$403,F$113,Q216:Q217),Protokoll!I$1,""),IF(O217&lt;&gt;"",IF(COUNTA(L$111:L217)-1&lt;DMAX(F$113:J$403,F$113,O216:O217),O$113,""),""))</f>
        <v/>
      </c>
      <c r="P218" s="223" t="str">
        <f>IF(N217=N$113,IF(COUNT(N$113:Q217)&lt;DMAX(F$113:J$403,F$113,O217:O218),N$113,""),IF(COUNT(N$113:Q217)&lt;DMAX(F$113:J$403,F$113,Q217:Q218),COUNT(N$113:Q217)+1,""))</f>
        <v/>
      </c>
      <c r="Q218" s="199" t="str">
        <f>IF(O217=O$113,IF(COUNTA(L$111:L217)-2&lt;DMAX(F$113:J$403,F$113,Q216:Q217),O$113,""),IF(Q217&lt;&gt;"",IF(COUNTA(L$111:L217)-2&lt;DMAX(F$113:J$403,F$113,O216:O217),Protokoll!I$1,""),""))</f>
        <v/>
      </c>
      <c r="T218" s="331" t="str">
        <f>IF(OR(Protokoll!$X$5&lt;&gt;"",Lokalbeskrivn!$M$4&lt;&gt;""),"",U218)</f>
        <v/>
      </c>
      <c r="U218" s="330" t="s">
        <v>1328</v>
      </c>
      <c r="V218" s="351" t="s">
        <v>1327</v>
      </c>
      <c r="W218" s="2"/>
      <c r="Y218" s="401" t="s">
        <v>1821</v>
      </c>
      <c r="Z218" s="401" t="s">
        <v>1822</v>
      </c>
      <c r="AB218" s="471" t="str">
        <f>IF(COUNT(AB213:AB217)&gt;0,MAX(AB213:AB217)+1,"")</f>
        <v/>
      </c>
      <c r="AC218" s="433" t="str">
        <f>IF(AND(AH218&lt;&gt;"",AG218&lt;&gt;"",AI218&gt;0,AH218&gt;0),MAX(AC$2:AC217)+1,"XX")</f>
        <v>XX</v>
      </c>
      <c r="AD218" s="429" t="str">
        <f>IF('Antal &amp; Längder (vikter)'!$C$23&lt;&gt;"",'Antal &amp; Längder (vikter)'!$C$23,"XX")</f>
        <v>XX</v>
      </c>
      <c r="AE218" s="406" t="str">
        <f>IF(AND('Antal &amp; Längder (vikter)'!J$25&lt;&gt;"",ISNUMBER($AH218)),'Antal &amp; Längder (vikter)'!J$25,"")</f>
        <v/>
      </c>
      <c r="AF218" s="425" t="str">
        <f t="shared" si="8"/>
        <v/>
      </c>
      <c r="AG218" s="426" t="str">
        <f t="shared" si="9"/>
        <v/>
      </c>
      <c r="AH218" s="409" t="str">
        <f>IF('Antal &amp; Längder (vikter)'!K$26="Längd (mm)",IF('Antal &amp; Längder (vikter)'!K32&lt;&gt;"",'Antal &amp; Längder (vikter)'!K32,"XX"),"XX")</f>
        <v>XX</v>
      </c>
      <c r="AI218" s="7">
        <v>-9</v>
      </c>
    </row>
    <row r="219" spans="5:35" x14ac:dyDescent="0.25">
      <c r="E219" s="2"/>
      <c r="F219" s="199">
        <f>COUNTIF(J$113:J219,J219)</f>
        <v>10</v>
      </c>
      <c r="G219" t="s">
        <v>236</v>
      </c>
      <c r="H219" s="330">
        <v>1781</v>
      </c>
      <c r="I219" s="330">
        <v>17</v>
      </c>
      <c r="J219" t="s">
        <v>131</v>
      </c>
      <c r="K219" s="143"/>
      <c r="L219" s="220" t="str">
        <f>IF(Protokoll!I$1&lt;&gt;"",IF(N218=N$113,IF(AND(DMAX(F$113:J$403,F$113,O218:O219)&gt;COUNTA(L$111:L218)-2,DCOUNTA(F$113:J$403,G$113,N218:O219)=1),DGET(F$113:J$403,G$113,N218:O219),""),IF(AND(DMAX(F$113:J$403,F$113,Q218:Q219)&gt;COUNTA(L$111:L218)-2,DCOUNTA(F$113:J$403,G$113,P218:Q219)=1),DGET(F$113:J$403,G$113,P218:Q219),"")),G219)</f>
        <v/>
      </c>
      <c r="M219" s="143"/>
      <c r="N219" s="221" t="str">
        <f>IF(N218=N$113,IF(COUNT(N$113:Q218)&lt;DMAX(F$113:J$403,F$113,O218:O219),COUNT(N$113:Q218)+1,""),IF(COUNT(N$113:Q218)&lt;DMAX(F$113:J$403,F$113,Q218:Q219),N$113,""))</f>
        <v/>
      </c>
      <c r="O219" s="222" t="str">
        <f>IF(O218=O$113,IF(COUNTA(L$111:L218)-2&lt;DMAX(F$113:J$403,F$113,Q217:Q218),Protokoll!I$1,""),IF(O218&lt;&gt;"",IF(COUNTA(L$111:L218)-1&lt;DMAX(F$113:J$403,F$113,O217:O218),O$113,""),""))</f>
        <v/>
      </c>
      <c r="P219" s="223" t="str">
        <f>IF(N218=N$113,IF(COUNT(N$113:Q218)&lt;DMAX(F$113:J$403,F$113,O218:O219),N$113,""),IF(COUNT(N$113:Q218)&lt;DMAX(F$113:J$403,F$113,Q218:Q219),COUNT(N$113:Q218)+1,""))</f>
        <v/>
      </c>
      <c r="Q219" s="199" t="str">
        <f>IF(O218=O$113,IF(COUNTA(L$111:L218)-2&lt;DMAX(F$113:J$403,F$113,Q217:Q218),O$113,""),IF(Q218&lt;&gt;"",IF(COUNTA(L$111:L218)-2&lt;DMAX(F$113:J$403,F$113,O217:O218),Protokoll!I$1,""),""))</f>
        <v/>
      </c>
      <c r="T219" s="331" t="str">
        <f>IF(OR(Protokoll!$X$5&lt;&gt;"",Lokalbeskrivn!$M$4&lt;&gt;""),"",U219)</f>
        <v/>
      </c>
      <c r="U219" s="330" t="s">
        <v>1330</v>
      </c>
      <c r="V219" s="351" t="s">
        <v>1329</v>
      </c>
      <c r="W219" s="2"/>
      <c r="Y219" s="401" t="s">
        <v>1795</v>
      </c>
      <c r="Z219" s="401" t="s">
        <v>1796</v>
      </c>
      <c r="AB219" s="474" t="str">
        <f>IF(COUNT(AB213:AB218)&gt;0,MAX(AB213:AB218)+1,"")</f>
        <v/>
      </c>
      <c r="AC219" s="433" t="str">
        <f>IF(AND(AH219&lt;&gt;"",AG219&lt;&gt;"",AI219&gt;0,AH219&gt;0),MAX(AC$2:AC218)+1,"XX")</f>
        <v>XX</v>
      </c>
      <c r="AD219" s="429" t="str">
        <f>IF('Antal &amp; Längder (vikter)'!$C$23&lt;&gt;"",'Antal &amp; Längder (vikter)'!$C$23,"XX")</f>
        <v>XX</v>
      </c>
      <c r="AE219" s="406" t="str">
        <f>IF(AND('Antal &amp; Längder (vikter)'!J$25&lt;&gt;"",ISNUMBER($AH219)),'Antal &amp; Längder (vikter)'!J$25,"")</f>
        <v/>
      </c>
      <c r="AF219" s="425" t="str">
        <f t="shared" si="8"/>
        <v/>
      </c>
      <c r="AG219" s="426" t="str">
        <f t="shared" si="9"/>
        <v/>
      </c>
      <c r="AH219" s="409" t="str">
        <f>IF('Antal &amp; Längder (vikter)'!K$26="Längd (mm)",IF('Antal &amp; Längder (vikter)'!K33&lt;&gt;"",'Antal &amp; Längder (vikter)'!K33,"XX"),"XX")</f>
        <v>XX</v>
      </c>
      <c r="AI219" s="7">
        <v>-9</v>
      </c>
    </row>
    <row r="220" spans="5:35" x14ac:dyDescent="0.25">
      <c r="E220" s="2"/>
      <c r="F220" s="199">
        <f>COUNTIF(J$113:J220,J220)</f>
        <v>4</v>
      </c>
      <c r="G220" t="s">
        <v>237</v>
      </c>
      <c r="H220" s="330">
        <v>2309</v>
      </c>
      <c r="I220" s="330">
        <v>23</v>
      </c>
      <c r="J220" t="s">
        <v>123</v>
      </c>
      <c r="K220" s="143"/>
      <c r="L220" s="220" t="str">
        <f>IF(Protokoll!I$1&lt;&gt;"",IF(N219=N$113,IF(AND(DMAX(F$113:J$403,F$113,O219:O220)&gt;COUNTA(L$111:L219)-2,DCOUNTA(F$113:J$403,G$113,N219:O220)=1),DGET(F$113:J$403,G$113,N219:O220),""),IF(AND(DMAX(F$113:J$403,F$113,Q219:Q220)&gt;COUNTA(L$111:L219)-2,DCOUNTA(F$113:J$403,G$113,P219:Q220)=1),DGET(F$113:J$403,G$113,P219:Q220),"")),G220)</f>
        <v/>
      </c>
      <c r="M220" s="143"/>
      <c r="N220" s="221" t="str">
        <f>IF(N219=N$113,IF(COUNT(N$113:Q219)&lt;DMAX(F$113:J$403,F$113,O219:O220),COUNT(N$113:Q219)+1,""),IF(COUNT(N$113:Q219)&lt;DMAX(F$113:J$403,F$113,Q219:Q220),N$113,""))</f>
        <v/>
      </c>
      <c r="O220" s="222" t="str">
        <f>IF(O219=O$113,IF(COUNTA(L$111:L219)-2&lt;DMAX(F$113:J$403,F$113,Q218:Q219),Protokoll!I$1,""),IF(O219&lt;&gt;"",IF(COUNTA(L$111:L219)-1&lt;DMAX(F$113:J$403,F$113,O218:O219),O$113,""),""))</f>
        <v/>
      </c>
      <c r="P220" s="223" t="str">
        <f>IF(N219=N$113,IF(COUNT(N$113:Q219)&lt;DMAX(F$113:J$403,F$113,O219:O220),N$113,""),IF(COUNT(N$113:Q219)&lt;DMAX(F$113:J$403,F$113,Q219:Q220),COUNT(N$113:Q219)+1,""))</f>
        <v/>
      </c>
      <c r="Q220" s="199" t="str">
        <f>IF(O219=O$113,IF(COUNTA(L$111:L219)-2&lt;DMAX(F$113:J$403,F$113,Q218:Q219),O$113,""),IF(Q219&lt;&gt;"",IF(COUNTA(L$111:L219)-2&lt;DMAX(F$113:J$403,F$113,O218:O219),Protokoll!I$1,""),""))</f>
        <v/>
      </c>
      <c r="T220" s="331" t="str">
        <f>IF(OR(Protokoll!$X$5&lt;&gt;"",Lokalbeskrivn!$M$4&lt;&gt;""),"",U220)</f>
        <v/>
      </c>
      <c r="U220" s="330" t="s">
        <v>1332</v>
      </c>
      <c r="V220" s="351" t="s">
        <v>1331</v>
      </c>
      <c r="W220" s="2"/>
      <c r="Y220" s="401" t="s">
        <v>1837</v>
      </c>
      <c r="Z220" s="401" t="s">
        <v>1838</v>
      </c>
      <c r="AB220" s="478" t="str">
        <f>IF(COUNT(AB213:AB219)&gt;0,MAX(AB213:AB219)+1,"")</f>
        <v/>
      </c>
      <c r="AC220" s="433" t="str">
        <f>IF(AND(AH220&lt;&gt;"",AG220&lt;&gt;"",AI220&gt;0,AH220&gt;0),MAX(AC$2:AC219)+1,"XX")</f>
        <v>XX</v>
      </c>
      <c r="AD220" s="429" t="str">
        <f>IF('Antal &amp; Längder (vikter)'!$C$23&lt;&gt;"",'Antal &amp; Längder (vikter)'!$C$23,"XX")</f>
        <v>XX</v>
      </c>
      <c r="AE220" s="406" t="str">
        <f>IF(AND('Antal &amp; Längder (vikter)'!J$25&lt;&gt;"",ISNUMBER($AH220)),'Antal &amp; Längder (vikter)'!J$25,"")</f>
        <v/>
      </c>
      <c r="AF220" s="425" t="str">
        <f t="shared" si="8"/>
        <v/>
      </c>
      <c r="AG220" s="426" t="str">
        <f t="shared" si="9"/>
        <v/>
      </c>
      <c r="AH220" s="409" t="str">
        <f>IF('Antal &amp; Längder (vikter)'!K$26="Längd (mm)",IF('Antal &amp; Längder (vikter)'!K34&lt;&gt;"",'Antal &amp; Längder (vikter)'!K34,"XX"),"XX")</f>
        <v>XX</v>
      </c>
      <c r="AI220" s="7">
        <v>-9</v>
      </c>
    </row>
    <row r="221" spans="5:35" x14ac:dyDescent="0.25">
      <c r="E221" s="2"/>
      <c r="F221" s="199">
        <f>COUNTIF(J$113:J221,J221)</f>
        <v>6</v>
      </c>
      <c r="G221" t="s">
        <v>238</v>
      </c>
      <c r="H221" s="330">
        <v>1881</v>
      </c>
      <c r="I221" s="330">
        <v>18</v>
      </c>
      <c r="J221" t="s">
        <v>133</v>
      </c>
      <c r="K221" s="143"/>
      <c r="L221" s="220" t="str">
        <f>IF(Protokoll!I$1&lt;&gt;"",IF(N220=N$113,IF(AND(DMAX(F$113:J$403,F$113,O220:O221)&gt;COUNTA(L$111:L220)-2,DCOUNTA(F$113:J$403,G$113,N220:O221)=1),DGET(F$113:J$403,G$113,N220:O221),""),IF(AND(DMAX(F$113:J$403,F$113,Q220:Q221)&gt;COUNTA(L$111:L220)-2,DCOUNTA(F$113:J$403,G$113,P220:Q221)=1),DGET(F$113:J$403,G$113,P220:Q221),"")),G221)</f>
        <v/>
      </c>
      <c r="M221" s="143"/>
      <c r="N221" s="221" t="str">
        <f>IF(N220=N$113,IF(COUNT(N$113:Q220)&lt;DMAX(F$113:J$403,F$113,O220:O221),COUNT(N$113:Q220)+1,""),IF(COUNT(N$113:Q220)&lt;DMAX(F$113:J$403,F$113,Q220:Q221),N$113,""))</f>
        <v/>
      </c>
      <c r="O221" s="222" t="str">
        <f>IF(O220=O$113,IF(COUNTA(L$111:L220)-2&lt;DMAX(F$113:J$403,F$113,Q219:Q220),Protokoll!I$1,""),IF(O220&lt;&gt;"",IF(COUNTA(L$111:L220)-1&lt;DMAX(F$113:J$403,F$113,O219:O220),O$113,""),""))</f>
        <v/>
      </c>
      <c r="P221" s="223" t="str">
        <f>IF(N220=N$113,IF(COUNT(N$113:Q220)&lt;DMAX(F$113:J$403,F$113,O220:O221),N$113,""),IF(COUNT(N$113:Q220)&lt;DMAX(F$113:J$403,F$113,Q220:Q221),COUNT(N$113:Q220)+1,""))</f>
        <v/>
      </c>
      <c r="Q221" s="199" t="str">
        <f>IF(O220=O$113,IF(COUNTA(L$111:L220)-2&lt;DMAX(F$113:J$403,F$113,Q219:Q220),O$113,""),IF(Q220&lt;&gt;"",IF(COUNTA(L$111:L220)-2&lt;DMAX(F$113:J$403,F$113,O219:O220),Protokoll!I$1,""),""))</f>
        <v/>
      </c>
      <c r="T221" s="331" t="str">
        <f>IF(OR(Protokoll!$X$5&lt;&gt;"",Lokalbeskrivn!$M$4&lt;&gt;""),"",U221)</f>
        <v/>
      </c>
      <c r="U221" s="330" t="s">
        <v>1334</v>
      </c>
      <c r="V221" s="351" t="s">
        <v>1333</v>
      </c>
      <c r="W221" s="2"/>
      <c r="Y221" s="401" t="s">
        <v>2159</v>
      </c>
      <c r="Z221" s="401" t="s">
        <v>2160</v>
      </c>
      <c r="AB221" s="472" t="str">
        <f>IF(COUNT(AB213:AB220)&gt;0,MAX(AB213:AB220)+1,"")</f>
        <v/>
      </c>
      <c r="AC221" s="433" t="str">
        <f>IF(AND(AH221&lt;&gt;"",AG221&lt;&gt;"",AI221&gt;0,AH221&gt;0),MAX(AC$2:AC220)+1,"XX")</f>
        <v>XX</v>
      </c>
      <c r="AD221" s="429" t="str">
        <f>IF('Antal &amp; Längder (vikter)'!$C$23&lt;&gt;"",'Antal &amp; Längder (vikter)'!$C$23,"XX")</f>
        <v>XX</v>
      </c>
      <c r="AE221" s="406" t="str">
        <f>IF(AND('Antal &amp; Längder (vikter)'!J$25&lt;&gt;"",ISNUMBER($AH221)),'Antal &amp; Längder (vikter)'!J$25,"")</f>
        <v/>
      </c>
      <c r="AF221" s="425" t="str">
        <f t="shared" si="8"/>
        <v/>
      </c>
      <c r="AG221" s="426" t="str">
        <f t="shared" si="9"/>
        <v/>
      </c>
      <c r="AH221" s="409" t="str">
        <f>IF('Antal &amp; Längder (vikter)'!K$26="Längd (mm)",IF('Antal &amp; Längder (vikter)'!K35&lt;&gt;"",'Antal &amp; Längder (vikter)'!K35,"XX"),"XX")</f>
        <v>XX</v>
      </c>
      <c r="AI221" s="7">
        <v>-9</v>
      </c>
    </row>
    <row r="222" spans="5:35" x14ac:dyDescent="0.25">
      <c r="E222" s="2"/>
      <c r="F222" s="199">
        <f>COUNTIF(J$113:J222,J222)</f>
        <v>4</v>
      </c>
      <c r="G222" t="s">
        <v>239</v>
      </c>
      <c r="H222" s="330">
        <v>1384</v>
      </c>
      <c r="I222" s="330">
        <v>13</v>
      </c>
      <c r="J222" t="s">
        <v>120</v>
      </c>
      <c r="K222" s="143"/>
      <c r="L222" s="220" t="str">
        <f>IF(Protokoll!I$1&lt;&gt;"",IF(N221=N$113,IF(AND(DMAX(F$113:J$403,F$113,O221:O222)&gt;COUNTA(L$111:L221)-2,DCOUNTA(F$113:J$403,G$113,N221:O222)=1),DGET(F$113:J$403,G$113,N221:O222),""),IF(AND(DMAX(F$113:J$403,F$113,Q221:Q222)&gt;COUNTA(L$111:L221)-2,DCOUNTA(F$113:J$403,G$113,P221:Q222)=1),DGET(F$113:J$403,G$113,P221:Q222),"")),G222)</f>
        <v/>
      </c>
      <c r="M222" s="143"/>
      <c r="N222" s="221" t="str">
        <f>IF(N221=N$113,IF(COUNT(N$113:Q221)&lt;DMAX(F$113:J$403,F$113,O221:O222),COUNT(N$113:Q221)+1,""),IF(COUNT(N$113:Q221)&lt;DMAX(F$113:J$403,F$113,Q221:Q222),N$113,""))</f>
        <v/>
      </c>
      <c r="O222" s="222" t="str">
        <f>IF(O221=O$113,IF(COUNTA(L$111:L221)-2&lt;DMAX(F$113:J$403,F$113,Q220:Q221),Protokoll!I$1,""),IF(O221&lt;&gt;"",IF(COUNTA(L$111:L221)-1&lt;DMAX(F$113:J$403,F$113,O220:O221),O$113,""),""))</f>
        <v/>
      </c>
      <c r="P222" s="223" t="str">
        <f>IF(N221=N$113,IF(COUNT(N$113:Q221)&lt;DMAX(F$113:J$403,F$113,O221:O222),N$113,""),IF(COUNT(N$113:Q221)&lt;DMAX(F$113:J$403,F$113,Q221:Q222),COUNT(N$113:Q221)+1,""))</f>
        <v/>
      </c>
      <c r="Q222" s="199" t="str">
        <f>IF(O221=O$113,IF(COUNTA(L$111:L221)-2&lt;DMAX(F$113:J$403,F$113,Q220:Q221),O$113,""),IF(Q221&lt;&gt;"",IF(COUNTA(L$111:L221)-2&lt;DMAX(F$113:J$403,F$113,O220:O221),Protokoll!I$1,""),""))</f>
        <v/>
      </c>
      <c r="T222" s="331" t="str">
        <f>IF(OR(Protokoll!$X$5&lt;&gt;"",Lokalbeskrivn!$M$4&lt;&gt;""),"",U222)</f>
        <v/>
      </c>
      <c r="U222" s="330" t="s">
        <v>1336</v>
      </c>
      <c r="V222" s="351" t="s">
        <v>1335</v>
      </c>
      <c r="W222" s="2"/>
      <c r="Y222" s="401" t="s">
        <v>1841</v>
      </c>
      <c r="Z222" s="401" t="s">
        <v>1842</v>
      </c>
      <c r="AB222" s="479" t="str">
        <f>IF(COUNT(AB213:AB221)&gt;0,MAX(AB213:AB221)+1,"")</f>
        <v/>
      </c>
      <c r="AC222" s="433" t="str">
        <f>IF(AND(AH222&lt;&gt;"",AG222&lt;&gt;"",AI222&gt;0,AH222&gt;0),MAX(AC$2:AC221)+1,"XX")</f>
        <v>XX</v>
      </c>
      <c r="AD222" s="429" t="str">
        <f>IF('Antal &amp; Längder (vikter)'!$C$23&lt;&gt;"",'Antal &amp; Längder (vikter)'!$C$23,"XX")</f>
        <v>XX</v>
      </c>
      <c r="AE222" s="406" t="str">
        <f>IF(AND('Antal &amp; Längder (vikter)'!J$25&lt;&gt;"",ISNUMBER($AH222)),'Antal &amp; Längder (vikter)'!J$25,"")</f>
        <v/>
      </c>
      <c r="AF222" s="425" t="str">
        <f t="shared" si="8"/>
        <v/>
      </c>
      <c r="AG222" s="426" t="str">
        <f t="shared" si="9"/>
        <v/>
      </c>
      <c r="AH222" s="409" t="str">
        <f>IF('Antal &amp; Längder (vikter)'!K$26="Längd (mm)",IF('Antal &amp; Längder (vikter)'!K36&lt;&gt;"",'Antal &amp; Längder (vikter)'!K36,"XX"),"XX")</f>
        <v>XX</v>
      </c>
      <c r="AI222" s="7">
        <v>-9</v>
      </c>
    </row>
    <row r="223" spans="5:35" x14ac:dyDescent="0.25">
      <c r="E223" s="2"/>
      <c r="F223" s="199">
        <f>COUNTIF(J$113:J223,J223)</f>
        <v>5</v>
      </c>
      <c r="G223" t="s">
        <v>240</v>
      </c>
      <c r="H223" s="330">
        <v>1960</v>
      </c>
      <c r="I223" s="330">
        <v>19</v>
      </c>
      <c r="J223" t="s">
        <v>125</v>
      </c>
      <c r="K223" s="143"/>
      <c r="L223" s="220" t="str">
        <f>IF(Protokoll!I$1&lt;&gt;"",IF(N222=N$113,IF(AND(DMAX(F$113:J$403,F$113,O222:O223)&gt;COUNTA(L$111:L222)-2,DCOUNTA(F$113:J$403,G$113,N222:O223)=1),DGET(F$113:J$403,G$113,N222:O223),""),IF(AND(DMAX(F$113:J$403,F$113,Q222:Q223)&gt;COUNTA(L$111:L222)-2,DCOUNTA(F$113:J$403,G$113,P222:Q223)=1),DGET(F$113:J$403,G$113,P222:Q223),"")),G223)</f>
        <v/>
      </c>
      <c r="M223" s="143"/>
      <c r="N223" s="221" t="str">
        <f>IF(N222=N$113,IF(COUNT(N$113:Q222)&lt;DMAX(F$113:J$403,F$113,O222:O223),COUNT(N$113:Q222)+1,""),IF(COUNT(N$113:Q222)&lt;DMAX(F$113:J$403,F$113,Q222:Q223),N$113,""))</f>
        <v/>
      </c>
      <c r="O223" s="222" t="str">
        <f>IF(O222=O$113,IF(COUNTA(L$111:L222)-2&lt;DMAX(F$113:J$403,F$113,Q221:Q222),Protokoll!I$1,""),IF(O222&lt;&gt;"",IF(COUNTA(L$111:L222)-1&lt;DMAX(F$113:J$403,F$113,O221:O222),O$113,""),""))</f>
        <v/>
      </c>
      <c r="P223" s="223" t="str">
        <f>IF(N222=N$113,IF(COUNT(N$113:Q222)&lt;DMAX(F$113:J$403,F$113,O222:O223),N$113,""),IF(COUNT(N$113:Q222)&lt;DMAX(F$113:J$403,F$113,Q222:Q223),COUNT(N$113:Q222)+1,""))</f>
        <v/>
      </c>
      <c r="Q223" s="199" t="str">
        <f>IF(O222=O$113,IF(COUNTA(L$111:L222)-2&lt;DMAX(F$113:J$403,F$113,Q221:Q222),O$113,""),IF(Q222&lt;&gt;"",IF(COUNTA(L$111:L222)-2&lt;DMAX(F$113:J$403,F$113,O221:O222),Protokoll!I$1,""),""))</f>
        <v/>
      </c>
      <c r="T223" s="331" t="str">
        <f>IF(OR(Protokoll!$X$5&lt;&gt;"",Lokalbeskrivn!$M$4&lt;&gt;""),"",U223)</f>
        <v/>
      </c>
      <c r="U223" s="330" t="s">
        <v>1338</v>
      </c>
      <c r="V223" s="351" t="s">
        <v>1337</v>
      </c>
      <c r="W223" s="2"/>
      <c r="Y223" s="401" t="s">
        <v>1735</v>
      </c>
      <c r="Z223" s="401" t="s">
        <v>1736</v>
      </c>
      <c r="AB223" s="480" t="str">
        <f>IF(AND(ISNUMBER(AH223),AH223&gt;0),IF(MAX(AB$3:AB222)&gt;0,MAX(AB$3:AB222)+1,10+COUNTIF(F$38:F$49,"&gt;0")*10+1),"")</f>
        <v/>
      </c>
      <c r="AC223" s="433" t="str">
        <f>IF(AND(AH223&lt;&gt;"",AG223&lt;&gt;"",AI223&gt;0,AH223&gt;0),MAX(AC$2:AC222)+1,"XX")</f>
        <v>XX</v>
      </c>
      <c r="AD223" s="429" t="str">
        <f>IF('Antal &amp; Längder (vikter)'!$C$23&lt;&gt;"",'Antal &amp; Längder (vikter)'!$C$23,"XX")</f>
        <v>XX</v>
      </c>
      <c r="AE223" s="412" t="str">
        <f>IF(AND('Antal &amp; Längder (vikter)'!L$25&lt;&gt;"",ISNUMBER($AH223)),'Antal &amp; Längder (vikter)'!L$25,"")</f>
        <v/>
      </c>
      <c r="AF223" s="425" t="str">
        <f t="shared" si="8"/>
        <v/>
      </c>
      <c r="AG223" s="426" t="str">
        <f t="shared" si="9"/>
        <v/>
      </c>
      <c r="AH223" s="407" t="str">
        <f>IF('Antal &amp; Längder (vikter)'!L27&lt;&gt;"",'Antal &amp; Längder (vikter)'!L27,"XX")</f>
        <v>XX</v>
      </c>
      <c r="AI223" s="436">
        <f>IF('Antal &amp; Längder (vikter)'!M$26="Vikt (g)",'Antal &amp; Längder (vikter)'!M27,-9)</f>
        <v>-9</v>
      </c>
    </row>
    <row r="224" spans="5:35" x14ac:dyDescent="0.25">
      <c r="E224" s="2"/>
      <c r="F224" s="199">
        <f>COUNTIF(J$113:J224,J224)</f>
        <v>18</v>
      </c>
      <c r="G224" t="s">
        <v>241</v>
      </c>
      <c r="H224" s="330">
        <v>1482</v>
      </c>
      <c r="I224" s="330">
        <v>14</v>
      </c>
      <c r="J224" t="s">
        <v>114</v>
      </c>
      <c r="K224" s="143"/>
      <c r="L224" s="220" t="str">
        <f>IF(Protokoll!I$1&lt;&gt;"",IF(N223=N$113,IF(AND(DMAX(F$113:J$403,F$113,O223:O224)&gt;COUNTA(L$111:L223)-2,DCOUNTA(F$113:J$403,G$113,N223:O224)=1),DGET(F$113:J$403,G$113,N223:O224),""),IF(AND(DMAX(F$113:J$403,F$113,Q223:Q224)&gt;COUNTA(L$111:L223)-2,DCOUNTA(F$113:J$403,G$113,P223:Q224)=1),DGET(F$113:J$403,G$113,P223:Q224),"")),G224)</f>
        <v/>
      </c>
      <c r="M224" s="143"/>
      <c r="N224" s="221" t="str">
        <f>IF(N223=N$113,IF(COUNT(N$113:Q223)&lt;DMAX(F$113:J$403,F$113,O223:O224),COUNT(N$113:Q223)+1,""),IF(COUNT(N$113:Q223)&lt;DMAX(F$113:J$403,F$113,Q223:Q224),N$113,""))</f>
        <v/>
      </c>
      <c r="O224" s="222" t="str">
        <f>IF(O223=O$113,IF(COUNTA(L$111:L223)-2&lt;DMAX(F$113:J$403,F$113,Q222:Q223),Protokoll!I$1,""),IF(O223&lt;&gt;"",IF(COUNTA(L$111:L223)-1&lt;DMAX(F$113:J$403,F$113,O222:O223),O$113,""),""))</f>
        <v/>
      </c>
      <c r="P224" s="223" t="str">
        <f>IF(N223=N$113,IF(COUNT(N$113:Q223)&lt;DMAX(F$113:J$403,F$113,O223:O224),N$113,""),IF(COUNT(N$113:Q223)&lt;DMAX(F$113:J$403,F$113,Q223:Q224),COUNT(N$113:Q223)+1,""))</f>
        <v/>
      </c>
      <c r="Q224" s="199" t="str">
        <f>IF(O223=O$113,IF(COUNTA(L$111:L223)-2&lt;DMAX(F$113:J$403,F$113,Q222:Q223),O$113,""),IF(Q223&lt;&gt;"",IF(COUNTA(L$111:L223)-2&lt;DMAX(F$113:J$403,F$113,O222:O223),Protokoll!I$1,""),""))</f>
        <v/>
      </c>
      <c r="T224" s="331" t="str">
        <f>IF(OR(Protokoll!$X$5&lt;&gt;"",Lokalbeskrivn!$M$4&lt;&gt;""),"",U224)</f>
        <v/>
      </c>
      <c r="U224" s="330" t="s">
        <v>1340</v>
      </c>
      <c r="V224" s="351" t="s">
        <v>1339</v>
      </c>
      <c r="W224" s="2"/>
      <c r="Y224" s="401" t="s">
        <v>2428</v>
      </c>
      <c r="Z224" s="401" t="s">
        <v>2429</v>
      </c>
      <c r="AB224" s="476" t="str">
        <f>IF(COUNT(AB223:AB223)&gt;0,MAX(AB223:AB223)+1,"")</f>
        <v/>
      </c>
      <c r="AC224" s="433" t="str">
        <f>IF(AND(AH224&lt;&gt;"",AG224&lt;&gt;"",AI224&gt;0,AH224&gt;0),MAX(AC$2:AC223)+1,"XX")</f>
        <v>XX</v>
      </c>
      <c r="AD224" s="429" t="str">
        <f>IF('Antal &amp; Längder (vikter)'!$C$23&lt;&gt;"",'Antal &amp; Längder (vikter)'!$C$23,"XX")</f>
        <v>XX</v>
      </c>
      <c r="AE224" s="412" t="str">
        <f>IF(AND('Antal &amp; Längder (vikter)'!L$25&lt;&gt;"",ISNUMBER($AH224)),'Antal &amp; Längder (vikter)'!L$25,"")</f>
        <v/>
      </c>
      <c r="AF224" s="425" t="str">
        <f t="shared" si="8"/>
        <v/>
      </c>
      <c r="AG224" s="426" t="str">
        <f t="shared" si="9"/>
        <v/>
      </c>
      <c r="AH224" s="407" t="str">
        <f>IF('Antal &amp; Längder (vikter)'!L28&lt;&gt;"",'Antal &amp; Längder (vikter)'!L28,"XX")</f>
        <v>XX</v>
      </c>
      <c r="AI224" s="436">
        <f>IF('Antal &amp; Längder (vikter)'!M$26="Vikt (g)",'Antal &amp; Längder (vikter)'!M28,-9)</f>
        <v>-9</v>
      </c>
    </row>
    <row r="225" spans="5:35" x14ac:dyDescent="0.25">
      <c r="E225" s="2"/>
      <c r="F225" s="199">
        <f>COUNTIF(J$113:J225,J225)</f>
        <v>13</v>
      </c>
      <c r="G225" t="s">
        <v>242</v>
      </c>
      <c r="H225" s="330">
        <v>1261</v>
      </c>
      <c r="I225" s="330">
        <v>12</v>
      </c>
      <c r="J225" t="s">
        <v>134</v>
      </c>
      <c r="K225" s="143"/>
      <c r="L225" s="220" t="str">
        <f>IF(Protokoll!I$1&lt;&gt;"",IF(N224=N$113,IF(AND(DMAX(F$113:J$403,F$113,O224:O225)&gt;COUNTA(L$111:L224)-2,DCOUNTA(F$113:J$403,G$113,N224:O225)=1),DGET(F$113:J$403,G$113,N224:O225),""),IF(AND(DMAX(F$113:J$403,F$113,Q224:Q225)&gt;COUNTA(L$111:L224)-2,DCOUNTA(F$113:J$403,G$113,P224:Q225)=1),DGET(F$113:J$403,G$113,P224:Q225),"")),G225)</f>
        <v/>
      </c>
      <c r="M225" s="143"/>
      <c r="N225" s="221" t="str">
        <f>IF(N224=N$113,IF(COUNT(N$113:Q224)&lt;DMAX(F$113:J$403,F$113,O224:O225),COUNT(N$113:Q224)+1,""),IF(COUNT(N$113:Q224)&lt;DMAX(F$113:J$403,F$113,Q224:Q225),N$113,""))</f>
        <v/>
      </c>
      <c r="O225" s="222" t="str">
        <f>IF(O224=O$113,IF(COUNTA(L$111:L224)-2&lt;DMAX(F$113:J$403,F$113,Q223:Q224),Protokoll!I$1,""),IF(O224&lt;&gt;"",IF(COUNTA(L$111:L224)-1&lt;DMAX(F$113:J$403,F$113,O223:O224),O$113,""),""))</f>
        <v/>
      </c>
      <c r="P225" s="223" t="str">
        <f>IF(N224=N$113,IF(COUNT(N$113:Q224)&lt;DMAX(F$113:J$403,F$113,O224:O225),N$113,""),IF(COUNT(N$113:Q224)&lt;DMAX(F$113:J$403,F$113,Q224:Q225),COUNT(N$113:Q224)+1,""))</f>
        <v/>
      </c>
      <c r="Q225" s="199" t="str">
        <f>IF(O224=O$113,IF(COUNTA(L$111:L224)-2&lt;DMAX(F$113:J$403,F$113,Q223:Q224),O$113,""),IF(Q224&lt;&gt;"",IF(COUNTA(L$111:L224)-2&lt;DMAX(F$113:J$403,F$113,O223:O224),Protokoll!I$1,""),""))</f>
        <v/>
      </c>
      <c r="T225" s="331" t="str">
        <f>IF(OR(Protokoll!$X$5&lt;&gt;"",Lokalbeskrivn!$M$4&lt;&gt;""),"",U225)</f>
        <v/>
      </c>
      <c r="U225" s="330" t="s">
        <v>1342</v>
      </c>
      <c r="V225" s="351" t="s">
        <v>1341</v>
      </c>
      <c r="W225" s="2"/>
      <c r="Y225" s="401" t="s">
        <v>2430</v>
      </c>
      <c r="Z225" s="401" t="s">
        <v>2431</v>
      </c>
      <c r="AB225" s="477" t="str">
        <f>IF(COUNT(AB223:AB224)&gt;0,MAX(AB223:AB224)+1,"")</f>
        <v/>
      </c>
      <c r="AC225" s="433" t="str">
        <f>IF(AND(AH225&lt;&gt;"",AG225&lt;&gt;"",AI225&gt;0,AH225&gt;0),MAX(AC$2:AC224)+1,"XX")</f>
        <v>XX</v>
      </c>
      <c r="AD225" s="429" t="str">
        <f>IF('Antal &amp; Längder (vikter)'!$C$23&lt;&gt;"",'Antal &amp; Längder (vikter)'!$C$23,"XX")</f>
        <v>XX</v>
      </c>
      <c r="AE225" s="412" t="str">
        <f>IF(AND('Antal &amp; Längder (vikter)'!L$25&lt;&gt;"",ISNUMBER($AH225)),'Antal &amp; Längder (vikter)'!L$25,"")</f>
        <v/>
      </c>
      <c r="AF225" s="425" t="str">
        <f t="shared" si="8"/>
        <v/>
      </c>
      <c r="AG225" s="426" t="str">
        <f t="shared" si="9"/>
        <v/>
      </c>
      <c r="AH225" s="407" t="str">
        <f>IF('Antal &amp; Längder (vikter)'!L29&lt;&gt;"",'Antal &amp; Längder (vikter)'!L29,"XX")</f>
        <v>XX</v>
      </c>
      <c r="AI225" s="436">
        <f>IF('Antal &amp; Längder (vikter)'!M$26="Vikt (g)",'Antal &amp; Längder (vikter)'!M29,-9)</f>
        <v>-9</v>
      </c>
    </row>
    <row r="226" spans="5:35" x14ac:dyDescent="0.25">
      <c r="E226" s="2"/>
      <c r="F226" s="199">
        <f>COUNTIF(J$113:J226,J226)</f>
        <v>6</v>
      </c>
      <c r="G226" t="s">
        <v>243</v>
      </c>
      <c r="H226" s="330">
        <v>1983</v>
      </c>
      <c r="I226" s="330">
        <v>19</v>
      </c>
      <c r="J226" t="s">
        <v>125</v>
      </c>
      <c r="K226" s="143"/>
      <c r="L226" s="220" t="str">
        <f>IF(Protokoll!I$1&lt;&gt;"",IF(N225=N$113,IF(AND(DMAX(F$113:J$403,F$113,O225:O226)&gt;COUNTA(L$111:L225)-2,DCOUNTA(F$113:J$403,G$113,N225:O226)=1),DGET(F$113:J$403,G$113,N225:O226),""),IF(AND(DMAX(F$113:J$403,F$113,Q225:Q226)&gt;COUNTA(L$111:L225)-2,DCOUNTA(F$113:J$403,G$113,P225:Q226)=1),DGET(F$113:J$403,G$113,P225:Q226),"")),G226)</f>
        <v/>
      </c>
      <c r="M226" s="143"/>
      <c r="N226" s="221" t="str">
        <f>IF(N225=N$113,IF(COUNT(N$113:Q225)&lt;DMAX(F$113:J$403,F$113,O225:O226),COUNT(N$113:Q225)+1,""),IF(COUNT(N$113:Q225)&lt;DMAX(F$113:J$403,F$113,Q225:Q226),N$113,""))</f>
        <v/>
      </c>
      <c r="O226" s="222" t="str">
        <f>IF(O225=O$113,IF(COUNTA(L$111:L225)-2&lt;DMAX(F$113:J$403,F$113,Q224:Q225),Protokoll!I$1,""),IF(O225&lt;&gt;"",IF(COUNTA(L$111:L225)-1&lt;DMAX(F$113:J$403,F$113,O224:O225),O$113,""),""))</f>
        <v/>
      </c>
      <c r="P226" s="223" t="str">
        <f>IF(N225=N$113,IF(COUNT(N$113:Q225)&lt;DMAX(F$113:J$403,F$113,O225:O226),N$113,""),IF(COUNT(N$113:Q225)&lt;DMAX(F$113:J$403,F$113,Q225:Q226),COUNT(N$113:Q225)+1,""))</f>
        <v/>
      </c>
      <c r="Q226" s="199" t="str">
        <f>IF(O225=O$113,IF(COUNTA(L$111:L225)-2&lt;DMAX(F$113:J$403,F$113,Q224:Q225),O$113,""),IF(Q225&lt;&gt;"",IF(COUNTA(L$111:L225)-2&lt;DMAX(F$113:J$403,F$113,O224:O225),Protokoll!I$1,""),""))</f>
        <v/>
      </c>
      <c r="T226" s="331" t="str">
        <f>IF(OR(Protokoll!$X$5&lt;&gt;"",Lokalbeskrivn!$M$4&lt;&gt;""),"",U226)</f>
        <v/>
      </c>
      <c r="U226" s="330" t="s">
        <v>1344</v>
      </c>
      <c r="V226" s="351" t="s">
        <v>1343</v>
      </c>
      <c r="W226" s="2"/>
      <c r="Y226" s="401" t="s">
        <v>2432</v>
      </c>
      <c r="Z226" s="401" t="s">
        <v>2433</v>
      </c>
      <c r="AB226" s="434" t="str">
        <f>IF(COUNT(AB223:AB225)&gt;0,MAX(AB223:AB225)+1,"")</f>
        <v/>
      </c>
      <c r="AC226" s="433" t="str">
        <f>IF(AND(AH226&lt;&gt;"",AG226&lt;&gt;"",AI226&gt;0,AH226&gt;0),MAX(AC$2:AC225)+1,"XX")</f>
        <v>XX</v>
      </c>
      <c r="AD226" s="429" t="str">
        <f>IF('Antal &amp; Längder (vikter)'!$C$23&lt;&gt;"",'Antal &amp; Längder (vikter)'!$C$23,"XX")</f>
        <v>XX</v>
      </c>
      <c r="AE226" s="412" t="str">
        <f>IF(AND('Antal &amp; Längder (vikter)'!L$25&lt;&gt;"",ISNUMBER($AH226)),'Antal &amp; Längder (vikter)'!L$25,"")</f>
        <v/>
      </c>
      <c r="AF226" s="425" t="str">
        <f t="shared" si="8"/>
        <v/>
      </c>
      <c r="AG226" s="426" t="str">
        <f t="shared" si="9"/>
        <v/>
      </c>
      <c r="AH226" s="407" t="str">
        <f>IF('Antal &amp; Längder (vikter)'!L30&lt;&gt;"",'Antal &amp; Längder (vikter)'!L30,"XX")</f>
        <v>XX</v>
      </c>
      <c r="AI226" s="436">
        <f>IF('Antal &amp; Längder (vikter)'!M$26="Vikt (g)",'Antal &amp; Längder (vikter)'!M30,-9)</f>
        <v>-9</v>
      </c>
    </row>
    <row r="227" spans="5:35" x14ac:dyDescent="0.25">
      <c r="E227" s="2"/>
      <c r="F227" s="199">
        <f>COUNTIF(J$113:J227,J227)</f>
        <v>5</v>
      </c>
      <c r="G227" t="s">
        <v>244</v>
      </c>
      <c r="H227" s="330">
        <v>1381</v>
      </c>
      <c r="I227" s="330">
        <v>13</v>
      </c>
      <c r="J227" t="s">
        <v>120</v>
      </c>
      <c r="K227" s="143"/>
      <c r="L227" s="220" t="str">
        <f>IF(Protokoll!I$1&lt;&gt;"",IF(N226=N$113,IF(AND(DMAX(F$113:J$403,F$113,O226:O227)&gt;COUNTA(L$111:L226)-2,DCOUNTA(F$113:J$403,G$113,N226:O227)=1),DGET(F$113:J$403,G$113,N226:O227),""),IF(AND(DMAX(F$113:J$403,F$113,Q226:Q227)&gt;COUNTA(L$111:L226)-2,DCOUNTA(F$113:J$403,G$113,P226:Q227)=1),DGET(F$113:J$403,G$113,P226:Q227),"")),G227)</f>
        <v/>
      </c>
      <c r="M227" s="143"/>
      <c r="N227" s="221" t="str">
        <f>IF(N226=N$113,IF(COUNT(N$113:Q226)&lt;DMAX(F$113:J$403,F$113,O226:O227),COUNT(N$113:Q226)+1,""),IF(COUNT(N$113:Q226)&lt;DMAX(F$113:J$403,F$113,Q226:Q227),N$113,""))</f>
        <v/>
      </c>
      <c r="O227" s="222" t="str">
        <f>IF(O226=O$113,IF(COUNTA(L$111:L226)-2&lt;DMAX(F$113:J$403,F$113,Q225:Q226),Protokoll!I$1,""),IF(O226&lt;&gt;"",IF(COUNTA(L$111:L226)-1&lt;DMAX(F$113:J$403,F$113,O225:O226),O$113,""),""))</f>
        <v/>
      </c>
      <c r="P227" s="223" t="str">
        <f>IF(N226=N$113,IF(COUNT(N$113:Q226)&lt;DMAX(F$113:J$403,F$113,O226:O227),N$113,""),IF(COUNT(N$113:Q226)&lt;DMAX(F$113:J$403,F$113,Q226:Q227),COUNT(N$113:Q226)+1,""))</f>
        <v/>
      </c>
      <c r="Q227" s="199" t="str">
        <f>IF(O226=O$113,IF(COUNTA(L$111:L226)-2&lt;DMAX(F$113:J$403,F$113,Q225:Q226),O$113,""),IF(Q226&lt;&gt;"",IF(COUNTA(L$111:L226)-2&lt;DMAX(F$113:J$403,F$113,O225:O226),Protokoll!I$1,""),""))</f>
        <v/>
      </c>
      <c r="T227" s="331" t="str">
        <f>IF(OR(Protokoll!$X$5&lt;&gt;"",Lokalbeskrivn!$M$4&lt;&gt;""),"",U227)</f>
        <v/>
      </c>
      <c r="U227" s="330" t="s">
        <v>1346</v>
      </c>
      <c r="V227" s="351" t="s">
        <v>1345</v>
      </c>
      <c r="W227" s="2"/>
      <c r="Y227" s="401" t="s">
        <v>2434</v>
      </c>
      <c r="Z227" s="401" t="s">
        <v>1843</v>
      </c>
      <c r="AB227" s="475" t="str">
        <f>IF(COUNT(AB223:AB226)&gt;0,MAX(AB223:AB226)+1,"")</f>
        <v/>
      </c>
      <c r="AC227" s="433" t="str">
        <f>IF(AND(AH227&lt;&gt;"",AG227&lt;&gt;"",AI227&gt;0,AH227&gt;0),MAX(AC$2:AC226)+1,"XX")</f>
        <v>XX</v>
      </c>
      <c r="AD227" s="429" t="str">
        <f>IF('Antal &amp; Längder (vikter)'!$C$23&lt;&gt;"",'Antal &amp; Längder (vikter)'!$C$23,"XX")</f>
        <v>XX</v>
      </c>
      <c r="AE227" s="412" t="str">
        <f>IF(AND('Antal &amp; Längder (vikter)'!L$25&lt;&gt;"",ISNUMBER($AH227)),'Antal &amp; Längder (vikter)'!L$25,"")</f>
        <v/>
      </c>
      <c r="AF227" s="425" t="str">
        <f t="shared" si="8"/>
        <v/>
      </c>
      <c r="AG227" s="426" t="str">
        <f t="shared" si="9"/>
        <v/>
      </c>
      <c r="AH227" s="407" t="str">
        <f>IF('Antal &amp; Längder (vikter)'!L31&lt;&gt;"",'Antal &amp; Längder (vikter)'!L31,"XX")</f>
        <v>XX</v>
      </c>
      <c r="AI227" s="436">
        <f>IF('Antal &amp; Längder (vikter)'!M$26="Vikt (g)",'Antal &amp; Längder (vikter)'!M31,-9)</f>
        <v>-9</v>
      </c>
    </row>
    <row r="228" spans="5:35" x14ac:dyDescent="0.25">
      <c r="E228" s="2"/>
      <c r="F228" s="199">
        <f>COUNTIF(J$113:J228,J228)</f>
        <v>14</v>
      </c>
      <c r="G228" t="s">
        <v>245</v>
      </c>
      <c r="H228" s="330">
        <v>1282</v>
      </c>
      <c r="I228" s="330">
        <v>12</v>
      </c>
      <c r="J228" t="s">
        <v>134</v>
      </c>
      <c r="K228" s="143"/>
      <c r="L228" s="220" t="str">
        <f>IF(Protokoll!I$1&lt;&gt;"",IF(N227=N$113,IF(AND(DMAX(F$113:J$403,F$113,O227:O228)&gt;COUNTA(L$111:L227)-2,DCOUNTA(F$113:J$403,G$113,N227:O228)=1),DGET(F$113:J$403,G$113,N227:O228),""),IF(AND(DMAX(F$113:J$403,F$113,Q227:Q228)&gt;COUNTA(L$111:L227)-2,DCOUNTA(F$113:J$403,G$113,P227:Q228)=1),DGET(F$113:J$403,G$113,P227:Q228),"")),G228)</f>
        <v/>
      </c>
      <c r="M228" s="143"/>
      <c r="N228" s="221" t="str">
        <f>IF(N227=N$113,IF(COUNT(N$113:Q227)&lt;DMAX(F$113:J$403,F$113,O227:O228),COUNT(N$113:Q227)+1,""),IF(COUNT(N$113:Q227)&lt;DMAX(F$113:J$403,F$113,Q227:Q228),N$113,""))</f>
        <v/>
      </c>
      <c r="O228" s="222" t="str">
        <f>IF(O227=O$113,IF(COUNTA(L$111:L227)-2&lt;DMAX(F$113:J$403,F$113,Q226:Q227),Protokoll!I$1,""),IF(O227&lt;&gt;"",IF(COUNTA(L$111:L227)-1&lt;DMAX(F$113:J$403,F$113,O226:O227),O$113,""),""))</f>
        <v/>
      </c>
      <c r="P228" s="223" t="str">
        <f>IF(N227=N$113,IF(COUNT(N$113:Q227)&lt;DMAX(F$113:J$403,F$113,O227:O228),N$113,""),IF(COUNT(N$113:Q227)&lt;DMAX(F$113:J$403,F$113,Q227:Q228),COUNT(N$113:Q227)+1,""))</f>
        <v/>
      </c>
      <c r="Q228" s="199" t="str">
        <f>IF(O227=O$113,IF(COUNTA(L$111:L227)-2&lt;DMAX(F$113:J$403,F$113,Q226:Q227),O$113,""),IF(Q227&lt;&gt;"",IF(COUNTA(L$111:L227)-2&lt;DMAX(F$113:J$403,F$113,O226:O227),Protokoll!I$1,""),""))</f>
        <v/>
      </c>
      <c r="T228" s="331" t="str">
        <f>IF(OR(Protokoll!$X$5&lt;&gt;"",Lokalbeskrivn!$M$4&lt;&gt;""),"",U228)</f>
        <v/>
      </c>
      <c r="U228" s="330" t="s">
        <v>1348</v>
      </c>
      <c r="V228" s="351" t="s">
        <v>1347</v>
      </c>
      <c r="W228" s="2"/>
      <c r="Y228" s="401" t="s">
        <v>1844</v>
      </c>
      <c r="Z228" s="401" t="s">
        <v>1845</v>
      </c>
      <c r="AB228" s="471" t="str">
        <f>IF(COUNT(AB223:AB227)&gt;0,MAX(AB223:AB227)+1,"")</f>
        <v/>
      </c>
      <c r="AC228" s="433" t="str">
        <f>IF(AND(AH228&lt;&gt;"",AG228&lt;&gt;"",AI228&gt;0,AH228&gt;0),MAX(AC$2:AC227)+1,"XX")</f>
        <v>XX</v>
      </c>
      <c r="AD228" s="429" t="str">
        <f>IF('Antal &amp; Längder (vikter)'!$C$23&lt;&gt;"",'Antal &amp; Längder (vikter)'!$C$23,"XX")</f>
        <v>XX</v>
      </c>
      <c r="AE228" s="412" t="str">
        <f>IF(AND('Antal &amp; Längder (vikter)'!L$25&lt;&gt;"",ISNUMBER($AH228)),'Antal &amp; Längder (vikter)'!L$25,"")</f>
        <v/>
      </c>
      <c r="AF228" s="425" t="str">
        <f t="shared" si="8"/>
        <v/>
      </c>
      <c r="AG228" s="426" t="str">
        <f t="shared" si="9"/>
        <v/>
      </c>
      <c r="AH228" s="407" t="str">
        <f>IF('Antal &amp; Längder (vikter)'!L32&lt;&gt;"",'Antal &amp; Längder (vikter)'!L32,"XX")</f>
        <v>XX</v>
      </c>
      <c r="AI228" s="436">
        <f>IF('Antal &amp; Längder (vikter)'!M$26="Vikt (g)",'Antal &amp; Längder (vikter)'!M32,-9)</f>
        <v>-9</v>
      </c>
    </row>
    <row r="229" spans="5:35" x14ac:dyDescent="0.25">
      <c r="E229" s="2"/>
      <c r="F229" s="199">
        <f>COUNTIF(J$113:J229,J229)</f>
        <v>7</v>
      </c>
      <c r="G229" t="s">
        <v>246</v>
      </c>
      <c r="H229" s="330">
        <v>1860</v>
      </c>
      <c r="I229" s="330">
        <v>18</v>
      </c>
      <c r="J229" t="s">
        <v>133</v>
      </c>
      <c r="K229" s="143"/>
      <c r="L229" s="220" t="str">
        <f>IF(Protokoll!I$1&lt;&gt;"",IF(N228=N$113,IF(AND(DMAX(F$113:J$403,F$113,O228:O229)&gt;COUNTA(L$111:L228)-2,DCOUNTA(F$113:J$403,G$113,N228:O229)=1),DGET(F$113:J$403,G$113,N228:O229),""),IF(AND(DMAX(F$113:J$403,F$113,Q228:Q229)&gt;COUNTA(L$111:L228)-2,DCOUNTA(F$113:J$403,G$113,P228:Q229)=1),DGET(F$113:J$403,G$113,P228:Q229),"")),G229)</f>
        <v/>
      </c>
      <c r="M229" s="143"/>
      <c r="N229" s="221" t="str">
        <f>IF(N228=N$113,IF(COUNT(N$113:Q228)&lt;DMAX(F$113:J$403,F$113,O228:O229),COUNT(N$113:Q228)+1,""),IF(COUNT(N$113:Q228)&lt;DMAX(F$113:J$403,F$113,Q228:Q229),N$113,""))</f>
        <v/>
      </c>
      <c r="O229" s="222" t="str">
        <f>IF(O228=O$113,IF(COUNTA(L$111:L228)-2&lt;DMAX(F$113:J$403,F$113,Q227:Q228),Protokoll!I$1,""),IF(O228&lt;&gt;"",IF(COUNTA(L$111:L228)-1&lt;DMAX(F$113:J$403,F$113,O227:O228),O$113,""),""))</f>
        <v/>
      </c>
      <c r="P229" s="223" t="str">
        <f>IF(N228=N$113,IF(COUNT(N$113:Q228)&lt;DMAX(F$113:J$403,F$113,O228:O229),N$113,""),IF(COUNT(N$113:Q228)&lt;DMAX(F$113:J$403,F$113,Q228:Q229),COUNT(N$113:Q228)+1,""))</f>
        <v/>
      </c>
      <c r="Q229" s="199" t="str">
        <f>IF(O228=O$113,IF(COUNTA(L$111:L228)-2&lt;DMAX(F$113:J$403,F$113,Q227:Q228),O$113,""),IF(Q228&lt;&gt;"",IF(COUNTA(L$111:L228)-2&lt;DMAX(F$113:J$403,F$113,O227:O228),Protokoll!I$1,""),""))</f>
        <v/>
      </c>
      <c r="T229" s="331" t="str">
        <f>IF(OR(Protokoll!$X$5&lt;&gt;"",Lokalbeskrivn!$M$4&lt;&gt;""),"",U229)</f>
        <v/>
      </c>
      <c r="U229" s="330" t="s">
        <v>1350</v>
      </c>
      <c r="V229" s="351" t="s">
        <v>1349</v>
      </c>
      <c r="W229" s="2"/>
      <c r="Y229" s="401" t="s">
        <v>1739</v>
      </c>
      <c r="Z229" s="401" t="s">
        <v>1740</v>
      </c>
      <c r="AB229" s="474" t="str">
        <f>IF(COUNT(AB223:AB228)&gt;0,MAX(AB223:AB228)+1,"")</f>
        <v/>
      </c>
      <c r="AC229" s="433" t="str">
        <f>IF(AND(AH229&lt;&gt;"",AG229&lt;&gt;"",AI229&gt;0,AH229&gt;0),MAX(AC$2:AC228)+1,"XX")</f>
        <v>XX</v>
      </c>
      <c r="AD229" s="429" t="str">
        <f>IF('Antal &amp; Längder (vikter)'!$C$23&lt;&gt;"",'Antal &amp; Längder (vikter)'!$C$23,"XX")</f>
        <v>XX</v>
      </c>
      <c r="AE229" s="412" t="str">
        <f>IF(AND('Antal &amp; Längder (vikter)'!L$25&lt;&gt;"",ISNUMBER($AH229)),'Antal &amp; Längder (vikter)'!L$25,"")</f>
        <v/>
      </c>
      <c r="AF229" s="425" t="str">
        <f t="shared" si="8"/>
        <v/>
      </c>
      <c r="AG229" s="426" t="str">
        <f t="shared" si="9"/>
        <v/>
      </c>
      <c r="AH229" s="407" t="str">
        <f>IF('Antal &amp; Längder (vikter)'!L33&lt;&gt;"",'Antal &amp; Längder (vikter)'!L33,"XX")</f>
        <v>XX</v>
      </c>
      <c r="AI229" s="436">
        <f>IF('Antal &amp; Längder (vikter)'!M$26="Vikt (g)",'Antal &amp; Längder (vikter)'!M33,-9)</f>
        <v>-9</v>
      </c>
    </row>
    <row r="230" spans="5:35" x14ac:dyDescent="0.25">
      <c r="E230" s="2"/>
      <c r="F230" s="199">
        <f>COUNTIF(J$113:J230,J230)</f>
        <v>8</v>
      </c>
      <c r="G230" t="s">
        <v>247</v>
      </c>
      <c r="H230" s="330">
        <v>1814</v>
      </c>
      <c r="I230" s="330">
        <v>18</v>
      </c>
      <c r="J230" t="s">
        <v>133</v>
      </c>
      <c r="K230" s="143"/>
      <c r="L230" s="220" t="str">
        <f>IF(Protokoll!I$1&lt;&gt;"",IF(N229=N$113,IF(AND(DMAX(F$113:J$403,F$113,O229:O230)&gt;COUNTA(L$111:L229)-2,DCOUNTA(F$113:J$403,G$113,N229:O230)=1),DGET(F$113:J$403,G$113,N229:O230),""),IF(AND(DMAX(F$113:J$403,F$113,Q229:Q230)&gt;COUNTA(L$111:L229)-2,DCOUNTA(F$113:J$403,G$113,P229:Q230)=1),DGET(F$113:J$403,G$113,P229:Q230),"")),G230)</f>
        <v/>
      </c>
      <c r="M230" s="143"/>
      <c r="N230" s="221" t="str">
        <f>IF(N229=N$113,IF(COUNT(N$113:Q229)&lt;DMAX(F$113:J$403,F$113,O229:O230),COUNT(N$113:Q229)+1,""),IF(COUNT(N$113:Q229)&lt;DMAX(F$113:J$403,F$113,Q229:Q230),N$113,""))</f>
        <v/>
      </c>
      <c r="O230" s="222" t="str">
        <f>IF(O229=O$113,IF(COUNTA(L$111:L229)-2&lt;DMAX(F$113:J$403,F$113,Q228:Q229),Protokoll!I$1,""),IF(O229&lt;&gt;"",IF(COUNTA(L$111:L229)-1&lt;DMAX(F$113:J$403,F$113,O228:O229),O$113,""),""))</f>
        <v/>
      </c>
      <c r="P230" s="223" t="str">
        <f>IF(N229=N$113,IF(COUNT(N$113:Q229)&lt;DMAX(F$113:J$403,F$113,O229:O230),N$113,""),IF(COUNT(N$113:Q229)&lt;DMAX(F$113:J$403,F$113,Q229:Q230),COUNT(N$113:Q229)+1,""))</f>
        <v/>
      </c>
      <c r="Q230" s="199" t="str">
        <f>IF(O229=O$113,IF(COUNTA(L$111:L229)-2&lt;DMAX(F$113:J$403,F$113,Q228:Q229),O$113,""),IF(Q229&lt;&gt;"",IF(COUNTA(L$111:L229)-2&lt;DMAX(F$113:J$403,F$113,O228:O229),Protokoll!I$1,""),""))</f>
        <v/>
      </c>
      <c r="T230" s="331" t="str">
        <f>IF(OR(Protokoll!$X$5&lt;&gt;"",Lokalbeskrivn!$M$4&lt;&gt;""),"",U230)</f>
        <v/>
      </c>
      <c r="U230" s="330" t="s">
        <v>1352</v>
      </c>
      <c r="V230" s="351" t="s">
        <v>1351</v>
      </c>
      <c r="W230" s="2"/>
      <c r="Y230" s="401" t="s">
        <v>1848</v>
      </c>
      <c r="Z230" s="401" t="s">
        <v>1849</v>
      </c>
      <c r="AB230" s="478" t="str">
        <f>IF(COUNT(AB223:AB229)&gt;0,MAX(AB223:AB229)+1,"")</f>
        <v/>
      </c>
      <c r="AC230" s="433" t="str">
        <f>IF(AND(AH230&lt;&gt;"",AG230&lt;&gt;"",AI230&gt;0,AH230&gt;0),MAX(AC$2:AC229)+1,"XX")</f>
        <v>XX</v>
      </c>
      <c r="AD230" s="429" t="str">
        <f>IF('Antal &amp; Längder (vikter)'!$C$23&lt;&gt;"",'Antal &amp; Längder (vikter)'!$C$23,"XX")</f>
        <v>XX</v>
      </c>
      <c r="AE230" s="412" t="str">
        <f>IF(AND('Antal &amp; Längder (vikter)'!L$25&lt;&gt;"",ISNUMBER($AH230)),'Antal &amp; Längder (vikter)'!L$25,"")</f>
        <v/>
      </c>
      <c r="AF230" s="425" t="str">
        <f t="shared" si="8"/>
        <v/>
      </c>
      <c r="AG230" s="426" t="str">
        <f t="shared" si="9"/>
        <v/>
      </c>
      <c r="AH230" s="407" t="str">
        <f>IF('Antal &amp; Längder (vikter)'!L34&lt;&gt;"",'Antal &amp; Längder (vikter)'!L34,"XX")</f>
        <v>XX</v>
      </c>
      <c r="AI230" s="436">
        <f>IF('Antal &amp; Längder (vikter)'!M$26="Vikt (g)",'Antal &amp; Längder (vikter)'!M34,-9)</f>
        <v>-9</v>
      </c>
    </row>
    <row r="231" spans="5:35" x14ac:dyDescent="0.25">
      <c r="E231" s="2"/>
      <c r="F231" s="199">
        <f>COUNTIF(J$113:J231,J231)</f>
        <v>6</v>
      </c>
      <c r="G231" t="s">
        <v>248</v>
      </c>
      <c r="H231" s="330">
        <v>2029</v>
      </c>
      <c r="I231" s="330">
        <v>20</v>
      </c>
      <c r="J231" t="s">
        <v>112</v>
      </c>
      <c r="K231" s="143"/>
      <c r="L231" s="220" t="str">
        <f>IF(Protokoll!I$1&lt;&gt;"",IF(N230=N$113,IF(AND(DMAX(F$113:J$403,F$113,O230:O231)&gt;COUNTA(L$111:L230)-2,DCOUNTA(F$113:J$403,G$113,N230:O231)=1),DGET(F$113:J$403,G$113,N230:O231),""),IF(AND(DMAX(F$113:J$403,F$113,Q230:Q231)&gt;COUNTA(L$111:L230)-2,DCOUNTA(F$113:J$403,G$113,P230:Q231)=1),DGET(F$113:J$403,G$113,P230:Q231),"")),G231)</f>
        <v/>
      </c>
      <c r="M231" s="143"/>
      <c r="N231" s="221" t="str">
        <f>IF(N230=N$113,IF(COUNT(N$113:Q230)&lt;DMAX(F$113:J$403,F$113,O230:O231),COUNT(N$113:Q230)+1,""),IF(COUNT(N$113:Q230)&lt;DMAX(F$113:J$403,F$113,Q230:Q231),N$113,""))</f>
        <v/>
      </c>
      <c r="O231" s="222" t="str">
        <f>IF(O230=O$113,IF(COUNTA(L$111:L230)-2&lt;DMAX(F$113:J$403,F$113,Q229:Q230),Protokoll!I$1,""),IF(O230&lt;&gt;"",IF(COUNTA(L$111:L230)-1&lt;DMAX(F$113:J$403,F$113,O229:O230),O$113,""),""))</f>
        <v/>
      </c>
      <c r="P231" s="223" t="str">
        <f>IF(N230=N$113,IF(COUNT(N$113:Q230)&lt;DMAX(F$113:J$403,F$113,O230:O231),N$113,""),IF(COUNT(N$113:Q230)&lt;DMAX(F$113:J$403,F$113,Q230:Q231),COUNT(N$113:Q230)+1,""))</f>
        <v/>
      </c>
      <c r="Q231" s="199" t="str">
        <f>IF(O230=O$113,IF(COUNTA(L$111:L230)-2&lt;DMAX(F$113:J$403,F$113,Q229:Q230),O$113,""),IF(Q230&lt;&gt;"",IF(COUNTA(L$111:L230)-2&lt;DMAX(F$113:J$403,F$113,O229:O230),Protokoll!I$1,""),""))</f>
        <v/>
      </c>
      <c r="T231" s="331" t="str">
        <f>IF(OR(Protokoll!$X$5&lt;&gt;"",Lokalbeskrivn!$M$4&lt;&gt;""),"",U231)</f>
        <v/>
      </c>
      <c r="U231" s="330" t="s">
        <v>1354</v>
      </c>
      <c r="V231" s="351" t="s">
        <v>1353</v>
      </c>
      <c r="W231" s="2"/>
      <c r="Y231" s="401" t="s">
        <v>2435</v>
      </c>
      <c r="Z231" s="401" t="s">
        <v>276</v>
      </c>
      <c r="AB231" s="472" t="str">
        <f>IF(COUNT(AB223:AB230)&gt;0,MAX(AB223:AB230)+1,"")</f>
        <v/>
      </c>
      <c r="AC231" s="433" t="str">
        <f>IF(AND(AH231&lt;&gt;"",AG231&lt;&gt;"",AI231&gt;0,AH231&gt;0),MAX(AC$2:AC230)+1,"XX")</f>
        <v>XX</v>
      </c>
      <c r="AD231" s="429" t="str">
        <f>IF('Antal &amp; Längder (vikter)'!$C$23&lt;&gt;"",'Antal &amp; Längder (vikter)'!$C$23,"XX")</f>
        <v>XX</v>
      </c>
      <c r="AE231" s="412" t="str">
        <f>IF(AND('Antal &amp; Längder (vikter)'!L$25&lt;&gt;"",ISNUMBER($AH231)),'Antal &amp; Längder (vikter)'!L$25,"")</f>
        <v/>
      </c>
      <c r="AF231" s="425" t="str">
        <f t="shared" si="8"/>
        <v/>
      </c>
      <c r="AG231" s="426" t="str">
        <f t="shared" si="9"/>
        <v/>
      </c>
      <c r="AH231" s="407" t="str">
        <f>IF('Antal &amp; Längder (vikter)'!L35&lt;&gt;"",'Antal &amp; Längder (vikter)'!L35,"XX")</f>
        <v>XX</v>
      </c>
      <c r="AI231" s="436">
        <f>IF('Antal &amp; Längder (vikter)'!M$26="Vikt (g)",'Antal &amp; Längder (vikter)'!M35,-9)</f>
        <v>-9</v>
      </c>
    </row>
    <row r="232" spans="5:35" x14ac:dyDescent="0.25">
      <c r="E232" s="2"/>
      <c r="F232" s="199">
        <f>COUNTIF(J$113:J232,J232)</f>
        <v>19</v>
      </c>
      <c r="G232" t="s">
        <v>249</v>
      </c>
      <c r="H232" s="330">
        <v>1441</v>
      </c>
      <c r="I232" s="330">
        <v>14</v>
      </c>
      <c r="J232" t="s">
        <v>114</v>
      </c>
      <c r="K232" s="143"/>
      <c r="L232" s="220" t="str">
        <f>IF(Protokoll!I$1&lt;&gt;"",IF(N231=N$113,IF(AND(DMAX(F$113:J$403,F$113,O231:O232)&gt;COUNTA(L$111:L231)-2,DCOUNTA(F$113:J$403,G$113,N231:O232)=1),DGET(F$113:J$403,G$113,N231:O232),""),IF(AND(DMAX(F$113:J$403,F$113,Q231:Q232)&gt;COUNTA(L$111:L231)-2,DCOUNTA(F$113:J$403,G$113,P231:Q232)=1),DGET(F$113:J$403,G$113,P231:Q232),"")),G232)</f>
        <v/>
      </c>
      <c r="M232" s="143"/>
      <c r="N232" s="221" t="str">
        <f>IF(N231=N$113,IF(COUNT(N$113:Q231)&lt;DMAX(F$113:J$403,F$113,O231:O232),COUNT(N$113:Q231)+1,""),IF(COUNT(N$113:Q231)&lt;DMAX(F$113:J$403,F$113,Q231:Q232),N$113,""))</f>
        <v/>
      </c>
      <c r="O232" s="222" t="str">
        <f>IF(O231=O$113,IF(COUNTA(L$111:L231)-2&lt;DMAX(F$113:J$403,F$113,Q230:Q231),Protokoll!I$1,""),IF(O231&lt;&gt;"",IF(COUNTA(L$111:L231)-1&lt;DMAX(F$113:J$403,F$113,O230:O231),O$113,""),""))</f>
        <v/>
      </c>
      <c r="P232" s="223" t="str">
        <f>IF(N231=N$113,IF(COUNT(N$113:Q231)&lt;DMAX(F$113:J$403,F$113,O231:O232),N$113,""),IF(COUNT(N$113:Q231)&lt;DMAX(F$113:J$403,F$113,Q231:Q232),COUNT(N$113:Q231)+1,""))</f>
        <v/>
      </c>
      <c r="Q232" s="199" t="str">
        <f>IF(O231=O$113,IF(COUNTA(L$111:L231)-2&lt;DMAX(F$113:J$403,F$113,Q230:Q231),O$113,""),IF(Q231&lt;&gt;"",IF(COUNTA(L$111:L231)-2&lt;DMAX(F$113:J$403,F$113,O230:O231),Protokoll!I$1,""),""))</f>
        <v/>
      </c>
      <c r="T232" s="331" t="str">
        <f>IF(OR(Protokoll!$X$5&lt;&gt;"",Lokalbeskrivn!$M$4&lt;&gt;""),"",U232)</f>
        <v/>
      </c>
      <c r="U232" s="330" t="s">
        <v>1356</v>
      </c>
      <c r="V232" s="351" t="s">
        <v>1355</v>
      </c>
      <c r="W232" s="2"/>
      <c r="Y232" s="401" t="s">
        <v>1839</v>
      </c>
      <c r="Z232" s="401" t="s">
        <v>1840</v>
      </c>
      <c r="AB232" s="479" t="str">
        <f>IF(COUNT(AB223:AB231)&gt;0,MAX(AB223:AB231)+1,"")</f>
        <v/>
      </c>
      <c r="AC232" s="433" t="str">
        <f>IF(AND(AH232&lt;&gt;"",AG232&lt;&gt;"",AI232&gt;0,AH232&gt;0),MAX(AC$2:AC231)+1,"XX")</f>
        <v>XX</v>
      </c>
      <c r="AD232" s="429" t="str">
        <f>IF('Antal &amp; Längder (vikter)'!$C$23&lt;&gt;"",'Antal &amp; Längder (vikter)'!$C$23,"XX")</f>
        <v>XX</v>
      </c>
      <c r="AE232" s="412" t="str">
        <f>IF(AND('Antal &amp; Längder (vikter)'!L$25&lt;&gt;"",ISNUMBER($AH232)),'Antal &amp; Längder (vikter)'!L$25,"")</f>
        <v/>
      </c>
      <c r="AF232" s="425" t="str">
        <f t="shared" si="8"/>
        <v/>
      </c>
      <c r="AG232" s="426" t="str">
        <f t="shared" si="9"/>
        <v/>
      </c>
      <c r="AH232" s="407" t="str">
        <f>IF('Antal &amp; Längder (vikter)'!L36&lt;&gt;"",'Antal &amp; Längder (vikter)'!L36,"XX")</f>
        <v>XX</v>
      </c>
      <c r="AI232" s="436">
        <f>IF('Antal &amp; Längder (vikter)'!M$26="Vikt (g)",'Antal &amp; Längder (vikter)'!M36,-9)</f>
        <v>-9</v>
      </c>
    </row>
    <row r="233" spans="5:35" x14ac:dyDescent="0.25">
      <c r="E233" s="2"/>
      <c r="F233" s="199">
        <f>COUNTIF(J$113:J233,J233)</f>
        <v>2</v>
      </c>
      <c r="G233" t="s">
        <v>250</v>
      </c>
      <c r="H233" s="330">
        <v>761</v>
      </c>
      <c r="I233" s="330">
        <v>7</v>
      </c>
      <c r="J233" t="s">
        <v>119</v>
      </c>
      <c r="K233" s="143"/>
      <c r="L233" s="220" t="str">
        <f>IF(Protokoll!I$1&lt;&gt;"",IF(N232=N$113,IF(AND(DMAX(F$113:J$403,F$113,O232:O233)&gt;COUNTA(L$111:L232)-2,DCOUNTA(F$113:J$403,G$113,N232:O233)=1),DGET(F$113:J$403,G$113,N232:O233),""),IF(AND(DMAX(F$113:J$403,F$113,Q232:Q233)&gt;COUNTA(L$111:L232)-2,DCOUNTA(F$113:J$403,G$113,P232:Q233)=1),DGET(F$113:J$403,G$113,P232:Q233),"")),G233)</f>
        <v/>
      </c>
      <c r="M233" s="143"/>
      <c r="N233" s="221" t="str">
        <f>IF(N232=N$113,IF(COUNT(N$113:Q232)&lt;DMAX(F$113:J$403,F$113,O232:O233),COUNT(N$113:Q232)+1,""),IF(COUNT(N$113:Q232)&lt;DMAX(F$113:J$403,F$113,Q232:Q233),N$113,""))</f>
        <v/>
      </c>
      <c r="O233" s="222" t="str">
        <f>IF(O232=O$113,IF(COUNTA(L$111:L232)-2&lt;DMAX(F$113:J$403,F$113,Q231:Q232),Protokoll!I$1,""),IF(O232&lt;&gt;"",IF(COUNTA(L$111:L232)-1&lt;DMAX(F$113:J$403,F$113,O231:O232),O$113,""),""))</f>
        <v/>
      </c>
      <c r="P233" s="223" t="str">
        <f>IF(N232=N$113,IF(COUNT(N$113:Q232)&lt;DMAX(F$113:J$403,F$113,O232:O233),N$113,""),IF(COUNT(N$113:Q232)&lt;DMAX(F$113:J$403,F$113,Q232:Q233),COUNT(N$113:Q232)+1,""))</f>
        <v/>
      </c>
      <c r="Q233" s="199" t="str">
        <f>IF(O232=O$113,IF(COUNTA(L$111:L232)-2&lt;DMAX(F$113:J$403,F$113,Q231:Q232),O$113,""),IF(Q232&lt;&gt;"",IF(COUNTA(L$111:L232)-2&lt;DMAX(F$113:J$403,F$113,O231:O232),Protokoll!I$1,""),""))</f>
        <v/>
      </c>
      <c r="T233" s="331" t="str">
        <f>IF(OR(Protokoll!$X$5&lt;&gt;"",Lokalbeskrivn!$M$4&lt;&gt;""),"",U233)</f>
        <v/>
      </c>
      <c r="U233" s="330" t="s">
        <v>1358</v>
      </c>
      <c r="V233" s="351" t="s">
        <v>1357</v>
      </c>
      <c r="W233" s="2"/>
      <c r="Y233" s="401" t="s">
        <v>2436</v>
      </c>
      <c r="Z233" s="401" t="s">
        <v>2437</v>
      </c>
      <c r="AB233" s="480" t="str">
        <f>IF(AND(ISNUMBER(AH233),AH233&gt;0),IF(MAX(AB$3:AB232)&gt;0,MAX(AB$3:AB232)+1,10+COUNTIF(F$38:F$49,"&gt;0")*10+1),"")</f>
        <v/>
      </c>
      <c r="AC233" s="433" t="str">
        <f>IF(AND(AH233&lt;&gt;"",AG233&lt;&gt;"",AI233&gt;0,AH233&gt;0),MAX(AC$2:AC232)+1,"XX")</f>
        <v>XX</v>
      </c>
      <c r="AD233" s="429" t="str">
        <f>IF('Antal &amp; Längder (vikter)'!$C$23&lt;&gt;"",'Antal &amp; Längder (vikter)'!$C$23,"XX")</f>
        <v>XX</v>
      </c>
      <c r="AE233" s="412" t="str">
        <f>IF(AND('Antal &amp; Längder (vikter)'!L$25&lt;&gt;"",ISNUMBER($AH233)),'Antal &amp; Längder (vikter)'!L$25,"")</f>
        <v/>
      </c>
      <c r="AF233" s="425" t="str">
        <f t="shared" si="8"/>
        <v/>
      </c>
      <c r="AG233" s="426" t="str">
        <f t="shared" si="9"/>
        <v/>
      </c>
      <c r="AH233" s="409" t="str">
        <f>IF('Antal &amp; Längder (vikter)'!M$26="Längd (mm)",IF('Antal &amp; Längder (vikter)'!M27&lt;&gt;"",'Antal &amp; Längder (vikter)'!M27,"XX"),"XX")</f>
        <v>XX</v>
      </c>
      <c r="AI233" s="7">
        <v>-9</v>
      </c>
    </row>
    <row r="234" spans="5:35" x14ac:dyDescent="0.25">
      <c r="E234" s="2"/>
      <c r="F234" s="199">
        <f>COUNTIF(J$113:J234,J234)</f>
        <v>7</v>
      </c>
      <c r="G234" t="s">
        <v>251</v>
      </c>
      <c r="H234" s="330">
        <v>186</v>
      </c>
      <c r="I234" s="330">
        <v>1</v>
      </c>
      <c r="J234" t="s">
        <v>136</v>
      </c>
      <c r="K234" s="143"/>
      <c r="L234" s="220" t="str">
        <f>IF(Protokoll!I$1&lt;&gt;"",IF(N233=N$113,IF(AND(DMAX(F$113:J$403,F$113,O233:O234)&gt;COUNTA(L$111:L233)-2,DCOUNTA(F$113:J$403,G$113,N233:O234)=1),DGET(F$113:J$403,G$113,N233:O234),""),IF(AND(DMAX(F$113:J$403,F$113,Q233:Q234)&gt;COUNTA(L$111:L233)-2,DCOUNTA(F$113:J$403,G$113,P233:Q234)=1),DGET(F$113:J$403,G$113,P233:Q234),"")),G234)</f>
        <v/>
      </c>
      <c r="M234" s="143"/>
      <c r="N234" s="221" t="str">
        <f>IF(N233=N$113,IF(COUNT(N$113:Q233)&lt;DMAX(F$113:J$403,F$113,O233:O234),COUNT(N$113:Q233)+1,""),IF(COUNT(N$113:Q233)&lt;DMAX(F$113:J$403,F$113,Q233:Q234),N$113,""))</f>
        <v/>
      </c>
      <c r="O234" s="222" t="str">
        <f>IF(O233=O$113,IF(COUNTA(L$111:L233)-2&lt;DMAX(F$113:J$403,F$113,Q232:Q233),Protokoll!I$1,""),IF(O233&lt;&gt;"",IF(COUNTA(L$111:L233)-1&lt;DMAX(F$113:J$403,F$113,O232:O233),O$113,""),""))</f>
        <v/>
      </c>
      <c r="P234" s="223" t="str">
        <f>IF(N233=N$113,IF(COUNT(N$113:Q233)&lt;DMAX(F$113:J$403,F$113,O233:O234),N$113,""),IF(COUNT(N$113:Q233)&lt;DMAX(F$113:J$403,F$113,Q233:Q234),COUNT(N$113:Q233)+1,""))</f>
        <v/>
      </c>
      <c r="Q234" s="199" t="str">
        <f>IF(O233=O$113,IF(COUNTA(L$111:L233)-2&lt;DMAX(F$113:J$403,F$113,Q232:Q233),O$113,""),IF(Q233&lt;&gt;"",IF(COUNTA(L$111:L233)-2&lt;DMAX(F$113:J$403,F$113,O232:O233),Protokoll!I$1,""),""))</f>
        <v/>
      </c>
      <c r="T234" s="331" t="str">
        <f>IF(OR(Protokoll!$X$5&lt;&gt;"",Lokalbeskrivn!$M$4&lt;&gt;""),"",U234)</f>
        <v/>
      </c>
      <c r="U234" s="330" t="s">
        <v>1360</v>
      </c>
      <c r="V234" s="351" t="s">
        <v>1359</v>
      </c>
      <c r="W234" s="2"/>
      <c r="Y234" s="401" t="s">
        <v>1709</v>
      </c>
      <c r="Z234" s="401" t="s">
        <v>1710</v>
      </c>
      <c r="AB234" s="476" t="str">
        <f>IF(COUNT(AB233:AB233)&gt;0,MAX(AB233:AB233)+1,"")</f>
        <v/>
      </c>
      <c r="AC234" s="433" t="str">
        <f>IF(AND(AH234&lt;&gt;"",AG234&lt;&gt;"",AI234&gt;0,AH234&gt;0),MAX(AC$2:AC233)+1,"XX")</f>
        <v>XX</v>
      </c>
      <c r="AD234" s="429" t="str">
        <f>IF('Antal &amp; Längder (vikter)'!$C$23&lt;&gt;"",'Antal &amp; Längder (vikter)'!$C$23,"XX")</f>
        <v>XX</v>
      </c>
      <c r="AE234" s="412" t="str">
        <f>IF(AND('Antal &amp; Längder (vikter)'!L$25&lt;&gt;"",ISNUMBER($AH234)),'Antal &amp; Längder (vikter)'!L$25,"")</f>
        <v/>
      </c>
      <c r="AF234" s="425" t="str">
        <f t="shared" si="8"/>
        <v/>
      </c>
      <c r="AG234" s="426" t="str">
        <f t="shared" si="9"/>
        <v/>
      </c>
      <c r="AH234" s="409" t="str">
        <f>IF('Antal &amp; Längder (vikter)'!M$26="Längd (mm)",IF('Antal &amp; Längder (vikter)'!M28&lt;&gt;"",'Antal &amp; Längder (vikter)'!M28,"XX"),"XX")</f>
        <v>XX</v>
      </c>
      <c r="AI234" s="7">
        <v>-9</v>
      </c>
    </row>
    <row r="235" spans="5:35" x14ac:dyDescent="0.25">
      <c r="E235" s="2"/>
      <c r="F235" s="199">
        <f>COUNTIF(J$113:J235,J235)</f>
        <v>20</v>
      </c>
      <c r="G235" t="s">
        <v>252</v>
      </c>
      <c r="H235" s="330">
        <v>1494</v>
      </c>
      <c r="I235" s="330">
        <v>14</v>
      </c>
      <c r="J235" t="s">
        <v>114</v>
      </c>
      <c r="K235" s="143"/>
      <c r="L235" s="220" t="str">
        <f>IF(Protokoll!I$1&lt;&gt;"",IF(N234=N$113,IF(AND(DMAX(F$113:J$403,F$113,O234:O235)&gt;COUNTA(L$111:L234)-2,DCOUNTA(F$113:J$403,G$113,N234:O235)=1),DGET(F$113:J$403,G$113,N234:O235),""),IF(AND(DMAX(F$113:J$403,F$113,Q234:Q235)&gt;COUNTA(L$111:L234)-2,DCOUNTA(F$113:J$403,G$113,P234:Q235)=1),DGET(F$113:J$403,G$113,P234:Q235),"")),G235)</f>
        <v/>
      </c>
      <c r="M235" s="143"/>
      <c r="N235" s="221" t="str">
        <f>IF(N234=N$113,IF(COUNT(N$113:Q234)&lt;DMAX(F$113:J$403,F$113,O234:O235),COUNT(N$113:Q234)+1,""),IF(COUNT(N$113:Q234)&lt;DMAX(F$113:J$403,F$113,Q234:Q235),N$113,""))</f>
        <v/>
      </c>
      <c r="O235" s="222" t="str">
        <f>IF(O234=O$113,IF(COUNTA(L$111:L234)-2&lt;DMAX(F$113:J$403,F$113,Q233:Q234),Protokoll!I$1,""),IF(O234&lt;&gt;"",IF(COUNTA(L$111:L234)-1&lt;DMAX(F$113:J$403,F$113,O233:O234),O$113,""),""))</f>
        <v/>
      </c>
      <c r="P235" s="223" t="str">
        <f>IF(N234=N$113,IF(COUNT(N$113:Q234)&lt;DMAX(F$113:J$403,F$113,O234:O235),N$113,""),IF(COUNT(N$113:Q234)&lt;DMAX(F$113:J$403,F$113,Q234:Q235),COUNT(N$113:Q234)+1,""))</f>
        <v/>
      </c>
      <c r="Q235" s="199" t="str">
        <f>IF(O234=O$113,IF(COUNTA(L$111:L234)-2&lt;DMAX(F$113:J$403,F$113,Q233:Q234),O$113,""),IF(Q234&lt;&gt;"",IF(COUNTA(L$111:L234)-2&lt;DMAX(F$113:J$403,F$113,O233:O234),Protokoll!I$1,""),""))</f>
        <v/>
      </c>
      <c r="T235" s="331" t="str">
        <f>IF(OR(Protokoll!$X$5&lt;&gt;"",Lokalbeskrivn!$M$4&lt;&gt;""),"",U235)</f>
        <v/>
      </c>
      <c r="U235" s="330" t="s">
        <v>1362</v>
      </c>
      <c r="V235" s="351" t="s">
        <v>1361</v>
      </c>
      <c r="W235" s="2"/>
      <c r="Y235" s="401" t="s">
        <v>2195</v>
      </c>
      <c r="Z235" s="401" t="s">
        <v>2196</v>
      </c>
      <c r="AB235" s="477" t="str">
        <f>IF(COUNT(AB233:AB234)&gt;0,MAX(AB233:AB234)+1,"")</f>
        <v/>
      </c>
      <c r="AC235" s="433" t="str">
        <f>IF(AND(AH235&lt;&gt;"",AG235&lt;&gt;"",AI235&gt;0,AH235&gt;0),MAX(AC$2:AC234)+1,"XX")</f>
        <v>XX</v>
      </c>
      <c r="AD235" s="429" t="str">
        <f>IF('Antal &amp; Längder (vikter)'!$C$23&lt;&gt;"",'Antal &amp; Längder (vikter)'!$C$23,"XX")</f>
        <v>XX</v>
      </c>
      <c r="AE235" s="412" t="str">
        <f>IF(AND('Antal &amp; Längder (vikter)'!L$25&lt;&gt;"",ISNUMBER($AH235)),'Antal &amp; Längder (vikter)'!L$25,"")</f>
        <v/>
      </c>
      <c r="AF235" s="425" t="str">
        <f t="shared" si="8"/>
        <v/>
      </c>
      <c r="AG235" s="426" t="str">
        <f t="shared" si="9"/>
        <v/>
      </c>
      <c r="AH235" s="409" t="str">
        <f>IF('Antal &amp; Längder (vikter)'!M$26="Längd (mm)",IF('Antal &amp; Längder (vikter)'!M29&lt;&gt;"",'Antal &amp; Längder (vikter)'!M29,"XX"),"XX")</f>
        <v>XX</v>
      </c>
      <c r="AI235" s="7">
        <v>-9</v>
      </c>
    </row>
    <row r="236" spans="5:35" x14ac:dyDescent="0.25">
      <c r="E236" s="2"/>
      <c r="F236" s="199">
        <f>COUNTIF(J$113:J236,J236)</f>
        <v>21</v>
      </c>
      <c r="G236" t="s">
        <v>253</v>
      </c>
      <c r="H236" s="330">
        <v>1462</v>
      </c>
      <c r="I236" s="330">
        <v>14</v>
      </c>
      <c r="J236" t="s">
        <v>114</v>
      </c>
      <c r="K236" s="143"/>
      <c r="L236" s="220" t="str">
        <f>IF(Protokoll!I$1&lt;&gt;"",IF(N235=N$113,IF(AND(DMAX(F$113:J$403,F$113,O235:O236)&gt;COUNTA(L$111:L235)-2,DCOUNTA(F$113:J$403,G$113,N235:O236)=1),DGET(F$113:J$403,G$113,N235:O236),""),IF(AND(DMAX(F$113:J$403,F$113,Q235:Q236)&gt;COUNTA(L$111:L235)-2,DCOUNTA(F$113:J$403,G$113,P235:Q236)=1),DGET(F$113:J$403,G$113,P235:Q236),"")),G236)</f>
        <v/>
      </c>
      <c r="M236" s="143"/>
      <c r="N236" s="221" t="str">
        <f>IF(N235=N$113,IF(COUNT(N$113:Q235)&lt;DMAX(F$113:J$403,F$113,O235:O236),COUNT(N$113:Q235)+1,""),IF(COUNT(N$113:Q235)&lt;DMAX(F$113:J$403,F$113,Q235:Q236),N$113,""))</f>
        <v/>
      </c>
      <c r="O236" s="222" t="str">
        <f>IF(O235=O$113,IF(COUNTA(L$111:L235)-2&lt;DMAX(F$113:J$403,F$113,Q234:Q235),Protokoll!I$1,""),IF(O235&lt;&gt;"",IF(COUNTA(L$111:L235)-1&lt;DMAX(F$113:J$403,F$113,O234:O235),O$113,""),""))</f>
        <v/>
      </c>
      <c r="P236" s="223" t="str">
        <f>IF(N235=N$113,IF(COUNT(N$113:Q235)&lt;DMAX(F$113:J$403,F$113,O235:O236),N$113,""),IF(COUNT(N$113:Q235)&lt;DMAX(F$113:J$403,F$113,Q235:Q236),COUNT(N$113:Q235)+1,""))</f>
        <v/>
      </c>
      <c r="Q236" s="199" t="str">
        <f>IF(O235=O$113,IF(COUNTA(L$111:L235)-2&lt;DMAX(F$113:J$403,F$113,Q234:Q235),O$113,""),IF(Q235&lt;&gt;"",IF(COUNTA(L$111:L235)-2&lt;DMAX(F$113:J$403,F$113,O234:O235),Protokoll!I$1,""),""))</f>
        <v/>
      </c>
      <c r="T236" s="331" t="str">
        <f>IF(OR(Protokoll!$X$5&lt;&gt;"",Lokalbeskrivn!$M$4&lt;&gt;""),"",U236)</f>
        <v/>
      </c>
      <c r="U236" s="330" t="s">
        <v>1364</v>
      </c>
      <c r="V236" s="351" t="s">
        <v>1363</v>
      </c>
      <c r="W236" s="2"/>
      <c r="X236" s="1"/>
      <c r="Y236" s="401" t="s">
        <v>1970</v>
      </c>
      <c r="Z236" s="401" t="s">
        <v>1971</v>
      </c>
      <c r="AB236" s="434" t="str">
        <f>IF(COUNT(AB233:AB235)&gt;0,MAX(AB233:AB235)+1,"")</f>
        <v/>
      </c>
      <c r="AC236" s="433" t="str">
        <f>IF(AND(AH236&lt;&gt;"",AG236&lt;&gt;"",AI236&gt;0,AH236&gt;0),MAX(AC$2:AC235)+1,"XX")</f>
        <v>XX</v>
      </c>
      <c r="AD236" s="429" t="str">
        <f>IF('Antal &amp; Längder (vikter)'!$C$23&lt;&gt;"",'Antal &amp; Längder (vikter)'!$C$23,"XX")</f>
        <v>XX</v>
      </c>
      <c r="AE236" s="412" t="str">
        <f>IF(AND('Antal &amp; Längder (vikter)'!L$25&lt;&gt;"",ISNUMBER($AH236)),'Antal &amp; Längder (vikter)'!L$25,"")</f>
        <v/>
      </c>
      <c r="AF236" s="425" t="str">
        <f t="shared" si="8"/>
        <v/>
      </c>
      <c r="AG236" s="426" t="str">
        <f t="shared" si="9"/>
        <v/>
      </c>
      <c r="AH236" s="409" t="str">
        <f>IF('Antal &amp; Längder (vikter)'!M$26="Längd (mm)",IF('Antal &amp; Längder (vikter)'!M30&lt;&gt;"",'Antal &amp; Längder (vikter)'!M30,"XX"),"XX")</f>
        <v>XX</v>
      </c>
      <c r="AI236" s="7">
        <v>-9</v>
      </c>
    </row>
    <row r="237" spans="5:35" x14ac:dyDescent="0.25">
      <c r="E237" s="2"/>
      <c r="F237" s="199">
        <f>COUNTIF(J$113:J237,J237)</f>
        <v>9</v>
      </c>
      <c r="G237" t="s">
        <v>254</v>
      </c>
      <c r="H237" s="330">
        <v>1885</v>
      </c>
      <c r="I237" s="330">
        <v>18</v>
      </c>
      <c r="J237" t="s">
        <v>133</v>
      </c>
      <c r="K237" s="143"/>
      <c r="L237" s="220" t="str">
        <f>IF(Protokoll!I$1&lt;&gt;"",IF(N236=N$113,IF(AND(DMAX(F$113:J$403,F$113,O236:O237)&gt;COUNTA(L$111:L236)-2,DCOUNTA(F$113:J$403,G$113,N236:O237)=1),DGET(F$113:J$403,G$113,N236:O237),""),IF(AND(DMAX(F$113:J$403,F$113,Q236:Q237)&gt;COUNTA(L$111:L236)-2,DCOUNTA(F$113:J$403,G$113,P236:Q237)=1),DGET(F$113:J$403,G$113,P236:Q237),"")),G237)</f>
        <v/>
      </c>
      <c r="M237" s="143"/>
      <c r="N237" s="221" t="str">
        <f>IF(N236=N$113,IF(COUNT(N$113:Q236)&lt;DMAX(F$113:J$403,F$113,O236:O237),COUNT(N$113:Q236)+1,""),IF(COUNT(N$113:Q236)&lt;DMAX(F$113:J$403,F$113,Q236:Q237),N$113,""))</f>
        <v/>
      </c>
      <c r="O237" s="222" t="str">
        <f>IF(O236=O$113,IF(COUNTA(L$111:L236)-2&lt;DMAX(F$113:J$403,F$113,Q235:Q236),Protokoll!I$1,""),IF(O236&lt;&gt;"",IF(COUNTA(L$111:L236)-1&lt;DMAX(F$113:J$403,F$113,O235:O236),O$113,""),""))</f>
        <v/>
      </c>
      <c r="P237" s="223" t="str">
        <f>IF(N236=N$113,IF(COUNT(N$113:Q236)&lt;DMAX(F$113:J$403,F$113,O236:O237),N$113,""),IF(COUNT(N$113:Q236)&lt;DMAX(F$113:J$403,F$113,Q236:Q237),COUNT(N$113:Q236)+1,""))</f>
        <v/>
      </c>
      <c r="Q237" s="199" t="str">
        <f>IF(O236=O$113,IF(COUNTA(L$111:L236)-2&lt;DMAX(F$113:J$403,F$113,Q235:Q236),O$113,""),IF(Q236&lt;&gt;"",IF(COUNTA(L$111:L236)-2&lt;DMAX(F$113:J$403,F$113,O235:O236),Protokoll!I$1,""),""))</f>
        <v/>
      </c>
      <c r="T237" s="331" t="str">
        <f>IF(OR(Protokoll!$X$5&lt;&gt;"",Lokalbeskrivn!$M$4&lt;&gt;""),"",U237)</f>
        <v/>
      </c>
      <c r="U237" s="330" t="s">
        <v>1366</v>
      </c>
      <c r="V237" s="351" t="s">
        <v>1365</v>
      </c>
      <c r="W237" s="2"/>
      <c r="Y237" s="401" t="s">
        <v>1665</v>
      </c>
      <c r="Z237" s="401" t="s">
        <v>1666</v>
      </c>
      <c r="AB237" s="475" t="str">
        <f>IF(COUNT(AB233:AB236)&gt;0,MAX(AB233:AB236)+1,"")</f>
        <v/>
      </c>
      <c r="AC237" s="433" t="str">
        <f>IF(AND(AH237&lt;&gt;"",AG237&lt;&gt;"",AI237&gt;0,AH237&gt;0),MAX(AC$2:AC236)+1,"XX")</f>
        <v>XX</v>
      </c>
      <c r="AD237" s="429" t="str">
        <f>IF('Antal &amp; Längder (vikter)'!$C$23&lt;&gt;"",'Antal &amp; Längder (vikter)'!$C$23,"XX")</f>
        <v>XX</v>
      </c>
      <c r="AE237" s="412" t="str">
        <f>IF(AND('Antal &amp; Längder (vikter)'!L$25&lt;&gt;"",ISNUMBER($AH237)),'Antal &amp; Längder (vikter)'!L$25,"")</f>
        <v/>
      </c>
      <c r="AF237" s="425" t="str">
        <f t="shared" si="8"/>
        <v/>
      </c>
      <c r="AG237" s="426" t="str">
        <f t="shared" si="9"/>
        <v/>
      </c>
      <c r="AH237" s="409" t="str">
        <f>IF('Antal &amp; Längder (vikter)'!M$26="Längd (mm)",IF('Antal &amp; Längder (vikter)'!M31&lt;&gt;"",'Antal &amp; Längder (vikter)'!M31,"XX"),"XX")</f>
        <v>XX</v>
      </c>
      <c r="AI237" s="7">
        <v>-9</v>
      </c>
    </row>
    <row r="238" spans="5:35" x14ac:dyDescent="0.25">
      <c r="E238" s="2"/>
      <c r="F238" s="199">
        <f>COUNTIF(J$113:J238,J238)</f>
        <v>4</v>
      </c>
      <c r="G238" t="s">
        <v>255</v>
      </c>
      <c r="H238" s="330">
        <v>580</v>
      </c>
      <c r="I238" s="330">
        <v>5</v>
      </c>
      <c r="J238" t="s">
        <v>150</v>
      </c>
      <c r="K238" s="143"/>
      <c r="L238" s="220" t="str">
        <f>IF(Protokoll!I$1&lt;&gt;"",IF(N237=N$113,IF(AND(DMAX(F$113:J$403,F$113,O237:O238)&gt;COUNTA(L$111:L237)-2,DCOUNTA(F$113:J$403,G$113,N237:O238)=1),DGET(F$113:J$403,G$113,N237:O238),""),IF(AND(DMAX(F$113:J$403,F$113,Q237:Q238)&gt;COUNTA(L$111:L237)-2,DCOUNTA(F$113:J$403,G$113,P237:Q238)=1),DGET(F$113:J$403,G$113,P237:Q238),"")),G238)</f>
        <v/>
      </c>
      <c r="M238" s="143"/>
      <c r="N238" s="221" t="str">
        <f>IF(N237=N$113,IF(COUNT(N$113:Q237)&lt;DMAX(F$113:J$403,F$113,O237:O238),COUNT(N$113:Q237)+1,""),IF(COUNT(N$113:Q237)&lt;DMAX(F$113:J$403,F$113,Q237:Q238),N$113,""))</f>
        <v/>
      </c>
      <c r="O238" s="222" t="str">
        <f>IF(O237=O$113,IF(COUNTA(L$111:L237)-2&lt;DMAX(F$113:J$403,F$113,Q236:Q237),Protokoll!I$1,""),IF(O237&lt;&gt;"",IF(COUNTA(L$111:L237)-1&lt;DMAX(F$113:J$403,F$113,O236:O237),O$113,""),""))</f>
        <v/>
      </c>
      <c r="P238" s="223" t="str">
        <f>IF(N237=N$113,IF(COUNT(N$113:Q237)&lt;DMAX(F$113:J$403,F$113,O237:O238),N$113,""),IF(COUNT(N$113:Q237)&lt;DMAX(F$113:J$403,F$113,Q237:Q238),COUNT(N$113:Q237)+1,""))</f>
        <v/>
      </c>
      <c r="Q238" s="199" t="str">
        <f>IF(O237=O$113,IF(COUNTA(L$111:L237)-2&lt;DMAX(F$113:J$403,F$113,Q236:Q237),O$113,""),IF(Q237&lt;&gt;"",IF(COUNTA(L$111:L237)-2&lt;DMAX(F$113:J$403,F$113,O236:O237),Protokoll!I$1,""),""))</f>
        <v/>
      </c>
      <c r="T238" s="331" t="str">
        <f>IF(OR(Protokoll!$X$5&lt;&gt;"",Lokalbeskrivn!$M$4&lt;&gt;""),"",U238)</f>
        <v/>
      </c>
      <c r="U238" s="330" t="s">
        <v>1368</v>
      </c>
      <c r="V238" s="351" t="s">
        <v>1367</v>
      </c>
      <c r="W238" s="2"/>
      <c r="Y238" s="401" t="s">
        <v>2438</v>
      </c>
      <c r="Z238" s="401" t="s">
        <v>2439</v>
      </c>
      <c r="AB238" s="471" t="str">
        <f>IF(COUNT(AB233:AB237)&gt;0,MAX(AB233:AB237)+1,"")</f>
        <v/>
      </c>
      <c r="AC238" s="433" t="str">
        <f>IF(AND(AH238&lt;&gt;"",AG238&lt;&gt;"",AI238&gt;0,AH238&gt;0),MAX(AC$2:AC237)+1,"XX")</f>
        <v>XX</v>
      </c>
      <c r="AD238" s="429" t="str">
        <f>IF('Antal &amp; Längder (vikter)'!$C$23&lt;&gt;"",'Antal &amp; Längder (vikter)'!$C$23,"XX")</f>
        <v>XX</v>
      </c>
      <c r="AE238" s="412" t="str">
        <f>IF(AND('Antal &amp; Längder (vikter)'!L$25&lt;&gt;"",ISNUMBER($AH238)),'Antal &amp; Längder (vikter)'!L$25,"")</f>
        <v/>
      </c>
      <c r="AF238" s="425" t="str">
        <f t="shared" si="8"/>
        <v/>
      </c>
      <c r="AG238" s="426" t="str">
        <f t="shared" si="9"/>
        <v/>
      </c>
      <c r="AH238" s="409" t="str">
        <f>IF('Antal &amp; Längder (vikter)'!M$26="Längd (mm)",IF('Antal &amp; Längder (vikter)'!M32&lt;&gt;"",'Antal &amp; Längder (vikter)'!M32,"XX"),"XX")</f>
        <v>XX</v>
      </c>
      <c r="AI238" s="7">
        <v>-9</v>
      </c>
    </row>
    <row r="239" spans="5:35" x14ac:dyDescent="0.25">
      <c r="E239" s="2"/>
      <c r="F239" s="199">
        <f>COUNTIF(J$113:J239,J239)</f>
        <v>3</v>
      </c>
      <c r="G239" t="s">
        <v>256</v>
      </c>
      <c r="H239" s="330">
        <v>781</v>
      </c>
      <c r="I239" s="330">
        <v>7</v>
      </c>
      <c r="J239" t="s">
        <v>119</v>
      </c>
      <c r="K239" s="143"/>
      <c r="L239" s="220" t="str">
        <f>IF(Protokoll!I$1&lt;&gt;"",IF(N238=N$113,IF(AND(DMAX(F$113:J$403,F$113,O238:O239)&gt;COUNTA(L$111:L238)-2,DCOUNTA(F$113:J$403,G$113,N238:O239)=1),DGET(F$113:J$403,G$113,N238:O239),""),IF(AND(DMAX(F$113:J$403,F$113,Q238:Q239)&gt;COUNTA(L$111:L238)-2,DCOUNTA(F$113:J$403,G$113,P238:Q239)=1),DGET(F$113:J$403,G$113,P238:Q239),"")),G239)</f>
        <v/>
      </c>
      <c r="M239" s="143"/>
      <c r="N239" s="221" t="str">
        <f>IF(N238=N$113,IF(COUNT(N$113:Q238)&lt;DMAX(F$113:J$403,F$113,O238:O239),COUNT(N$113:Q238)+1,""),IF(COUNT(N$113:Q238)&lt;DMAX(F$113:J$403,F$113,Q238:Q239),N$113,""))</f>
        <v/>
      </c>
      <c r="O239" s="222" t="str">
        <f>IF(O238=O$113,IF(COUNTA(L$111:L238)-2&lt;DMAX(F$113:J$403,F$113,Q237:Q238),Protokoll!I$1,""),IF(O238&lt;&gt;"",IF(COUNTA(L$111:L238)-1&lt;DMAX(F$113:J$403,F$113,O237:O238),O$113,""),""))</f>
        <v/>
      </c>
      <c r="P239" s="223" t="str">
        <f>IF(N238=N$113,IF(COUNT(N$113:Q238)&lt;DMAX(F$113:J$403,F$113,O238:O239),N$113,""),IF(COUNT(N$113:Q238)&lt;DMAX(F$113:J$403,F$113,Q238:Q239),COUNT(N$113:Q238)+1,""))</f>
        <v/>
      </c>
      <c r="Q239" s="199" t="str">
        <f>IF(O238=O$113,IF(COUNTA(L$111:L238)-2&lt;DMAX(F$113:J$403,F$113,Q237:Q238),O$113,""),IF(Q238&lt;&gt;"",IF(COUNTA(L$111:L238)-2&lt;DMAX(F$113:J$403,F$113,O237:O238),Protokoll!I$1,""),""))</f>
        <v/>
      </c>
      <c r="T239" s="331" t="str">
        <f>IF(OR(Protokoll!$X$5&lt;&gt;"",Lokalbeskrivn!$M$4&lt;&gt;""),"",U239)</f>
        <v/>
      </c>
      <c r="U239" s="330" t="s">
        <v>1370</v>
      </c>
      <c r="V239" s="351" t="s">
        <v>1369</v>
      </c>
      <c r="W239" s="520"/>
      <c r="Y239" s="401" t="s">
        <v>2197</v>
      </c>
      <c r="Z239" s="401" t="s">
        <v>2198</v>
      </c>
      <c r="AB239" s="474" t="str">
        <f>IF(COUNT(AB233:AB238)&gt;0,MAX(AB233:AB238)+1,"")</f>
        <v/>
      </c>
      <c r="AC239" s="433" t="str">
        <f>IF(AND(AH239&lt;&gt;"",AG239&lt;&gt;"",AI239&gt;0,AH239&gt;0),MAX(AC$2:AC238)+1,"XX")</f>
        <v>XX</v>
      </c>
      <c r="AD239" s="429" t="str">
        <f>IF('Antal &amp; Längder (vikter)'!$C$23&lt;&gt;"",'Antal &amp; Längder (vikter)'!$C$23,"XX")</f>
        <v>XX</v>
      </c>
      <c r="AE239" s="412" t="str">
        <f>IF(AND('Antal &amp; Längder (vikter)'!L$25&lt;&gt;"",ISNUMBER($AH239)),'Antal &amp; Längder (vikter)'!L$25,"")</f>
        <v/>
      </c>
      <c r="AF239" s="425" t="str">
        <f t="shared" si="8"/>
        <v/>
      </c>
      <c r="AG239" s="426" t="str">
        <f t="shared" si="9"/>
        <v/>
      </c>
      <c r="AH239" s="409" t="str">
        <f>IF('Antal &amp; Längder (vikter)'!M$26="Längd (mm)",IF('Antal &amp; Längder (vikter)'!M33&lt;&gt;"",'Antal &amp; Längder (vikter)'!M33,"XX"),"XX")</f>
        <v>XX</v>
      </c>
      <c r="AI239" s="7">
        <v>-9</v>
      </c>
    </row>
    <row r="240" spans="5:35" x14ac:dyDescent="0.25">
      <c r="E240" s="2"/>
      <c r="F240" s="199">
        <f>COUNTIF(J$113:J240,J240)</f>
        <v>5</v>
      </c>
      <c r="G240" t="s">
        <v>257</v>
      </c>
      <c r="H240" s="330">
        <v>2161</v>
      </c>
      <c r="I240" s="330">
        <v>21</v>
      </c>
      <c r="J240" t="s">
        <v>117</v>
      </c>
      <c r="K240" s="143"/>
      <c r="L240" s="220" t="str">
        <f>IF(Protokoll!I$1&lt;&gt;"",IF(N239=N$113,IF(AND(DMAX(F$113:J$403,F$113,O239:O240)&gt;COUNTA(L$111:L239)-2,DCOUNTA(F$113:J$403,G$113,N239:O240)=1),DGET(F$113:J$403,G$113,N239:O240),""),IF(AND(DMAX(F$113:J$403,F$113,Q239:Q240)&gt;COUNTA(L$111:L239)-2,DCOUNTA(F$113:J$403,G$113,P239:Q240)=1),DGET(F$113:J$403,G$113,P239:Q240),"")),G240)</f>
        <v/>
      </c>
      <c r="M240" s="143"/>
      <c r="N240" s="221" t="str">
        <f>IF(N239=N$113,IF(COUNT(N$113:Q239)&lt;DMAX(F$113:J$403,F$113,O239:O240),COUNT(N$113:Q239)+1,""),IF(COUNT(N$113:Q239)&lt;DMAX(F$113:J$403,F$113,Q239:Q240),N$113,""))</f>
        <v/>
      </c>
      <c r="O240" s="222" t="str">
        <f>IF(O239=O$113,IF(COUNTA(L$111:L239)-2&lt;DMAX(F$113:J$403,F$113,Q238:Q239),Protokoll!I$1,""),IF(O239&lt;&gt;"",IF(COUNTA(L$111:L239)-1&lt;DMAX(F$113:J$403,F$113,O238:O239),O$113,""),""))</f>
        <v/>
      </c>
      <c r="P240" s="223" t="str">
        <f>IF(N239=N$113,IF(COUNT(N$113:Q239)&lt;DMAX(F$113:J$403,F$113,O239:O240),N$113,""),IF(COUNT(N$113:Q239)&lt;DMAX(F$113:J$403,F$113,Q239:Q240),COUNT(N$113:Q239)+1,""))</f>
        <v/>
      </c>
      <c r="Q240" s="199" t="str">
        <f>IF(O239=O$113,IF(COUNTA(L$111:L239)-2&lt;DMAX(F$113:J$403,F$113,Q238:Q239),O$113,""),IF(Q239&lt;&gt;"",IF(COUNTA(L$111:L239)-2&lt;DMAX(F$113:J$403,F$113,O238:O239),Protokoll!I$1,""),""))</f>
        <v/>
      </c>
      <c r="T240" s="331" t="str">
        <f>IF(OR(Protokoll!$X$5&lt;&gt;"",Lokalbeskrivn!$M$4&lt;&gt;""),"",U240)</f>
        <v/>
      </c>
      <c r="U240" s="330" t="s">
        <v>1372</v>
      </c>
      <c r="V240" s="351" t="s">
        <v>1371</v>
      </c>
      <c r="W240" s="2"/>
      <c r="Y240" s="572" t="s">
        <v>1858</v>
      </c>
      <c r="Z240" s="572" t="s">
        <v>1859</v>
      </c>
      <c r="AB240" s="478" t="str">
        <f>IF(COUNT(AB233:AB239)&gt;0,MAX(AB233:AB239)+1,"")</f>
        <v/>
      </c>
      <c r="AC240" s="433" t="str">
        <f>IF(AND(AH240&lt;&gt;"",AG240&lt;&gt;"",AI240&gt;0,AH240&gt;0),MAX(AC$2:AC239)+1,"XX")</f>
        <v>XX</v>
      </c>
      <c r="AD240" s="429" t="str">
        <f>IF('Antal &amp; Längder (vikter)'!$C$23&lt;&gt;"",'Antal &amp; Längder (vikter)'!$C$23,"XX")</f>
        <v>XX</v>
      </c>
      <c r="AE240" s="412" t="str">
        <f>IF(AND('Antal &amp; Längder (vikter)'!L$25&lt;&gt;"",ISNUMBER($AH240)),'Antal &amp; Längder (vikter)'!L$25,"")</f>
        <v/>
      </c>
      <c r="AF240" s="425" t="str">
        <f t="shared" si="8"/>
        <v/>
      </c>
      <c r="AG240" s="426" t="str">
        <f t="shared" si="9"/>
        <v/>
      </c>
      <c r="AH240" s="409" t="str">
        <f>IF('Antal &amp; Längder (vikter)'!M$26="Längd (mm)",IF('Antal &amp; Längder (vikter)'!M34&lt;&gt;"",'Antal &amp; Längder (vikter)'!M34,"XX"),"XX")</f>
        <v>XX</v>
      </c>
      <c r="AI240" s="7">
        <v>-9</v>
      </c>
    </row>
    <row r="241" spans="5:35" x14ac:dyDescent="0.25">
      <c r="E241" s="2"/>
      <c r="F241" s="199">
        <f>COUNTIF(J$113:J241,J241)</f>
        <v>10</v>
      </c>
      <c r="G241" t="s">
        <v>258</v>
      </c>
      <c r="H241" s="330">
        <v>1864</v>
      </c>
      <c r="I241" s="330">
        <v>18</v>
      </c>
      <c r="J241" t="s">
        <v>133</v>
      </c>
      <c r="K241" s="143"/>
      <c r="L241" s="220" t="str">
        <f>IF(Protokoll!I$1&lt;&gt;"",IF(N240=N$113,IF(AND(DMAX(F$113:J$403,F$113,O240:O241)&gt;COUNTA(L$111:L240)-2,DCOUNTA(F$113:J$403,G$113,N240:O241)=1),DGET(F$113:J$403,G$113,N240:O241),""),IF(AND(DMAX(F$113:J$403,F$113,Q240:Q241)&gt;COUNTA(L$111:L240)-2,DCOUNTA(F$113:J$403,G$113,P240:Q241)=1),DGET(F$113:J$403,G$113,P240:Q241),"")),G241)</f>
        <v/>
      </c>
      <c r="M241" s="143"/>
      <c r="N241" s="221" t="str">
        <f>IF(N240=N$113,IF(COUNT(N$113:Q240)&lt;DMAX(F$113:J$403,F$113,O240:O241),COUNT(N$113:Q240)+1,""),IF(COUNT(N$113:Q240)&lt;DMAX(F$113:J$403,F$113,Q240:Q241),N$113,""))</f>
        <v/>
      </c>
      <c r="O241" s="222" t="str">
        <f>IF(O240=O$113,IF(COUNTA(L$111:L240)-2&lt;DMAX(F$113:J$403,F$113,Q239:Q240),Protokoll!I$1,""),IF(O240&lt;&gt;"",IF(COUNTA(L$111:L240)-1&lt;DMAX(F$113:J$403,F$113,O239:O240),O$113,""),""))</f>
        <v/>
      </c>
      <c r="P241" s="223" t="str">
        <f>IF(N240=N$113,IF(COUNT(N$113:Q240)&lt;DMAX(F$113:J$403,F$113,O240:O241),N$113,""),IF(COUNT(N$113:Q240)&lt;DMAX(F$113:J$403,F$113,Q240:Q241),COUNT(N$113:Q240)+1,""))</f>
        <v/>
      </c>
      <c r="Q241" s="199" t="str">
        <f>IF(O240=O$113,IF(COUNTA(L$111:L240)-2&lt;DMAX(F$113:J$403,F$113,Q239:Q240),O$113,""),IF(Q240&lt;&gt;"",IF(COUNTA(L$111:L240)-2&lt;DMAX(F$113:J$403,F$113,O239:O240),Protokoll!I$1,""),""))</f>
        <v/>
      </c>
      <c r="T241" s="331" t="str">
        <f>IF(OR(Protokoll!$X$5&lt;&gt;"",Lokalbeskrivn!$M$4&lt;&gt;""),"",U241)</f>
        <v/>
      </c>
      <c r="U241" s="330" t="s">
        <v>1374</v>
      </c>
      <c r="V241" s="351" t="s">
        <v>1373</v>
      </c>
      <c r="W241" s="2"/>
      <c r="Y241" s="572" t="s">
        <v>1854</v>
      </c>
      <c r="Z241" s="572" t="s">
        <v>1855</v>
      </c>
      <c r="AB241" s="472" t="str">
        <f>IF(COUNT(AB233:AB240)&gt;0,MAX(AB233:AB240)+1,"")</f>
        <v/>
      </c>
      <c r="AC241" s="433" t="str">
        <f>IF(AND(AH241&lt;&gt;"",AG241&lt;&gt;"",AI241&gt;0,AH241&gt;0),MAX(AC$2:AC240)+1,"XX")</f>
        <v>XX</v>
      </c>
      <c r="AD241" s="429" t="str">
        <f>IF('Antal &amp; Längder (vikter)'!$C$23&lt;&gt;"",'Antal &amp; Längder (vikter)'!$C$23,"XX")</f>
        <v>XX</v>
      </c>
      <c r="AE241" s="412" t="str">
        <f>IF(AND('Antal &amp; Längder (vikter)'!L$25&lt;&gt;"",ISNUMBER($AH241)),'Antal &amp; Längder (vikter)'!L$25,"")</f>
        <v/>
      </c>
      <c r="AF241" s="425" t="str">
        <f t="shared" si="8"/>
        <v/>
      </c>
      <c r="AG241" s="426" t="str">
        <f t="shared" si="9"/>
        <v/>
      </c>
      <c r="AH241" s="409" t="str">
        <f>IF('Antal &amp; Längder (vikter)'!M$26="Längd (mm)",IF('Antal &amp; Längder (vikter)'!M35&lt;&gt;"",'Antal &amp; Längder (vikter)'!M35,"XX"),"XX")</f>
        <v>XX</v>
      </c>
      <c r="AI241" s="7">
        <v>-9</v>
      </c>
    </row>
    <row r="242" spans="5:35" x14ac:dyDescent="0.25">
      <c r="E242" s="2"/>
      <c r="F242" s="199">
        <f>COUNTIF(J$113:J242,J242)</f>
        <v>15</v>
      </c>
      <c r="G242" t="s">
        <v>259</v>
      </c>
      <c r="H242" s="330">
        <v>1262</v>
      </c>
      <c r="I242" s="330">
        <v>12</v>
      </c>
      <c r="J242" t="s">
        <v>134</v>
      </c>
      <c r="K242" s="143"/>
      <c r="L242" s="220" t="str">
        <f>IF(Protokoll!I$1&lt;&gt;"",IF(N241=N$113,IF(AND(DMAX(F$113:J$403,F$113,O241:O242)&gt;COUNTA(L$111:L241)-2,DCOUNTA(F$113:J$403,G$113,N241:O242)=1),DGET(F$113:J$403,G$113,N241:O242),""),IF(AND(DMAX(F$113:J$403,F$113,Q241:Q242)&gt;COUNTA(L$111:L241)-2,DCOUNTA(F$113:J$403,G$113,P241:Q242)=1),DGET(F$113:J$403,G$113,P241:Q242),"")),G242)</f>
        <v/>
      </c>
      <c r="M242" s="143"/>
      <c r="N242" s="221" t="str">
        <f>IF(N241=N$113,IF(COUNT(N$113:Q241)&lt;DMAX(F$113:J$403,F$113,O241:O242),COUNT(N$113:Q241)+1,""),IF(COUNT(N$113:Q241)&lt;DMAX(F$113:J$403,F$113,Q241:Q242),N$113,""))</f>
        <v/>
      </c>
      <c r="O242" s="222" t="str">
        <f>IF(O241=O$113,IF(COUNTA(L$111:L241)-2&lt;DMAX(F$113:J$403,F$113,Q240:Q241),Protokoll!I$1,""),IF(O241&lt;&gt;"",IF(COUNTA(L$111:L241)-1&lt;DMAX(F$113:J$403,F$113,O240:O241),O$113,""),""))</f>
        <v/>
      </c>
      <c r="P242" s="223" t="str">
        <f>IF(N241=N$113,IF(COUNT(N$113:Q241)&lt;DMAX(F$113:J$403,F$113,O241:O242),N$113,""),IF(COUNT(N$113:Q241)&lt;DMAX(F$113:J$403,F$113,Q241:Q242),COUNT(N$113:Q241)+1,""))</f>
        <v/>
      </c>
      <c r="Q242" s="199" t="str">
        <f>IF(O241=O$113,IF(COUNTA(L$111:L241)-2&lt;DMAX(F$113:J$403,F$113,Q240:Q241),O$113,""),IF(Q241&lt;&gt;"",IF(COUNTA(L$111:L241)-2&lt;DMAX(F$113:J$403,F$113,O240:O241),Protokoll!I$1,""),""))</f>
        <v/>
      </c>
      <c r="T242" s="331" t="str">
        <f>IF(OR(Protokoll!$X$5&lt;&gt;"",Lokalbeskrivn!$M$4&lt;&gt;""),"",U242)</f>
        <v/>
      </c>
      <c r="U242" s="330" t="s">
        <v>1376</v>
      </c>
      <c r="V242" s="351" t="s">
        <v>1375</v>
      </c>
      <c r="W242" s="2"/>
      <c r="Y242" s="572" t="s">
        <v>2440</v>
      </c>
      <c r="Z242" s="572" t="s">
        <v>2441</v>
      </c>
      <c r="AB242" s="479" t="str">
        <f>IF(COUNT(AB233:AB241)&gt;0,MAX(AB233:AB241)+1,"")</f>
        <v/>
      </c>
      <c r="AC242" s="433" t="str">
        <f>IF(AND(AH242&lt;&gt;"",AG242&lt;&gt;"",AI242&gt;0,AH242&gt;0),MAX(AC$2:AC241)+1,"XX")</f>
        <v>XX</v>
      </c>
      <c r="AD242" s="429" t="str">
        <f>IF('Antal &amp; Längder (vikter)'!$C$23&lt;&gt;"",'Antal &amp; Längder (vikter)'!$C$23,"XX")</f>
        <v>XX</v>
      </c>
      <c r="AE242" s="412" t="str">
        <f>IF(AND('Antal &amp; Längder (vikter)'!L$25&lt;&gt;"",ISNUMBER($AH242)),'Antal &amp; Längder (vikter)'!L$25,"")</f>
        <v/>
      </c>
      <c r="AF242" s="425" t="str">
        <f t="shared" si="8"/>
        <v/>
      </c>
      <c r="AG242" s="426" t="str">
        <f t="shared" si="9"/>
        <v/>
      </c>
      <c r="AH242" s="409" t="str">
        <f>IF('Antal &amp; Längder (vikter)'!M$26="Längd (mm)",IF('Antal &amp; Längder (vikter)'!M36&lt;&gt;"",'Antal &amp; Längder (vikter)'!M36,"XX"),"XX")</f>
        <v>XX</v>
      </c>
      <c r="AI242" s="7">
        <v>-9</v>
      </c>
    </row>
    <row r="243" spans="5:35" x14ac:dyDescent="0.25">
      <c r="E243" s="2"/>
      <c r="F243" s="199">
        <f>COUNTIF(J$113:J243,J243)</f>
        <v>7</v>
      </c>
      <c r="G243" t="s">
        <v>260</v>
      </c>
      <c r="H243" s="330">
        <v>2085</v>
      </c>
      <c r="I243" s="330">
        <v>20</v>
      </c>
      <c r="J243" t="s">
        <v>112</v>
      </c>
      <c r="K243" s="143"/>
      <c r="L243" s="220" t="str">
        <f>IF(Protokoll!I$1&lt;&gt;"",IF(N242=N$113,IF(AND(DMAX(F$113:J$403,F$113,O242:O243)&gt;COUNTA(L$111:L242)-2,DCOUNTA(F$113:J$403,G$113,N242:O243)=1),DGET(F$113:J$403,G$113,N242:O243),""),IF(AND(DMAX(F$113:J$403,F$113,Q242:Q243)&gt;COUNTA(L$111:L242)-2,DCOUNTA(F$113:J$403,G$113,P242:Q243)=1),DGET(F$113:J$403,G$113,P242:Q243),"")),G243)</f>
        <v/>
      </c>
      <c r="M243" s="143"/>
      <c r="N243" s="221" t="str">
        <f>IF(N242=N$113,IF(COUNT(N$113:Q242)&lt;DMAX(F$113:J$403,F$113,O242:O243),COUNT(N$113:Q242)+1,""),IF(COUNT(N$113:Q242)&lt;DMAX(F$113:J$403,F$113,Q242:Q243),N$113,""))</f>
        <v/>
      </c>
      <c r="O243" s="222" t="str">
        <f>IF(O242=O$113,IF(COUNTA(L$111:L242)-2&lt;DMAX(F$113:J$403,F$113,Q241:Q242),Protokoll!I$1,""),IF(O242&lt;&gt;"",IF(COUNTA(L$111:L242)-1&lt;DMAX(F$113:J$403,F$113,O241:O242),O$113,""),""))</f>
        <v/>
      </c>
      <c r="P243" s="223" t="str">
        <f>IF(N242=N$113,IF(COUNT(N$113:Q242)&lt;DMAX(F$113:J$403,F$113,O242:O243),N$113,""),IF(COUNT(N$113:Q242)&lt;DMAX(F$113:J$403,F$113,Q242:Q243),COUNT(N$113:Q242)+1,""))</f>
        <v/>
      </c>
      <c r="Q243" s="199" t="str">
        <f>IF(O242=O$113,IF(COUNTA(L$111:L242)-2&lt;DMAX(F$113:J$403,F$113,Q241:Q242),O$113,""),IF(Q242&lt;&gt;"",IF(COUNTA(L$111:L242)-2&lt;DMAX(F$113:J$403,F$113,O241:O242),Protokoll!I$1,""),""))</f>
        <v/>
      </c>
      <c r="T243" s="331" t="str">
        <f>IF(OR(Protokoll!$X$5&lt;&gt;"",Lokalbeskrivn!$M$4&lt;&gt;""),"",U243)</f>
        <v/>
      </c>
      <c r="U243" s="330" t="s">
        <v>1378</v>
      </c>
      <c r="V243" s="351" t="s">
        <v>1377</v>
      </c>
      <c r="W243" s="2"/>
      <c r="Y243" s="572" t="s">
        <v>1850</v>
      </c>
      <c r="Z243" s="572" t="s">
        <v>1851</v>
      </c>
      <c r="AB243" s="480" t="str">
        <f>IF(AND(ISNUMBER(AH243),AH243&gt;0),IF(MAX(AB$3:AB242)&gt;0,MAX(AB$3:AB242)+1,10+COUNTIF(F$38:F$49,"&gt;0")*10+1),"")</f>
        <v/>
      </c>
      <c r="AC243" s="433" t="str">
        <f>IF(AND(AH243&lt;&gt;"",AG243&lt;&gt;"",AI243&gt;0,AH243&gt;0),MAX(AC$2:AC242)+1,"XX")</f>
        <v>XX</v>
      </c>
      <c r="AD243" s="430" t="str">
        <f>IF('Antal &amp; Längder (vikter)'!$C$38&lt;&gt;"",'Antal &amp; Längder (vikter)'!$C$38,"XX")</f>
        <v>XX</v>
      </c>
      <c r="AE243" s="408" t="str">
        <f>IF(AND('Antal &amp; Längder (vikter)'!B$40&lt;&gt;"",ISNUMBER($AH243)),'Antal &amp; Längder (vikter)'!B$40,"")</f>
        <v/>
      </c>
      <c r="AF243" s="425" t="str">
        <f t="shared" si="8"/>
        <v/>
      </c>
      <c r="AG243" s="426" t="str">
        <f t="shared" si="9"/>
        <v/>
      </c>
      <c r="AH243" s="407" t="str">
        <f>IF('Antal &amp; Längder (vikter)'!B42&lt;&gt;"",'Antal &amp; Längder (vikter)'!B42,"XX")</f>
        <v>XX</v>
      </c>
      <c r="AI243" s="405">
        <f>IF('Antal &amp; Längder (vikter)'!C$41="Vikt (g)",IF('Antal &amp; Längder (vikter)'!C42&lt;&gt;"",'Antal &amp; Längder (vikter)'!C42,-9),-9)</f>
        <v>-9</v>
      </c>
    </row>
    <row r="244" spans="5:35" x14ac:dyDescent="0.25">
      <c r="E244" s="2"/>
      <c r="F244" s="199">
        <f>COUNTIF(J$113:J244,J244)</f>
        <v>9</v>
      </c>
      <c r="G244" t="s">
        <v>261</v>
      </c>
      <c r="H244" s="330">
        <v>2580</v>
      </c>
      <c r="I244" s="330">
        <v>25</v>
      </c>
      <c r="J244" t="s">
        <v>127</v>
      </c>
      <c r="K244" s="143"/>
      <c r="L244" s="220" t="str">
        <f>IF(Protokoll!I$1&lt;&gt;"",IF(N243=N$113,IF(AND(DMAX(F$113:J$403,F$113,O243:O244)&gt;COUNTA(L$111:L243)-2,DCOUNTA(F$113:J$403,G$113,N243:O244)=1),DGET(F$113:J$403,G$113,N243:O244),""),IF(AND(DMAX(F$113:J$403,F$113,Q243:Q244)&gt;COUNTA(L$111:L243)-2,DCOUNTA(F$113:J$403,G$113,P243:Q244)=1),DGET(F$113:J$403,G$113,P243:Q244),"")),G244)</f>
        <v/>
      </c>
      <c r="M244" s="143"/>
      <c r="N244" s="221" t="str">
        <f>IF(N243=N$113,IF(COUNT(N$113:Q243)&lt;DMAX(F$113:J$403,F$113,O243:O244),COUNT(N$113:Q243)+1,""),IF(COUNT(N$113:Q243)&lt;DMAX(F$113:J$403,F$113,Q243:Q244),N$113,""))</f>
        <v/>
      </c>
      <c r="O244" s="222" t="str">
        <f>IF(O243=O$113,IF(COUNTA(L$111:L243)-2&lt;DMAX(F$113:J$403,F$113,Q242:Q243),Protokoll!I$1,""),IF(O243&lt;&gt;"",IF(COUNTA(L$111:L243)-1&lt;DMAX(F$113:J$403,F$113,O242:O243),O$113,""),""))</f>
        <v/>
      </c>
      <c r="P244" s="223" t="str">
        <f>IF(N243=N$113,IF(COUNT(N$113:Q243)&lt;DMAX(F$113:J$403,F$113,O243:O244),N$113,""),IF(COUNT(N$113:Q243)&lt;DMAX(F$113:J$403,F$113,Q243:Q244),COUNT(N$113:Q243)+1,""))</f>
        <v/>
      </c>
      <c r="Q244" s="199" t="str">
        <f>IF(O243=O$113,IF(COUNTA(L$111:L243)-2&lt;DMAX(F$113:J$403,F$113,Q242:Q243),O$113,""),IF(Q243&lt;&gt;"",IF(COUNTA(L$111:L243)-2&lt;DMAX(F$113:J$403,F$113,O242:O243),Protokoll!I$1,""),""))</f>
        <v/>
      </c>
      <c r="T244" s="331" t="str">
        <f>IF(OR(Protokoll!$X$5&lt;&gt;"",Lokalbeskrivn!$M$4&lt;&gt;""),"",U244)</f>
        <v/>
      </c>
      <c r="U244" s="330" t="s">
        <v>1380</v>
      </c>
      <c r="V244" s="351" t="s">
        <v>1379</v>
      </c>
      <c r="W244" s="2"/>
      <c r="Y244" s="572" t="s">
        <v>1523</v>
      </c>
      <c r="Z244" s="572" t="s">
        <v>1860</v>
      </c>
      <c r="AB244" s="476" t="str">
        <f>IF(COUNT(AB243:AB243)&gt;0,MAX(AB243:AB243)+1,"")</f>
        <v/>
      </c>
      <c r="AC244" s="433" t="str">
        <f>IF(AND(AH244&lt;&gt;"",AG244&lt;&gt;"",AI244&gt;0,AH244&gt;0),MAX(AC$2:AC243)+1,"XX")</f>
        <v>XX</v>
      </c>
      <c r="AD244" s="430" t="str">
        <f>IF('Antal &amp; Längder (vikter)'!$C$38&lt;&gt;"",'Antal &amp; Längder (vikter)'!$C$38,"XX")</f>
        <v>XX</v>
      </c>
      <c r="AE244" s="408" t="str">
        <f>IF(AND('Antal &amp; Längder (vikter)'!B$40&lt;&gt;"",ISNUMBER($AH244)),'Antal &amp; Längder (vikter)'!B$40,"")</f>
        <v/>
      </c>
      <c r="AF244" s="425" t="str">
        <f t="shared" si="8"/>
        <v/>
      </c>
      <c r="AG244" s="426" t="str">
        <f t="shared" si="9"/>
        <v/>
      </c>
      <c r="AH244" s="407" t="str">
        <f>IF('Antal &amp; Längder (vikter)'!B43&lt;&gt;"",'Antal &amp; Längder (vikter)'!B43,"XX")</f>
        <v>XX</v>
      </c>
      <c r="AI244" s="405">
        <f>IF('Antal &amp; Längder (vikter)'!C$41="Vikt (g)",IF('Antal &amp; Längder (vikter)'!C43&lt;&gt;"",'Antal &amp; Längder (vikter)'!C43,-9),-9)</f>
        <v>-9</v>
      </c>
    </row>
    <row r="245" spans="5:35" x14ac:dyDescent="0.25">
      <c r="E245" s="2"/>
      <c r="F245" s="199">
        <f>COUNTIF(J$113:J245,J245)</f>
        <v>16</v>
      </c>
      <c r="G245" t="s">
        <v>262</v>
      </c>
      <c r="H245" s="330">
        <v>1281</v>
      </c>
      <c r="I245" s="330">
        <v>12</v>
      </c>
      <c r="J245" t="s">
        <v>134</v>
      </c>
      <c r="K245" s="143"/>
      <c r="L245" s="220" t="str">
        <f>IF(Protokoll!I$1&lt;&gt;"",IF(N244=N$113,IF(AND(DMAX(F$113:J$403,F$113,O244:O245)&gt;COUNTA(L$111:L244)-2,DCOUNTA(F$113:J$403,G$113,N244:O245)=1),DGET(F$113:J$403,G$113,N244:O245),""),IF(AND(DMAX(F$113:J$403,F$113,Q244:Q245)&gt;COUNTA(L$111:L244)-2,DCOUNTA(F$113:J$403,G$113,P244:Q245)=1),DGET(F$113:J$403,G$113,P244:Q245),"")),G245)</f>
        <v/>
      </c>
      <c r="M245" s="143"/>
      <c r="N245" s="221" t="str">
        <f>IF(N244=N$113,IF(COUNT(N$113:Q244)&lt;DMAX(F$113:J$403,F$113,O244:O245),COUNT(N$113:Q244)+1,""),IF(COUNT(N$113:Q244)&lt;DMAX(F$113:J$403,F$113,Q244:Q245),N$113,""))</f>
        <v/>
      </c>
      <c r="O245" s="222" t="str">
        <f>IF(O244=O$113,IF(COUNTA(L$111:L244)-2&lt;DMAX(F$113:J$403,F$113,Q243:Q244),Protokoll!I$1,""),IF(O244&lt;&gt;"",IF(COUNTA(L$111:L244)-1&lt;DMAX(F$113:J$403,F$113,O243:O244),O$113,""),""))</f>
        <v/>
      </c>
      <c r="P245" s="223" t="str">
        <f>IF(N244=N$113,IF(COUNT(N$113:Q244)&lt;DMAX(F$113:J$403,F$113,O244:O245),N$113,""),IF(COUNT(N$113:Q244)&lt;DMAX(F$113:J$403,F$113,Q244:Q245),COUNT(N$113:Q244)+1,""))</f>
        <v/>
      </c>
      <c r="Q245" s="199" t="str">
        <f>IF(O244=O$113,IF(COUNTA(L$111:L244)-2&lt;DMAX(F$113:J$403,F$113,Q243:Q244),O$113,""),IF(Q244&lt;&gt;"",IF(COUNTA(L$111:L244)-2&lt;DMAX(F$113:J$403,F$113,O243:O244),Protokoll!I$1,""),""))</f>
        <v/>
      </c>
      <c r="T245" s="331" t="str">
        <f>IF(OR(Protokoll!$X$5&lt;&gt;"",Lokalbeskrivn!$M$4&lt;&gt;""),"",U245)</f>
        <v/>
      </c>
      <c r="U245" s="330" t="s">
        <v>1382</v>
      </c>
      <c r="V245" s="351" t="s">
        <v>1381</v>
      </c>
      <c r="W245" s="2"/>
      <c r="Y245" s="572" t="s">
        <v>1856</v>
      </c>
      <c r="Z245" s="572" t="s">
        <v>1857</v>
      </c>
      <c r="AB245" s="477" t="str">
        <f>IF(COUNT(AB243:AB244)&gt;0,MAX(AB243:AB244)+1,"")</f>
        <v/>
      </c>
      <c r="AC245" s="433" t="str">
        <f>IF(AND(AH245&lt;&gt;"",AG245&lt;&gt;"",AI245&gt;0,AH245&gt;0),MAX(AC$2:AC244)+1,"XX")</f>
        <v>XX</v>
      </c>
      <c r="AD245" s="430" t="str">
        <f>IF('Antal &amp; Längder (vikter)'!$C$38&lt;&gt;"",'Antal &amp; Längder (vikter)'!$C$38,"XX")</f>
        <v>XX</v>
      </c>
      <c r="AE245" s="408" t="str">
        <f>IF(AND('Antal &amp; Längder (vikter)'!B$40&lt;&gt;"",ISNUMBER($AH245)),'Antal &amp; Längder (vikter)'!B$40,"")</f>
        <v/>
      </c>
      <c r="AF245" s="425" t="str">
        <f t="shared" si="8"/>
        <v/>
      </c>
      <c r="AG245" s="426" t="str">
        <f t="shared" si="9"/>
        <v/>
      </c>
      <c r="AH245" s="407" t="str">
        <f>IF('Antal &amp; Längder (vikter)'!B44&lt;&gt;"",'Antal &amp; Längder (vikter)'!B44,"XX")</f>
        <v>XX</v>
      </c>
      <c r="AI245" s="405">
        <f>IF('Antal &amp; Längder (vikter)'!C$41="Vikt (g)",IF('Antal &amp; Längder (vikter)'!C44&lt;&gt;"",'Antal &amp; Längder (vikter)'!C44,-9),-9)</f>
        <v>-9</v>
      </c>
    </row>
    <row r="246" spans="5:35" x14ac:dyDescent="0.25">
      <c r="E246" s="2"/>
      <c r="F246" s="199">
        <f>COUNTIF(J$113:J246,J246)</f>
        <v>3</v>
      </c>
      <c r="G246" t="s">
        <v>263</v>
      </c>
      <c r="H246" s="330">
        <v>2481</v>
      </c>
      <c r="I246" s="330">
        <v>24</v>
      </c>
      <c r="J246" t="s">
        <v>142</v>
      </c>
      <c r="K246" s="143"/>
      <c r="L246" s="220" t="str">
        <f>IF(Protokoll!I$1&lt;&gt;"",IF(N245=N$113,IF(AND(DMAX(F$113:J$403,F$113,O245:O246)&gt;COUNTA(L$111:L245)-2,DCOUNTA(F$113:J$403,G$113,N245:O246)=1),DGET(F$113:J$403,G$113,N245:O246),""),IF(AND(DMAX(F$113:J$403,F$113,Q245:Q246)&gt;COUNTA(L$111:L245)-2,DCOUNTA(F$113:J$403,G$113,P245:Q246)=1),DGET(F$113:J$403,G$113,P245:Q246),"")),G246)</f>
        <v/>
      </c>
      <c r="M246" s="143"/>
      <c r="N246" s="221" t="str">
        <f>IF(N245=N$113,IF(COUNT(N$113:Q245)&lt;DMAX(F$113:J$403,F$113,O245:O246),COUNT(N$113:Q245)+1,""),IF(COUNT(N$113:Q245)&lt;DMAX(F$113:J$403,F$113,Q245:Q246),N$113,""))</f>
        <v/>
      </c>
      <c r="O246" s="222" t="str">
        <f>IF(O245=O$113,IF(COUNTA(L$111:L245)-2&lt;DMAX(F$113:J$403,F$113,Q244:Q245),Protokoll!I$1,""),IF(O245&lt;&gt;"",IF(COUNTA(L$111:L245)-1&lt;DMAX(F$113:J$403,F$113,O244:O245),O$113,""),""))</f>
        <v/>
      </c>
      <c r="P246" s="223" t="str">
        <f>IF(N245=N$113,IF(COUNT(N$113:Q245)&lt;DMAX(F$113:J$403,F$113,O245:O246),N$113,""),IF(COUNT(N$113:Q245)&lt;DMAX(F$113:J$403,F$113,Q245:Q246),COUNT(N$113:Q245)+1,""))</f>
        <v/>
      </c>
      <c r="Q246" s="199" t="str">
        <f>IF(O245=O$113,IF(COUNTA(L$111:L245)-2&lt;DMAX(F$113:J$403,F$113,Q244:Q245),O$113,""),IF(Q245&lt;&gt;"",IF(COUNTA(L$111:L245)-2&lt;DMAX(F$113:J$403,F$113,O244:O245),Protokoll!I$1,""),""))</f>
        <v/>
      </c>
      <c r="T246" s="331" t="str">
        <f>IF(OR(Protokoll!$X$5&lt;&gt;"",Lokalbeskrivn!$M$4&lt;&gt;""),"",U246)</f>
        <v/>
      </c>
      <c r="U246" s="330" t="s">
        <v>1384</v>
      </c>
      <c r="V246" s="351" t="s">
        <v>1383</v>
      </c>
      <c r="W246" s="2"/>
      <c r="Y246" s="572" t="s">
        <v>2181</v>
      </c>
      <c r="Z246" s="572" t="s">
        <v>2182</v>
      </c>
      <c r="AB246" s="434" t="str">
        <f>IF(COUNT(AB243:AB245)&gt;0,MAX(AB243:AB245)+1,"")</f>
        <v/>
      </c>
      <c r="AC246" s="433" t="str">
        <f>IF(AND(AH246&lt;&gt;"",AG246&lt;&gt;"",AI246&gt;0,AH246&gt;0),MAX(AC$2:AC245)+1,"XX")</f>
        <v>XX</v>
      </c>
      <c r="AD246" s="430" t="str">
        <f>IF('Antal &amp; Längder (vikter)'!$C$38&lt;&gt;"",'Antal &amp; Längder (vikter)'!$C$38,"XX")</f>
        <v>XX</v>
      </c>
      <c r="AE246" s="408" t="str">
        <f>IF(AND('Antal &amp; Längder (vikter)'!B$40&lt;&gt;"",ISNUMBER($AH246)),'Antal &amp; Längder (vikter)'!B$40,"")</f>
        <v/>
      </c>
      <c r="AF246" s="425" t="str">
        <f t="shared" si="8"/>
        <v/>
      </c>
      <c r="AG246" s="426" t="str">
        <f t="shared" si="9"/>
        <v/>
      </c>
      <c r="AH246" s="407" t="str">
        <f>IF('Antal &amp; Längder (vikter)'!B45&lt;&gt;"",'Antal &amp; Längder (vikter)'!B45,"XX")</f>
        <v>XX</v>
      </c>
      <c r="AI246" s="405">
        <f>IF('Antal &amp; Längder (vikter)'!C$41="Vikt (g)",IF('Antal &amp; Längder (vikter)'!C45&lt;&gt;"",'Antal &amp; Längder (vikter)'!C45,-9),-9)</f>
        <v>-9</v>
      </c>
    </row>
    <row r="247" spans="5:35" x14ac:dyDescent="0.25">
      <c r="E247" s="2"/>
      <c r="F247" s="199">
        <f>COUNTIF(J$113:J247,J247)</f>
        <v>22</v>
      </c>
      <c r="G247" t="s">
        <v>264</v>
      </c>
      <c r="H247" s="330">
        <v>1484</v>
      </c>
      <c r="I247" s="330">
        <v>14</v>
      </c>
      <c r="J247" t="s">
        <v>114</v>
      </c>
      <c r="K247" s="143"/>
      <c r="L247" s="220" t="str">
        <f>IF(Protokoll!I$1&lt;&gt;"",IF(N246=N$113,IF(AND(DMAX(F$113:J$403,F$113,O246:O247)&gt;COUNTA(L$111:L246)-2,DCOUNTA(F$113:J$403,G$113,N246:O247)=1),DGET(F$113:J$403,G$113,N246:O247),""),IF(AND(DMAX(F$113:J$403,F$113,Q246:Q247)&gt;COUNTA(L$111:L246)-2,DCOUNTA(F$113:J$403,G$113,P246:Q247)=1),DGET(F$113:J$403,G$113,P246:Q247),"")),G247)</f>
        <v/>
      </c>
      <c r="M247" s="143"/>
      <c r="N247" s="221" t="str">
        <f>IF(N246=N$113,IF(COUNT(N$113:Q246)&lt;DMAX(F$113:J$403,F$113,O246:O247),COUNT(N$113:Q246)+1,""),IF(COUNT(N$113:Q246)&lt;DMAX(F$113:J$403,F$113,Q246:Q247),N$113,""))</f>
        <v/>
      </c>
      <c r="O247" s="222" t="str">
        <f>IF(O246=O$113,IF(COUNTA(L$111:L246)-2&lt;DMAX(F$113:J$403,F$113,Q245:Q246),Protokoll!I$1,""),IF(O246&lt;&gt;"",IF(COUNTA(L$111:L246)-1&lt;DMAX(F$113:J$403,F$113,O245:O246),O$113,""),""))</f>
        <v/>
      </c>
      <c r="P247" s="223" t="str">
        <f>IF(N246=N$113,IF(COUNT(N$113:Q246)&lt;DMAX(F$113:J$403,F$113,O246:O247),N$113,""),IF(COUNT(N$113:Q246)&lt;DMAX(F$113:J$403,F$113,Q246:Q247),COUNT(N$113:Q246)+1,""))</f>
        <v/>
      </c>
      <c r="Q247" s="199" t="str">
        <f>IF(O246=O$113,IF(COUNTA(L$111:L246)-2&lt;DMAX(F$113:J$403,F$113,Q245:Q246),O$113,""),IF(Q246&lt;&gt;"",IF(COUNTA(L$111:L246)-2&lt;DMAX(F$113:J$403,F$113,O245:O246),Protokoll!I$1,""),""))</f>
        <v/>
      </c>
      <c r="T247" s="331" t="str">
        <f>IF(OR(Protokoll!$X$5&lt;&gt;"",Lokalbeskrivn!$M$4&lt;&gt;""),"",U247)</f>
        <v/>
      </c>
      <c r="U247" s="330" t="s">
        <v>1505</v>
      </c>
      <c r="V247" s="351" t="s">
        <v>1385</v>
      </c>
      <c r="W247" s="2"/>
      <c r="Y247" s="572" t="s">
        <v>2442</v>
      </c>
      <c r="Z247" s="572" t="s">
        <v>2443</v>
      </c>
      <c r="AB247" s="475" t="str">
        <f>IF(COUNT(AB243:AB246)&gt;0,MAX(AB243:AB246)+1,"")</f>
        <v/>
      </c>
      <c r="AC247" s="433" t="str">
        <f>IF(AND(AH247&lt;&gt;"",AG247&lt;&gt;"",AI247&gt;0,AH247&gt;0),MAX(AC$2:AC246)+1,"XX")</f>
        <v>XX</v>
      </c>
      <c r="AD247" s="430" t="str">
        <f>IF('Antal &amp; Längder (vikter)'!$C$38&lt;&gt;"",'Antal &amp; Längder (vikter)'!$C$38,"XX")</f>
        <v>XX</v>
      </c>
      <c r="AE247" s="408" t="str">
        <f>IF(AND('Antal &amp; Längder (vikter)'!B$40&lt;&gt;"",ISNUMBER($AH247)),'Antal &amp; Längder (vikter)'!B$40,"")</f>
        <v/>
      </c>
      <c r="AF247" s="425" t="str">
        <f t="shared" si="8"/>
        <v/>
      </c>
      <c r="AG247" s="426" t="str">
        <f t="shared" si="9"/>
        <v/>
      </c>
      <c r="AH247" s="407" t="str">
        <f>IF('Antal &amp; Längder (vikter)'!B46&lt;&gt;"",'Antal &amp; Längder (vikter)'!B46,"XX")</f>
        <v>XX</v>
      </c>
      <c r="AI247" s="405">
        <f>IF('Antal &amp; Längder (vikter)'!C$41="Vikt (g)",IF('Antal &amp; Längder (vikter)'!C46&lt;&gt;"",'Antal &amp; Längder (vikter)'!C46,-9),-9)</f>
        <v>-9</v>
      </c>
    </row>
    <row r="248" spans="5:35" x14ac:dyDescent="0.25">
      <c r="E248" s="2"/>
      <c r="F248" s="199">
        <f>COUNTIF(J$113:J248,J248)</f>
        <v>17</v>
      </c>
      <c r="G248" t="s">
        <v>265</v>
      </c>
      <c r="H248" s="330">
        <v>1280</v>
      </c>
      <c r="I248" s="330">
        <v>12</v>
      </c>
      <c r="J248" t="s">
        <v>134</v>
      </c>
      <c r="K248" s="143"/>
      <c r="L248" s="220" t="str">
        <f>IF(Protokoll!I$1&lt;&gt;"",IF(N247=N$113,IF(AND(DMAX(F$113:J$403,F$113,O247:O248)&gt;COUNTA(L$111:L247)-2,DCOUNTA(F$113:J$403,G$113,N247:O248)=1),DGET(F$113:J$403,G$113,N247:O248),""),IF(AND(DMAX(F$113:J$403,F$113,Q247:Q248)&gt;COUNTA(L$111:L247)-2,DCOUNTA(F$113:J$403,G$113,P247:Q248)=1),DGET(F$113:J$403,G$113,P247:Q248),"")),G248)</f>
        <v/>
      </c>
      <c r="M248" s="143"/>
      <c r="N248" s="221" t="str">
        <f>IF(N247=N$113,IF(COUNT(N$113:Q247)&lt;DMAX(F$113:J$403,F$113,O247:O248),COUNT(N$113:Q247)+1,""),IF(COUNT(N$113:Q247)&lt;DMAX(F$113:J$403,F$113,Q247:Q248),N$113,""))</f>
        <v/>
      </c>
      <c r="O248" s="222" t="str">
        <f>IF(O247=O$113,IF(COUNTA(L$111:L247)-2&lt;DMAX(F$113:J$403,F$113,Q246:Q247),Protokoll!I$1,""),IF(O247&lt;&gt;"",IF(COUNTA(L$111:L247)-1&lt;DMAX(F$113:J$403,F$113,O246:O247),O$113,""),""))</f>
        <v/>
      </c>
      <c r="P248" s="223" t="str">
        <f>IF(N247=N$113,IF(COUNT(N$113:Q247)&lt;DMAX(F$113:J$403,F$113,O247:O248),N$113,""),IF(COUNT(N$113:Q247)&lt;DMAX(F$113:J$403,F$113,Q247:Q248),COUNT(N$113:Q247)+1,""))</f>
        <v/>
      </c>
      <c r="Q248" s="199" t="str">
        <f>IF(O247=O$113,IF(COUNTA(L$111:L247)-2&lt;DMAX(F$113:J$403,F$113,Q246:Q247),O$113,""),IF(Q247&lt;&gt;"",IF(COUNTA(L$111:L247)-2&lt;DMAX(F$113:J$403,F$113,O246:O247),Protokoll!I$1,""),""))</f>
        <v/>
      </c>
      <c r="T248" s="331" t="str">
        <f>IF(OR(Protokoll!$X$5&lt;&gt;"",Lokalbeskrivn!$M$4&lt;&gt;""),"",U248)</f>
        <v/>
      </c>
      <c r="U248" s="330" t="s">
        <v>1387</v>
      </c>
      <c r="V248" s="351" t="s">
        <v>1386</v>
      </c>
      <c r="W248" s="2"/>
      <c r="Y248" s="572" t="s">
        <v>2245</v>
      </c>
      <c r="Z248" s="572" t="s">
        <v>2246</v>
      </c>
      <c r="AB248" s="471" t="str">
        <f>IF(COUNT(AB243:AB247)&gt;0,MAX(AB243:AB247)+1,"")</f>
        <v/>
      </c>
      <c r="AC248" s="433" t="str">
        <f>IF(AND(AH248&lt;&gt;"",AG248&lt;&gt;"",AI248&gt;0,AH248&gt;0),MAX(AC$2:AC247)+1,"XX")</f>
        <v>XX</v>
      </c>
      <c r="AD248" s="430" t="str">
        <f>IF('Antal &amp; Längder (vikter)'!$C$38&lt;&gt;"",'Antal &amp; Längder (vikter)'!$C$38,"XX")</f>
        <v>XX</v>
      </c>
      <c r="AE248" s="408" t="str">
        <f>IF(AND('Antal &amp; Längder (vikter)'!B$40&lt;&gt;"",ISNUMBER($AH248)),'Antal &amp; Längder (vikter)'!B$40,"")</f>
        <v/>
      </c>
      <c r="AF248" s="425" t="str">
        <f t="shared" si="8"/>
        <v/>
      </c>
      <c r="AG248" s="426" t="str">
        <f t="shared" si="9"/>
        <v/>
      </c>
      <c r="AH248" s="407" t="str">
        <f>IF('Antal &amp; Längder (vikter)'!B47&lt;&gt;"",'Antal &amp; Längder (vikter)'!B47,"XX")</f>
        <v>XX</v>
      </c>
      <c r="AI248" s="405">
        <f>IF('Antal &amp; Längder (vikter)'!C$41="Vikt (g)",IF('Antal &amp; Längder (vikter)'!C47&lt;&gt;"",'Antal &amp; Längder (vikter)'!C47,-9),-9)</f>
        <v>-9</v>
      </c>
    </row>
    <row r="249" spans="5:35" x14ac:dyDescent="0.25">
      <c r="E249" s="2"/>
      <c r="F249" s="199">
        <f>COUNTIF(J$113:J249,J249)</f>
        <v>8</v>
      </c>
      <c r="G249" t="s">
        <v>2040</v>
      </c>
      <c r="H249" s="330">
        <v>2023</v>
      </c>
      <c r="I249" s="330">
        <v>20</v>
      </c>
      <c r="J249" t="s">
        <v>112</v>
      </c>
      <c r="K249" s="143"/>
      <c r="L249" s="220" t="str">
        <f>IF(Protokoll!I$1&lt;&gt;"",IF(N248=N$113,IF(AND(DMAX(F$113:J$403,F$113,O248:O249)&gt;COUNTA(L$111:L248)-2,DCOUNTA(F$113:J$403,G$113,N248:O249)=1),DGET(F$113:J$403,G$113,N248:O249),""),IF(AND(DMAX(F$113:J$403,F$113,Q248:Q249)&gt;COUNTA(L$111:L248)-2,DCOUNTA(F$113:J$403,G$113,P248:Q249)=1),DGET(F$113:J$403,G$113,P248:Q249),"")),G249)</f>
        <v/>
      </c>
      <c r="M249" s="143"/>
      <c r="N249" s="221" t="str">
        <f>IF(N248=N$113,IF(COUNT(N$113:Q248)&lt;DMAX(F$113:J$403,F$113,O248:O249),COUNT(N$113:Q248)+1,""),IF(COUNT(N$113:Q248)&lt;DMAX(F$113:J$403,F$113,Q248:Q249),N$113,""))</f>
        <v/>
      </c>
      <c r="O249" s="222" t="str">
        <f>IF(O248=O$113,IF(COUNTA(L$111:L248)-2&lt;DMAX(F$113:J$403,F$113,Q247:Q248),Protokoll!I$1,""),IF(O248&lt;&gt;"",IF(COUNTA(L$111:L248)-1&lt;DMAX(F$113:J$403,F$113,O247:O248),O$113,""),""))</f>
        <v/>
      </c>
      <c r="P249" s="223" t="str">
        <f>IF(N248=N$113,IF(COUNT(N$113:Q248)&lt;DMAX(F$113:J$403,F$113,O248:O249),N$113,""),IF(COUNT(N$113:Q248)&lt;DMAX(F$113:J$403,F$113,Q248:Q249),COUNT(N$113:Q248)+1,""))</f>
        <v/>
      </c>
      <c r="Q249" s="199" t="str">
        <f>IF(O248=O$113,IF(COUNTA(L$111:L248)-2&lt;DMAX(F$113:J$403,F$113,Q247:Q248),O$113,""),IF(Q248&lt;&gt;"",IF(COUNTA(L$111:L248)-2&lt;DMAX(F$113:J$403,F$113,O247:O248),Protokoll!I$1,""),""))</f>
        <v/>
      </c>
      <c r="T249" s="331" t="str">
        <f>IF(OR(Protokoll!$X$5&lt;&gt;"",Lokalbeskrivn!$M$4&lt;&gt;""),"",U249)</f>
        <v/>
      </c>
      <c r="U249" s="330" t="s">
        <v>1389</v>
      </c>
      <c r="V249" s="351" t="s">
        <v>1388</v>
      </c>
      <c r="W249" s="2"/>
      <c r="Y249" s="572" t="s">
        <v>1677</v>
      </c>
      <c r="Z249" s="572" t="s">
        <v>1678</v>
      </c>
      <c r="AB249" s="474" t="str">
        <f>IF(COUNT(AB243:AB248)&gt;0,MAX(AB243:AB248)+1,"")</f>
        <v/>
      </c>
      <c r="AC249" s="433" t="str">
        <f>IF(AND(AH249&lt;&gt;"",AG249&lt;&gt;"",AI249&gt;0,AH249&gt;0),MAX(AC$2:AC248)+1,"XX")</f>
        <v>XX</v>
      </c>
      <c r="AD249" s="430" t="str">
        <f>IF('Antal &amp; Längder (vikter)'!$C$38&lt;&gt;"",'Antal &amp; Längder (vikter)'!$C$38,"XX")</f>
        <v>XX</v>
      </c>
      <c r="AE249" s="408" t="str">
        <f>IF(AND('Antal &amp; Längder (vikter)'!B$40&lt;&gt;"",ISNUMBER($AH249)),'Antal &amp; Längder (vikter)'!B$40,"")</f>
        <v/>
      </c>
      <c r="AF249" s="425" t="str">
        <f t="shared" si="8"/>
        <v/>
      </c>
      <c r="AG249" s="426" t="str">
        <f t="shared" si="9"/>
        <v/>
      </c>
      <c r="AH249" s="407" t="str">
        <f>IF('Antal &amp; Längder (vikter)'!B48&lt;&gt;"",'Antal &amp; Längder (vikter)'!B48,"XX")</f>
        <v>XX</v>
      </c>
      <c r="AI249" s="405">
        <f>IF('Antal &amp; Längder (vikter)'!C$41="Vikt (g)",IF('Antal &amp; Längder (vikter)'!C48&lt;&gt;"",'Antal &amp; Längder (vikter)'!C48,-9),-9)</f>
        <v>-9</v>
      </c>
    </row>
    <row r="250" spans="5:35" x14ac:dyDescent="0.25">
      <c r="E250" s="2"/>
      <c r="F250" s="199">
        <f>COUNTIF(J$113:J250,J250)</f>
        <v>4</v>
      </c>
      <c r="G250" t="s">
        <v>266</v>
      </c>
      <c r="H250" s="330">
        <v>2418</v>
      </c>
      <c r="I250" s="330">
        <v>24</v>
      </c>
      <c r="J250" t="s">
        <v>142</v>
      </c>
      <c r="K250" s="143"/>
      <c r="L250" s="220" t="str">
        <f>IF(Protokoll!I$1&lt;&gt;"",IF(N249=N$113,IF(AND(DMAX(F$113:J$403,F$113,O249:O250)&gt;COUNTA(L$111:L249)-2,DCOUNTA(F$113:J$403,G$113,N249:O250)=1),DGET(F$113:J$403,G$113,N249:O250),""),IF(AND(DMAX(F$113:J$403,F$113,Q249:Q250)&gt;COUNTA(L$111:L249)-2,DCOUNTA(F$113:J$403,G$113,P249:Q250)=1),DGET(F$113:J$403,G$113,P249:Q250),"")),G250)</f>
        <v/>
      </c>
      <c r="M250" s="143"/>
      <c r="N250" s="221" t="str">
        <f>IF(N249=N$113,IF(COUNT(N$113:Q249)&lt;DMAX(F$113:J$403,F$113,O249:O250),COUNT(N$113:Q249)+1,""),IF(COUNT(N$113:Q249)&lt;DMAX(F$113:J$403,F$113,Q249:Q250),N$113,""))</f>
        <v/>
      </c>
      <c r="O250" s="222" t="str">
        <f>IF(O249=O$113,IF(COUNTA(L$111:L249)-2&lt;DMAX(F$113:J$403,F$113,Q248:Q249),Protokoll!I$1,""),IF(O249&lt;&gt;"",IF(COUNTA(L$111:L249)-1&lt;DMAX(F$113:J$403,F$113,O248:O249),O$113,""),""))</f>
        <v/>
      </c>
      <c r="P250" s="223" t="str">
        <f>IF(N249=N$113,IF(COUNT(N$113:Q249)&lt;DMAX(F$113:J$403,F$113,O249:O250),N$113,""),IF(COUNT(N$113:Q249)&lt;DMAX(F$113:J$403,F$113,Q249:Q250),COUNT(N$113:Q249)+1,""))</f>
        <v/>
      </c>
      <c r="Q250" s="199" t="str">
        <f>IF(O249=O$113,IF(COUNTA(L$111:L249)-2&lt;DMAX(F$113:J$403,F$113,Q248:Q249),O$113,""),IF(Q249&lt;&gt;"",IF(COUNTA(L$111:L249)-2&lt;DMAX(F$113:J$403,F$113,O248:O249),Protokoll!I$1,""),""))</f>
        <v/>
      </c>
      <c r="T250" s="331" t="str">
        <f>IF(OR(Protokoll!$X$5&lt;&gt;"",Lokalbeskrivn!$M$4&lt;&gt;""),"",U250)</f>
        <v/>
      </c>
      <c r="U250" s="330" t="s">
        <v>1391</v>
      </c>
      <c r="V250" s="351" t="s">
        <v>1390</v>
      </c>
      <c r="W250" s="2"/>
      <c r="Y250" s="572" t="s">
        <v>2199</v>
      </c>
      <c r="Z250" s="572" t="s">
        <v>2200</v>
      </c>
      <c r="AB250" s="478" t="str">
        <f>IF(COUNT(AB243:AB249)&gt;0,MAX(AB243:AB249)+1,"")</f>
        <v/>
      </c>
      <c r="AC250" s="433" t="str">
        <f>IF(AND(AH250&lt;&gt;"",AG250&lt;&gt;"",AI250&gt;0,AH250&gt;0),MAX(AC$2:AC249)+1,"XX")</f>
        <v>XX</v>
      </c>
      <c r="AD250" s="430" t="str">
        <f>IF('Antal &amp; Längder (vikter)'!$C$38&lt;&gt;"",'Antal &amp; Längder (vikter)'!$C$38,"XX")</f>
        <v>XX</v>
      </c>
      <c r="AE250" s="408" t="str">
        <f>IF(AND('Antal &amp; Längder (vikter)'!B$40&lt;&gt;"",ISNUMBER($AH250)),'Antal &amp; Längder (vikter)'!B$40,"")</f>
        <v/>
      </c>
      <c r="AF250" s="425" t="str">
        <f t="shared" si="8"/>
        <v/>
      </c>
      <c r="AG250" s="426" t="str">
        <f t="shared" si="9"/>
        <v/>
      </c>
      <c r="AH250" s="407" t="str">
        <f>IF('Antal &amp; Längder (vikter)'!B49&lt;&gt;"",'Antal &amp; Längder (vikter)'!B49,"XX")</f>
        <v>XX</v>
      </c>
      <c r="AI250" s="405">
        <f>IF('Antal &amp; Längder (vikter)'!C$41="Vikt (g)",IF('Antal &amp; Längder (vikter)'!C49&lt;&gt;"",'Antal &amp; Längder (vikter)'!C49,-9),-9)</f>
        <v>-9</v>
      </c>
    </row>
    <row r="251" spans="5:35" x14ac:dyDescent="0.25">
      <c r="E251" s="2"/>
      <c r="F251" s="199">
        <f>COUNTIF(J$113:J251,J251)</f>
        <v>23</v>
      </c>
      <c r="G251" t="s">
        <v>267</v>
      </c>
      <c r="H251" s="330">
        <v>1493</v>
      </c>
      <c r="I251" s="330">
        <v>14</v>
      </c>
      <c r="J251" t="s">
        <v>114</v>
      </c>
      <c r="K251" s="143"/>
      <c r="L251" s="220" t="str">
        <f>IF(Protokoll!I$1&lt;&gt;"",IF(N250=N$113,IF(AND(DMAX(F$113:J$403,F$113,O250:O251)&gt;COUNTA(L$111:L250)-2,DCOUNTA(F$113:J$403,G$113,N250:O251)=1),DGET(F$113:J$403,G$113,N250:O251),""),IF(AND(DMAX(F$113:J$403,F$113,Q250:Q251)&gt;COUNTA(L$111:L250)-2,DCOUNTA(F$113:J$403,G$113,P250:Q251)=1),DGET(F$113:J$403,G$113,P250:Q251),"")),G251)</f>
        <v/>
      </c>
      <c r="M251" s="143"/>
      <c r="N251" s="221" t="str">
        <f>IF(N250=N$113,IF(COUNT(N$113:Q250)&lt;DMAX(F$113:J$403,F$113,O250:O251),COUNT(N$113:Q250)+1,""),IF(COUNT(N$113:Q250)&lt;DMAX(F$113:J$403,F$113,Q250:Q251),N$113,""))</f>
        <v/>
      </c>
      <c r="O251" s="222" t="str">
        <f>IF(O250=O$113,IF(COUNTA(L$111:L250)-2&lt;DMAX(F$113:J$403,F$113,Q249:Q250),Protokoll!I$1,""),IF(O250&lt;&gt;"",IF(COUNTA(L$111:L250)-1&lt;DMAX(F$113:J$403,F$113,O249:O250),O$113,""),""))</f>
        <v/>
      </c>
      <c r="P251" s="223" t="str">
        <f>IF(N250=N$113,IF(COUNT(N$113:Q250)&lt;DMAX(F$113:J$403,F$113,O250:O251),N$113,""),IF(COUNT(N$113:Q250)&lt;DMAX(F$113:J$403,F$113,Q250:Q251),COUNT(N$113:Q250)+1,""))</f>
        <v/>
      </c>
      <c r="Q251" s="199" t="str">
        <f>IF(O250=O$113,IF(COUNTA(L$111:L250)-2&lt;DMAX(F$113:J$403,F$113,Q249:Q250),O$113,""),IF(Q250&lt;&gt;"",IF(COUNTA(L$111:L250)-2&lt;DMAX(F$113:J$403,F$113,O249:O250),Protokoll!I$1,""),""))</f>
        <v/>
      </c>
      <c r="T251" s="331" t="str">
        <f>IF(OR(Protokoll!$X$5&lt;&gt;"",Lokalbeskrivn!$M$4&lt;&gt;""),"",U251)</f>
        <v/>
      </c>
      <c r="U251" s="330" t="s">
        <v>1393</v>
      </c>
      <c r="V251" s="351" t="s">
        <v>1392</v>
      </c>
      <c r="W251" s="2"/>
      <c r="Y251" s="572" t="s">
        <v>1713</v>
      </c>
      <c r="Z251" s="572" t="s">
        <v>1714</v>
      </c>
      <c r="AB251" s="472" t="str">
        <f>IF(COUNT(AB243:AB250)&gt;0,MAX(AB243:AB250)+1,"")</f>
        <v/>
      </c>
      <c r="AC251" s="433" t="str">
        <f>IF(AND(AH251&lt;&gt;"",AG251&lt;&gt;"",AI251&gt;0,AH251&gt;0),MAX(AC$2:AC250)+1,"XX")</f>
        <v>XX</v>
      </c>
      <c r="AD251" s="430" t="str">
        <f>IF('Antal &amp; Längder (vikter)'!$C$38&lt;&gt;"",'Antal &amp; Längder (vikter)'!$C$38,"XX")</f>
        <v>XX</v>
      </c>
      <c r="AE251" s="408" t="str">
        <f>IF(AND('Antal &amp; Längder (vikter)'!B$40&lt;&gt;"",ISNUMBER($AH251)),'Antal &amp; Längder (vikter)'!B$40,"")</f>
        <v/>
      </c>
      <c r="AF251" s="425" t="str">
        <f t="shared" si="8"/>
        <v/>
      </c>
      <c r="AG251" s="426" t="str">
        <f t="shared" si="9"/>
        <v/>
      </c>
      <c r="AH251" s="407" t="str">
        <f>IF('Antal &amp; Längder (vikter)'!B50&lt;&gt;"",'Antal &amp; Längder (vikter)'!B50,"XX")</f>
        <v>XX</v>
      </c>
      <c r="AI251" s="405">
        <f>IF('Antal &amp; Längder (vikter)'!C$41="Vikt (g)",IF('Antal &amp; Längder (vikter)'!C50&lt;&gt;"",'Antal &amp; Längder (vikter)'!C50,-9),-9)</f>
        <v>-9</v>
      </c>
    </row>
    <row r="252" spans="5:35" x14ac:dyDescent="0.25">
      <c r="E252" s="2"/>
      <c r="F252" s="199">
        <f>COUNTIF(J$113:J252,J252)</f>
        <v>24</v>
      </c>
      <c r="G252" t="s">
        <v>268</v>
      </c>
      <c r="H252" s="330">
        <v>1463</v>
      </c>
      <c r="I252" s="330">
        <v>14</v>
      </c>
      <c r="J252" t="s">
        <v>114</v>
      </c>
      <c r="K252" s="143"/>
      <c r="L252" s="220" t="str">
        <f>IF(Protokoll!I$1&lt;&gt;"",IF(N251=N$113,IF(AND(DMAX(F$113:J$403,F$113,O251:O252)&gt;COUNTA(L$111:L251)-2,DCOUNTA(F$113:J$403,G$113,N251:O252)=1),DGET(F$113:J$403,G$113,N251:O252),""),IF(AND(DMAX(F$113:J$403,F$113,Q251:Q252)&gt;COUNTA(L$111:L251)-2,DCOUNTA(F$113:J$403,G$113,P251:Q252)=1),DGET(F$113:J$403,G$113,P251:Q252),"")),G252)</f>
        <v/>
      </c>
      <c r="M252" s="143"/>
      <c r="N252" s="221" t="str">
        <f>IF(N251=N$113,IF(COUNT(N$113:Q251)&lt;DMAX(F$113:J$403,F$113,O251:O252),COUNT(N$113:Q251)+1,""),IF(COUNT(N$113:Q251)&lt;DMAX(F$113:J$403,F$113,Q251:Q252),N$113,""))</f>
        <v/>
      </c>
      <c r="O252" s="222" t="str">
        <f>IF(O251=O$113,IF(COUNTA(L$111:L251)-2&lt;DMAX(F$113:J$403,F$113,Q250:Q251),Protokoll!I$1,""),IF(O251&lt;&gt;"",IF(COUNTA(L$111:L251)-1&lt;DMAX(F$113:J$403,F$113,O250:O251),O$113,""),""))</f>
        <v/>
      </c>
      <c r="P252" s="223" t="str">
        <f>IF(N251=N$113,IF(COUNT(N$113:Q251)&lt;DMAX(F$113:J$403,F$113,O251:O252),N$113,""),IF(COUNT(N$113:Q251)&lt;DMAX(F$113:J$403,F$113,Q251:Q252),COUNT(N$113:Q251)+1,""))</f>
        <v/>
      </c>
      <c r="Q252" s="199" t="str">
        <f>IF(O251=O$113,IF(COUNTA(L$111:L251)-2&lt;DMAX(F$113:J$403,F$113,Q250:Q251),O$113,""),IF(Q251&lt;&gt;"",IF(COUNTA(L$111:L251)-2&lt;DMAX(F$113:J$403,F$113,O250:O251),Protokoll!I$1,""),""))</f>
        <v/>
      </c>
      <c r="T252" s="331" t="str">
        <f>IF(OR(Protokoll!$X$5&lt;&gt;"",Lokalbeskrivn!$M$4&lt;&gt;""),"",U252)</f>
        <v/>
      </c>
      <c r="U252" s="330" t="s">
        <v>1395</v>
      </c>
      <c r="V252" s="351" t="s">
        <v>1394</v>
      </c>
      <c r="W252" s="2"/>
      <c r="Y252" s="572" t="s">
        <v>2253</v>
      </c>
      <c r="Z252" s="572" t="s">
        <v>2254</v>
      </c>
      <c r="AB252" s="479" t="str">
        <f>IF(COUNT(AB243:AB251)&gt;0,MAX(AB243:AB251)+1,"")</f>
        <v/>
      </c>
      <c r="AC252" s="433" t="str">
        <f>IF(AND(AH252&lt;&gt;"",AG252&lt;&gt;"",AI252&gt;0,AH252&gt;0),MAX(AC$2:AC251)+1,"XX")</f>
        <v>XX</v>
      </c>
      <c r="AD252" s="430" t="str">
        <f>IF('Antal &amp; Längder (vikter)'!$C$38&lt;&gt;"",'Antal &amp; Längder (vikter)'!$C$38,"XX")</f>
        <v>XX</v>
      </c>
      <c r="AE252" s="408" t="str">
        <f>IF(AND('Antal &amp; Längder (vikter)'!B$40&lt;&gt;"",ISNUMBER($AH252)),'Antal &amp; Längder (vikter)'!B$40,"")</f>
        <v/>
      </c>
      <c r="AF252" s="425" t="str">
        <f t="shared" si="8"/>
        <v/>
      </c>
      <c r="AG252" s="426" t="str">
        <f t="shared" si="9"/>
        <v/>
      </c>
      <c r="AH252" s="407" t="str">
        <f>IF('Antal &amp; Längder (vikter)'!B51&lt;&gt;"",'Antal &amp; Längder (vikter)'!B51,"XX")</f>
        <v>XX</v>
      </c>
      <c r="AI252" s="405">
        <f>IF('Antal &amp; Längder (vikter)'!C$41="Vikt (g)",IF('Antal &amp; Längder (vikter)'!C51&lt;&gt;"",'Antal &amp; Längder (vikter)'!C51,-9),-9)</f>
        <v>-9</v>
      </c>
    </row>
    <row r="253" spans="5:35" x14ac:dyDescent="0.25">
      <c r="E253" s="2"/>
      <c r="F253" s="199">
        <f>COUNTIF(J$113:J253,J253)</f>
        <v>4</v>
      </c>
      <c r="G253" t="s">
        <v>269</v>
      </c>
      <c r="H253" s="330">
        <v>767</v>
      </c>
      <c r="I253" s="330">
        <v>7</v>
      </c>
      <c r="J253" t="s">
        <v>119</v>
      </c>
      <c r="K253" s="143"/>
      <c r="L253" s="220" t="str">
        <f>IF(Protokoll!I$1&lt;&gt;"",IF(N252=N$113,IF(AND(DMAX(F$113:J$403,F$113,O252:O253)&gt;COUNTA(L$111:L252)-2,DCOUNTA(F$113:J$403,G$113,N252:O253)=1),DGET(F$113:J$403,G$113,N252:O253),""),IF(AND(DMAX(F$113:J$403,F$113,Q252:Q253)&gt;COUNTA(L$111:L252)-2,DCOUNTA(F$113:J$403,G$113,P252:Q253)=1),DGET(F$113:J$403,G$113,P252:Q253),"")),G253)</f>
        <v/>
      </c>
      <c r="M253" s="143"/>
      <c r="N253" s="221" t="str">
        <f>IF(N252=N$113,IF(COUNT(N$113:Q252)&lt;DMAX(F$113:J$403,F$113,O252:O253),COUNT(N$113:Q252)+1,""),IF(COUNT(N$113:Q252)&lt;DMAX(F$113:J$403,F$113,Q252:Q253),N$113,""))</f>
        <v/>
      </c>
      <c r="O253" s="222" t="str">
        <f>IF(O252=O$113,IF(COUNTA(L$111:L252)-2&lt;DMAX(F$113:J$403,F$113,Q251:Q252),Protokoll!I$1,""),IF(O252&lt;&gt;"",IF(COUNTA(L$111:L252)-1&lt;DMAX(F$113:J$403,F$113,O251:O252),O$113,""),""))</f>
        <v/>
      </c>
      <c r="P253" s="223" t="str">
        <f>IF(N252=N$113,IF(COUNT(N$113:Q252)&lt;DMAX(F$113:J$403,F$113,O252:O253),N$113,""),IF(COUNT(N$113:Q252)&lt;DMAX(F$113:J$403,F$113,Q252:Q253),COUNT(N$113:Q252)+1,""))</f>
        <v/>
      </c>
      <c r="Q253" s="199" t="str">
        <f>IF(O252=O$113,IF(COUNTA(L$111:L252)-2&lt;DMAX(F$113:J$403,F$113,Q251:Q252),O$113,""),IF(Q252&lt;&gt;"",IF(COUNTA(L$111:L252)-2&lt;DMAX(F$113:J$403,F$113,O251:O252),Protokoll!I$1,""),""))</f>
        <v/>
      </c>
      <c r="T253" s="331" t="str">
        <f>IF(OR(Protokoll!$X$5&lt;&gt;"",Lokalbeskrivn!$M$4&lt;&gt;""),"",U253)</f>
        <v/>
      </c>
      <c r="U253" s="330" t="s">
        <v>1397</v>
      </c>
      <c r="V253" s="351" t="s">
        <v>1396</v>
      </c>
      <c r="W253" s="2"/>
      <c r="Y253" s="572" t="s">
        <v>1671</v>
      </c>
      <c r="Z253" s="572" t="s">
        <v>1672</v>
      </c>
      <c r="AB253" s="480" t="str">
        <f>IF(AND(ISNUMBER(AH253),AH253&gt;0),IF(MAX(AB$3:AB252)&gt;0,MAX(AB$3:AB252)+1,10+COUNTIF(F$38:F$49,"&gt;0")*10+1),"")</f>
        <v/>
      </c>
      <c r="AC253" s="433" t="str">
        <f>IF(AND(AH253&lt;&gt;"",AG253&lt;&gt;"",AI253&gt;0,AH253&gt;0),MAX(AC$2:AC252)+1,"XX")</f>
        <v>XX</v>
      </c>
      <c r="AD253" s="430" t="str">
        <f>IF('Antal &amp; Längder (vikter)'!$C$38&lt;&gt;"",'Antal &amp; Längder (vikter)'!$C$38,"XX")</f>
        <v>XX</v>
      </c>
      <c r="AE253" s="408" t="str">
        <f>IF(AND('Antal &amp; Längder (vikter)'!B$40&lt;&gt;"",ISNUMBER($AH253)),'Antal &amp; Längder (vikter)'!B$40,"")</f>
        <v/>
      </c>
      <c r="AF253" s="425" t="str">
        <f t="shared" si="8"/>
        <v/>
      </c>
      <c r="AG253" s="426" t="str">
        <f t="shared" si="9"/>
        <v/>
      </c>
      <c r="AH253" s="409" t="str">
        <f>IF('Antal &amp; Längder (vikter)'!C$41="Längd (mm)",IF('Antal &amp; Längder (vikter)'!C42&lt;&gt;"",'Antal &amp; Längder (vikter)'!C42,"XX"),"XX")</f>
        <v>XX</v>
      </c>
      <c r="AI253" s="7">
        <v>-9</v>
      </c>
    </row>
    <row r="254" spans="5:35" x14ac:dyDescent="0.25">
      <c r="E254" s="2"/>
      <c r="F254" s="199">
        <f>COUNTIF(J$113:J254,J254)</f>
        <v>25</v>
      </c>
      <c r="G254" t="s">
        <v>270</v>
      </c>
      <c r="H254" s="330">
        <v>1461</v>
      </c>
      <c r="I254" s="330">
        <v>14</v>
      </c>
      <c r="J254" t="s">
        <v>114</v>
      </c>
      <c r="K254" s="143"/>
      <c r="L254" s="220" t="str">
        <f>IF(Protokoll!I$1&lt;&gt;"",IF(N253=N$113,IF(AND(DMAX(F$113:J$403,F$113,O253:O254)&gt;COUNTA(L$111:L253)-2,DCOUNTA(F$113:J$403,G$113,N253:O254)=1),DGET(F$113:J$403,G$113,N253:O254),""),IF(AND(DMAX(F$113:J$403,F$113,Q253:Q254)&gt;COUNTA(L$111:L253)-2,DCOUNTA(F$113:J$403,G$113,P253:Q254)=1),DGET(F$113:J$403,G$113,P253:Q254),"")),G254)</f>
        <v/>
      </c>
      <c r="M254" s="143"/>
      <c r="N254" s="221" t="str">
        <f>IF(N253=N$113,IF(COUNT(N$113:Q253)&lt;DMAX(F$113:J$403,F$113,O253:O254),COUNT(N$113:Q253)+1,""),IF(COUNT(N$113:Q253)&lt;DMAX(F$113:J$403,F$113,Q253:Q254),N$113,""))</f>
        <v/>
      </c>
      <c r="O254" s="222" t="str">
        <f>IF(O253=O$113,IF(COUNTA(L$111:L253)-2&lt;DMAX(F$113:J$403,F$113,Q252:Q253),Protokoll!I$1,""),IF(O253&lt;&gt;"",IF(COUNTA(L$111:L253)-1&lt;DMAX(F$113:J$403,F$113,O252:O253),O$113,""),""))</f>
        <v/>
      </c>
      <c r="P254" s="223" t="str">
        <f>IF(N253=N$113,IF(COUNT(N$113:Q253)&lt;DMAX(F$113:J$403,F$113,O253:O254),N$113,""),IF(COUNT(N$113:Q253)&lt;DMAX(F$113:J$403,F$113,Q253:Q254),COUNT(N$113:Q253)+1,""))</f>
        <v/>
      </c>
      <c r="Q254" s="199" t="str">
        <f>IF(O253=O$113,IF(COUNTA(L$111:L253)-2&lt;DMAX(F$113:J$403,F$113,Q252:Q253),O$113,""),IF(Q253&lt;&gt;"",IF(COUNTA(L$111:L253)-2&lt;DMAX(F$113:J$403,F$113,O252:O253),Protokoll!I$1,""),""))</f>
        <v/>
      </c>
      <c r="T254" s="331" t="str">
        <f>IF(OR(Protokoll!$X$5&lt;&gt;"",Lokalbeskrivn!$M$4&lt;&gt;""),"",U254)</f>
        <v/>
      </c>
      <c r="U254" s="330" t="s">
        <v>1399</v>
      </c>
      <c r="V254" s="351" t="s">
        <v>1398</v>
      </c>
      <c r="W254" s="2"/>
      <c r="Y254" s="572" t="s">
        <v>1691</v>
      </c>
      <c r="Z254" s="572" t="s">
        <v>1692</v>
      </c>
      <c r="AB254" s="476" t="str">
        <f>IF(COUNT(AB253:AB253)&gt;0,MAX(AB253:AB253)+1,"")</f>
        <v/>
      </c>
      <c r="AC254" s="433" t="str">
        <f>IF(AND(AH254&lt;&gt;"",AG254&lt;&gt;"",AI254&gt;0,AH254&gt;0),MAX(AC$2:AC253)+1,"XX")</f>
        <v>XX</v>
      </c>
      <c r="AD254" s="430" t="str">
        <f>IF('Antal &amp; Längder (vikter)'!$C$38&lt;&gt;"",'Antal &amp; Längder (vikter)'!$C$38,"XX")</f>
        <v>XX</v>
      </c>
      <c r="AE254" s="408" t="str">
        <f>IF(AND('Antal &amp; Längder (vikter)'!B$40&lt;&gt;"",ISNUMBER($AH254)),'Antal &amp; Längder (vikter)'!B$40,"")</f>
        <v/>
      </c>
      <c r="AF254" s="425" t="str">
        <f t="shared" si="8"/>
        <v/>
      </c>
      <c r="AG254" s="426" t="str">
        <f t="shared" si="9"/>
        <v/>
      </c>
      <c r="AH254" s="409" t="str">
        <f>IF('Antal &amp; Längder (vikter)'!C$41="Längd (mm)",IF('Antal &amp; Längder (vikter)'!C43&lt;&gt;"",'Antal &amp; Längder (vikter)'!C43,"XX"),"XX")</f>
        <v>XX</v>
      </c>
      <c r="AI254" s="7">
        <v>-9</v>
      </c>
    </row>
    <row r="255" spans="5:35" x14ac:dyDescent="0.25">
      <c r="E255" s="2"/>
      <c r="F255" s="199">
        <f>COUNTIF(J$113:J255,J255)</f>
        <v>5</v>
      </c>
      <c r="G255" t="s">
        <v>271</v>
      </c>
      <c r="H255" s="330">
        <v>586</v>
      </c>
      <c r="I255" s="330">
        <v>5</v>
      </c>
      <c r="J255" t="s">
        <v>150</v>
      </c>
      <c r="K255" s="143"/>
      <c r="L255" s="220" t="str">
        <f>IF(Protokoll!I$1&lt;&gt;"",IF(N254=N$113,IF(AND(DMAX(F$113:J$403,F$113,O254:O255)&gt;COUNTA(L$111:L254)-2,DCOUNTA(F$113:J$403,G$113,N254:O255)=1),DGET(F$113:J$403,G$113,N254:O255),""),IF(AND(DMAX(F$113:J$403,F$113,Q254:Q255)&gt;COUNTA(L$111:L254)-2,DCOUNTA(F$113:J$403,G$113,P254:Q255)=1),DGET(F$113:J$403,G$113,P254:Q255),"")),G255)</f>
        <v/>
      </c>
      <c r="M255" s="143"/>
      <c r="N255" s="221" t="str">
        <f>IF(N254=N$113,IF(COUNT(N$113:Q254)&lt;DMAX(F$113:J$403,F$113,O254:O255),COUNT(N$113:Q254)+1,""),IF(COUNT(N$113:Q254)&lt;DMAX(F$113:J$403,F$113,Q254:Q255),N$113,""))</f>
        <v/>
      </c>
      <c r="O255" s="222" t="str">
        <f>IF(O254=O$113,IF(COUNTA(L$111:L254)-2&lt;DMAX(F$113:J$403,F$113,Q253:Q254),Protokoll!I$1,""),IF(O254&lt;&gt;"",IF(COUNTA(L$111:L254)-1&lt;DMAX(F$113:J$403,F$113,O253:O254),O$113,""),""))</f>
        <v/>
      </c>
      <c r="P255" s="223" t="str">
        <f>IF(N254=N$113,IF(COUNT(N$113:Q254)&lt;DMAX(F$113:J$403,F$113,O254:O255),N$113,""),IF(COUNT(N$113:Q254)&lt;DMAX(F$113:J$403,F$113,Q254:Q255),COUNT(N$113:Q254)+1,""))</f>
        <v/>
      </c>
      <c r="Q255" s="199" t="str">
        <f>IF(O254=O$113,IF(COUNTA(L$111:L254)-2&lt;DMAX(F$113:J$403,F$113,Q253:Q254),O$113,""),IF(Q254&lt;&gt;"",IF(COUNTA(L$111:L254)-2&lt;DMAX(F$113:J$403,F$113,O253:O254),Protokoll!I$1,""),""))</f>
        <v/>
      </c>
      <c r="T255" s="331" t="str">
        <f>IF(OR(Protokoll!$X$5&lt;&gt;"",Lokalbeskrivn!$M$4&lt;&gt;""),"",U255)</f>
        <v/>
      </c>
      <c r="U255" s="330" t="s">
        <v>1401</v>
      </c>
      <c r="V255" s="351" t="s">
        <v>1400</v>
      </c>
      <c r="W255" s="2"/>
      <c r="Y255" s="572" t="s">
        <v>2444</v>
      </c>
      <c r="Z255" s="572" t="s">
        <v>2445</v>
      </c>
      <c r="AB255" s="477" t="str">
        <f>IF(COUNT(AB253:AB254)&gt;0,MAX(AB253:AB254)+1,"")</f>
        <v/>
      </c>
      <c r="AC255" s="433" t="str">
        <f>IF(AND(AH255&lt;&gt;"",AG255&lt;&gt;"",AI255&gt;0,AH255&gt;0),MAX(AC$2:AC254)+1,"XX")</f>
        <v>XX</v>
      </c>
      <c r="AD255" s="430" t="str">
        <f>IF('Antal &amp; Längder (vikter)'!$C$38&lt;&gt;"",'Antal &amp; Längder (vikter)'!$C$38,"XX")</f>
        <v>XX</v>
      </c>
      <c r="AE255" s="408" t="str">
        <f>IF(AND('Antal &amp; Längder (vikter)'!B$40&lt;&gt;"",ISNUMBER($AH255)),'Antal &amp; Längder (vikter)'!B$40,"")</f>
        <v/>
      </c>
      <c r="AF255" s="425" t="str">
        <f t="shared" si="8"/>
        <v/>
      </c>
      <c r="AG255" s="426" t="str">
        <f t="shared" si="9"/>
        <v/>
      </c>
      <c r="AH255" s="409" t="str">
        <f>IF('Antal &amp; Längder (vikter)'!C$41="Längd (mm)",IF('Antal &amp; Längder (vikter)'!C44&lt;&gt;"",'Antal &amp; Längder (vikter)'!C44,"XX"),"XX")</f>
        <v>XX</v>
      </c>
      <c r="AI255" s="7">
        <v>-9</v>
      </c>
    </row>
    <row r="256" spans="5:35" x14ac:dyDescent="0.25">
      <c r="E256" s="2"/>
      <c r="F256" s="199">
        <f>COUNTIF(J$113:J256,J256)</f>
        <v>9</v>
      </c>
      <c r="G256" t="s">
        <v>272</v>
      </c>
      <c r="H256" s="330">
        <v>2062</v>
      </c>
      <c r="I256" s="330">
        <v>20</v>
      </c>
      <c r="J256" t="s">
        <v>112</v>
      </c>
      <c r="K256" s="143"/>
      <c r="L256" s="220" t="str">
        <f>IF(Protokoll!I$1&lt;&gt;"",IF(N255=N$113,IF(AND(DMAX(F$113:J$403,F$113,O255:O256)&gt;COUNTA(L$111:L255)-2,DCOUNTA(F$113:J$403,G$113,N255:O256)=1),DGET(F$113:J$403,G$113,N255:O256),""),IF(AND(DMAX(F$113:J$403,F$113,Q255:Q256)&gt;COUNTA(L$111:L255)-2,DCOUNTA(F$113:J$403,G$113,P255:Q256)=1),DGET(F$113:J$403,G$113,P255:Q256),"")),G256)</f>
        <v/>
      </c>
      <c r="M256" s="143"/>
      <c r="N256" s="221" t="str">
        <f>IF(N255=N$113,IF(COUNT(N$113:Q255)&lt;DMAX(F$113:J$403,F$113,O255:O256),COUNT(N$113:Q255)+1,""),IF(COUNT(N$113:Q255)&lt;DMAX(F$113:J$403,F$113,Q255:Q256),N$113,""))</f>
        <v/>
      </c>
      <c r="O256" s="222" t="str">
        <f>IF(O255=O$113,IF(COUNTA(L$111:L255)-2&lt;DMAX(F$113:J$403,F$113,Q254:Q255),Protokoll!I$1,""),IF(O255&lt;&gt;"",IF(COUNTA(L$111:L255)-1&lt;DMAX(F$113:J$403,F$113,O254:O255),O$113,""),""))</f>
        <v/>
      </c>
      <c r="P256" s="223" t="str">
        <f>IF(N255=N$113,IF(COUNT(N$113:Q255)&lt;DMAX(F$113:J$403,F$113,O255:O256),N$113,""),IF(COUNT(N$113:Q255)&lt;DMAX(F$113:J$403,F$113,Q255:Q256),COUNT(N$113:Q255)+1,""))</f>
        <v/>
      </c>
      <c r="Q256" s="199" t="str">
        <f>IF(O255=O$113,IF(COUNTA(L$111:L255)-2&lt;DMAX(F$113:J$403,F$113,Q254:Q255),O$113,""),IF(Q255&lt;&gt;"",IF(COUNTA(L$111:L255)-2&lt;DMAX(F$113:J$403,F$113,O254:O255),Protokoll!I$1,""),""))</f>
        <v/>
      </c>
      <c r="T256" s="331" t="str">
        <f>IF(OR(Protokoll!$X$5&lt;&gt;"",Lokalbeskrivn!$M$4&lt;&gt;""),"",U256)</f>
        <v/>
      </c>
      <c r="U256" s="330" t="s">
        <v>1403</v>
      </c>
      <c r="V256" s="351" t="s">
        <v>1402</v>
      </c>
      <c r="W256" s="2"/>
      <c r="Y256" s="572" t="s">
        <v>1861</v>
      </c>
      <c r="Z256" s="572" t="s">
        <v>1862</v>
      </c>
      <c r="AB256" s="434" t="str">
        <f>IF(COUNT(AB253:AB255)&gt;0,MAX(AB253:AB255)+1,"")</f>
        <v/>
      </c>
      <c r="AC256" s="433" t="str">
        <f>IF(AND(AH256&lt;&gt;"",AG256&lt;&gt;"",AI256&gt;0,AH256&gt;0),MAX(AC$2:AC255)+1,"XX")</f>
        <v>XX</v>
      </c>
      <c r="AD256" s="430" t="str">
        <f>IF('Antal &amp; Längder (vikter)'!$C$38&lt;&gt;"",'Antal &amp; Längder (vikter)'!$C$38,"XX")</f>
        <v>XX</v>
      </c>
      <c r="AE256" s="408" t="str">
        <f>IF(AND('Antal &amp; Längder (vikter)'!B$40&lt;&gt;"",ISNUMBER($AH256)),'Antal &amp; Längder (vikter)'!B$40,"")</f>
        <v/>
      </c>
      <c r="AF256" s="425" t="str">
        <f t="shared" si="8"/>
        <v/>
      </c>
      <c r="AG256" s="426" t="str">
        <f t="shared" si="9"/>
        <v/>
      </c>
      <c r="AH256" s="409" t="str">
        <f>IF('Antal &amp; Längder (vikter)'!C$41="Längd (mm)",IF('Antal &amp; Längder (vikter)'!C45&lt;&gt;"",'Antal &amp; Längder (vikter)'!C45,"XX"),"XX")</f>
        <v>XX</v>
      </c>
      <c r="AI256" s="7">
        <v>-9</v>
      </c>
    </row>
    <row r="257" spans="5:35" x14ac:dyDescent="0.25">
      <c r="E257" s="2"/>
      <c r="F257" s="199">
        <f>COUNTIF(J$113:J257,J257)</f>
        <v>6</v>
      </c>
      <c r="G257" t="s">
        <v>273</v>
      </c>
      <c r="H257" s="330">
        <v>583</v>
      </c>
      <c r="I257" s="330">
        <v>5</v>
      </c>
      <c r="J257" t="s">
        <v>150</v>
      </c>
      <c r="K257" s="143"/>
      <c r="L257" s="220" t="str">
        <f>IF(Protokoll!I$1&lt;&gt;"",IF(N256=N$113,IF(AND(DMAX(F$113:J$403,F$113,O256:O257)&gt;COUNTA(L$111:L256)-2,DCOUNTA(F$113:J$403,G$113,N256:O257)=1),DGET(F$113:J$403,G$113,N256:O257),""),IF(AND(DMAX(F$113:J$403,F$113,Q256:Q257)&gt;COUNTA(L$111:L256)-2,DCOUNTA(F$113:J$403,G$113,P256:Q257)=1),DGET(F$113:J$403,G$113,P256:Q257),"")),G257)</f>
        <v/>
      </c>
      <c r="M257" s="143"/>
      <c r="N257" s="221" t="str">
        <f>IF(N256=N$113,IF(COUNT(N$113:Q256)&lt;DMAX(F$113:J$403,F$113,O256:O257),COUNT(N$113:Q256)+1,""),IF(COUNT(N$113:Q256)&lt;DMAX(F$113:J$403,F$113,Q256:Q257),N$113,""))</f>
        <v/>
      </c>
      <c r="O257" s="222" t="str">
        <f>IF(O256=O$113,IF(COUNTA(L$111:L256)-2&lt;DMAX(F$113:J$403,F$113,Q255:Q256),Protokoll!I$1,""),IF(O256&lt;&gt;"",IF(COUNTA(L$111:L256)-1&lt;DMAX(F$113:J$403,F$113,O255:O256),O$113,""),""))</f>
        <v/>
      </c>
      <c r="P257" s="223" t="str">
        <f>IF(N256=N$113,IF(COUNT(N$113:Q256)&lt;DMAX(F$113:J$403,F$113,O256:O257),N$113,""),IF(COUNT(N$113:Q256)&lt;DMAX(F$113:J$403,F$113,Q256:Q257),COUNT(N$113:Q256)+1,""))</f>
        <v/>
      </c>
      <c r="Q257" s="199" t="str">
        <f>IF(O256=O$113,IF(COUNTA(L$111:L256)-2&lt;DMAX(F$113:J$403,F$113,Q255:Q256),O$113,""),IF(Q256&lt;&gt;"",IF(COUNTA(L$111:L256)-2&lt;DMAX(F$113:J$403,F$113,O255:O256),Protokoll!I$1,""),""))</f>
        <v/>
      </c>
      <c r="T257" s="331" t="str">
        <f>IF(OR(Protokoll!$X$5&lt;&gt;"",Lokalbeskrivn!$M$4&lt;&gt;""),"",U257)</f>
        <v/>
      </c>
      <c r="U257" s="330" t="s">
        <v>1405</v>
      </c>
      <c r="V257" s="351" t="s">
        <v>1404</v>
      </c>
      <c r="W257" s="2"/>
      <c r="Y257" s="572" t="s">
        <v>1737</v>
      </c>
      <c r="Z257" s="572" t="s">
        <v>1738</v>
      </c>
      <c r="AB257" s="475" t="str">
        <f>IF(COUNT(AB253:AB256)&gt;0,MAX(AB253:AB256)+1,"")</f>
        <v/>
      </c>
      <c r="AC257" s="433" t="str">
        <f>IF(AND(AH257&lt;&gt;"",AG257&lt;&gt;"",AI257&gt;0,AH257&gt;0),MAX(AC$2:AC256)+1,"XX")</f>
        <v>XX</v>
      </c>
      <c r="AD257" s="430" t="str">
        <f>IF('Antal &amp; Längder (vikter)'!$C$38&lt;&gt;"",'Antal &amp; Längder (vikter)'!$C$38,"XX")</f>
        <v>XX</v>
      </c>
      <c r="AE257" s="408" t="str">
        <f>IF(AND('Antal &amp; Längder (vikter)'!B$40&lt;&gt;"",ISNUMBER($AH257)),'Antal &amp; Längder (vikter)'!B$40,"")</f>
        <v/>
      </c>
      <c r="AF257" s="425" t="str">
        <f t="shared" si="8"/>
        <v/>
      </c>
      <c r="AG257" s="426" t="str">
        <f t="shared" si="9"/>
        <v/>
      </c>
      <c r="AH257" s="409" t="str">
        <f>IF('Antal &amp; Längder (vikter)'!C$41="Längd (mm)",IF('Antal &amp; Längder (vikter)'!C46&lt;&gt;"",'Antal &amp; Längder (vikter)'!C46,"XX"),"XX")</f>
        <v>XX</v>
      </c>
      <c r="AI257" s="7">
        <v>-9</v>
      </c>
    </row>
    <row r="258" spans="5:35" x14ac:dyDescent="0.25">
      <c r="E258" s="2"/>
      <c r="F258" s="199">
        <f>COUNTIF(J$113:J258,J258)</f>
        <v>7</v>
      </c>
      <c r="G258" t="s">
        <v>274</v>
      </c>
      <c r="H258" s="330">
        <v>642</v>
      </c>
      <c r="I258" s="330">
        <v>6</v>
      </c>
      <c r="J258" t="s">
        <v>122</v>
      </c>
      <c r="K258" s="143"/>
      <c r="L258" s="220" t="str">
        <f>IF(Protokoll!I$1&lt;&gt;"",IF(N257=N$113,IF(AND(DMAX(F$113:J$403,F$113,O257:O258)&gt;COUNTA(L$111:L257)-2,DCOUNTA(F$113:J$403,G$113,N257:O258)=1),DGET(F$113:J$403,G$113,N257:O258),""),IF(AND(DMAX(F$113:J$403,F$113,Q257:Q258)&gt;COUNTA(L$111:L257)-2,DCOUNTA(F$113:J$403,G$113,P257:Q258)=1),DGET(F$113:J$403,G$113,P257:Q258),"")),G258)</f>
        <v/>
      </c>
      <c r="M258" s="143"/>
      <c r="N258" s="221" t="str">
        <f>IF(N257=N$113,IF(COUNT(N$113:Q257)&lt;DMAX(F$113:J$403,F$113,O257:O258),COUNT(N$113:Q257)+1,""),IF(COUNT(N$113:Q257)&lt;DMAX(F$113:J$403,F$113,Q257:Q258),N$113,""))</f>
        <v/>
      </c>
      <c r="O258" s="222" t="str">
        <f>IF(O257=O$113,IF(COUNTA(L$111:L257)-2&lt;DMAX(F$113:J$403,F$113,Q256:Q257),Protokoll!I$1,""),IF(O257&lt;&gt;"",IF(COUNTA(L$111:L257)-1&lt;DMAX(F$113:J$403,F$113,O256:O257),O$113,""),""))</f>
        <v/>
      </c>
      <c r="P258" s="223" t="str">
        <f>IF(N257=N$113,IF(COUNT(N$113:Q257)&lt;DMAX(F$113:J$403,F$113,O257:O258),N$113,""),IF(COUNT(N$113:Q257)&lt;DMAX(F$113:J$403,F$113,Q257:Q258),COUNT(N$113:Q257)+1,""))</f>
        <v/>
      </c>
      <c r="Q258" s="199" t="str">
        <f>IF(O257=O$113,IF(COUNTA(L$111:L257)-2&lt;DMAX(F$113:J$403,F$113,Q256:Q257),O$113,""),IF(Q257&lt;&gt;"",IF(COUNTA(L$111:L257)-2&lt;DMAX(F$113:J$403,F$113,O256:O257),Protokoll!I$1,""),""))</f>
        <v/>
      </c>
      <c r="T258" s="331" t="str">
        <f>IF(OR(Protokoll!$X$5&lt;&gt;"",Lokalbeskrivn!$M$4&lt;&gt;""),"",U258)</f>
        <v/>
      </c>
      <c r="U258" s="330" t="s">
        <v>1407</v>
      </c>
      <c r="V258" s="351" t="s">
        <v>1406</v>
      </c>
      <c r="W258" s="2"/>
      <c r="Y258" s="572" t="s">
        <v>2446</v>
      </c>
      <c r="Z258" s="572" t="s">
        <v>2447</v>
      </c>
      <c r="AB258" s="471" t="str">
        <f>IF(COUNT(AB253:AB257)&gt;0,MAX(AB253:AB257)+1,"")</f>
        <v/>
      </c>
      <c r="AC258" s="433" t="str">
        <f>IF(AND(AH258&lt;&gt;"",AG258&lt;&gt;"",AI258&gt;0,AH258&gt;0),MAX(AC$2:AC257)+1,"XX")</f>
        <v>XX</v>
      </c>
      <c r="AD258" s="430" t="str">
        <f>IF('Antal &amp; Längder (vikter)'!$C$38&lt;&gt;"",'Antal &amp; Längder (vikter)'!$C$38,"XX")</f>
        <v>XX</v>
      </c>
      <c r="AE258" s="408" t="str">
        <f>IF(AND('Antal &amp; Längder (vikter)'!B$40&lt;&gt;"",ISNUMBER($AH258)),'Antal &amp; Längder (vikter)'!B$40,"")</f>
        <v/>
      </c>
      <c r="AF258" s="425" t="str">
        <f t="shared" si="8"/>
        <v/>
      </c>
      <c r="AG258" s="426" t="str">
        <f t="shared" si="9"/>
        <v/>
      </c>
      <c r="AH258" s="409" t="str">
        <f>IF('Antal &amp; Längder (vikter)'!C$41="Längd (mm)",IF('Antal &amp; Längder (vikter)'!C47&lt;&gt;"",'Antal &amp; Längder (vikter)'!C47,"XX"),"XX")</f>
        <v>XX</v>
      </c>
      <c r="AI258" s="7">
        <v>-9</v>
      </c>
    </row>
    <row r="259" spans="5:35" x14ac:dyDescent="0.25">
      <c r="E259" s="2"/>
      <c r="F259" s="199">
        <f>COUNTIF(J$113:J259,J259)</f>
        <v>26</v>
      </c>
      <c r="G259" t="s">
        <v>275</v>
      </c>
      <c r="H259" s="330">
        <v>1430</v>
      </c>
      <c r="I259" s="330">
        <v>14</v>
      </c>
      <c r="J259" t="s">
        <v>114</v>
      </c>
      <c r="K259" s="143"/>
      <c r="L259" s="220" t="str">
        <f>IF(Protokoll!I$1&lt;&gt;"",IF(N258=N$113,IF(AND(DMAX(F$113:J$403,F$113,O258:O259)&gt;COUNTA(L$111:L258)-2,DCOUNTA(F$113:J$403,G$113,N258:O259)=1),DGET(F$113:J$403,G$113,N258:O259),""),IF(AND(DMAX(F$113:J$403,F$113,Q258:Q259)&gt;COUNTA(L$111:L258)-2,DCOUNTA(F$113:J$403,G$113,P258:Q259)=1),DGET(F$113:J$403,G$113,P258:Q259),"")),G259)</f>
        <v/>
      </c>
      <c r="M259" s="143"/>
      <c r="N259" s="221" t="str">
        <f>IF(N258=N$113,IF(COUNT(N$113:Q258)&lt;DMAX(F$113:J$403,F$113,O258:O259),COUNT(N$113:Q258)+1,""),IF(COUNT(N$113:Q258)&lt;DMAX(F$113:J$403,F$113,Q258:Q259),N$113,""))</f>
        <v/>
      </c>
      <c r="O259" s="222" t="str">
        <f>IF(O258=O$113,IF(COUNTA(L$111:L258)-2&lt;DMAX(F$113:J$403,F$113,Q257:Q258),Protokoll!I$1,""),IF(O258&lt;&gt;"",IF(COUNTA(L$111:L258)-1&lt;DMAX(F$113:J$403,F$113,O257:O258),O$113,""),""))</f>
        <v/>
      </c>
      <c r="P259" s="223" t="str">
        <f>IF(N258=N$113,IF(COUNT(N$113:Q258)&lt;DMAX(F$113:J$403,F$113,O258:O259),N$113,""),IF(COUNT(N$113:Q258)&lt;DMAX(F$113:J$403,F$113,Q258:Q259),COUNT(N$113:Q258)+1,""))</f>
        <v/>
      </c>
      <c r="Q259" s="199" t="str">
        <f>IF(O258=O$113,IF(COUNTA(L$111:L258)-2&lt;DMAX(F$113:J$403,F$113,Q257:Q258),O$113,""),IF(Q258&lt;&gt;"",IF(COUNTA(L$111:L258)-2&lt;DMAX(F$113:J$403,F$113,O257:O258),Protokoll!I$1,""),""))</f>
        <v/>
      </c>
      <c r="T259" s="331" t="str">
        <f>IF(OR(Protokoll!$X$5&lt;&gt;"",Lokalbeskrivn!$M$4&lt;&gt;""),"",U259)</f>
        <v/>
      </c>
      <c r="U259" s="330" t="s">
        <v>1409</v>
      </c>
      <c r="V259" s="351" t="s">
        <v>1408</v>
      </c>
      <c r="W259" s="2"/>
      <c r="Y259" s="572" t="s">
        <v>2153</v>
      </c>
      <c r="Z259" s="572" t="s">
        <v>2154</v>
      </c>
      <c r="AB259" s="474" t="str">
        <f>IF(COUNT(AB253:AB258)&gt;0,MAX(AB253:AB258)+1,"")</f>
        <v/>
      </c>
      <c r="AC259" s="433" t="str">
        <f>IF(AND(AH259&lt;&gt;"",AG259&lt;&gt;"",AI259&gt;0,AH259&gt;0),MAX(AC$2:AC258)+1,"XX")</f>
        <v>XX</v>
      </c>
      <c r="AD259" s="430" t="str">
        <f>IF('Antal &amp; Längder (vikter)'!$C$38&lt;&gt;"",'Antal &amp; Längder (vikter)'!$C$38,"XX")</f>
        <v>XX</v>
      </c>
      <c r="AE259" s="408" t="str">
        <f>IF(AND('Antal &amp; Längder (vikter)'!B$40&lt;&gt;"",ISNUMBER($AH259)),'Antal &amp; Längder (vikter)'!B$40,"")</f>
        <v/>
      </c>
      <c r="AF259" s="425" t="str">
        <f t="shared" ref="AF259:AF322" si="10">IF(AND(ISNUMBER(AH259),AE259&lt;&gt;""),VLOOKUP(AE259,$N$2:$O$60,2,FALSE),"")</f>
        <v/>
      </c>
      <c r="AG259" s="426" t="str">
        <f t="shared" ref="AG259:AG322" si="11">IF(AF259&lt;&gt;"",VLOOKUP(AF259,O$2:U$60,7,FALSE),"")</f>
        <v/>
      </c>
      <c r="AH259" s="409" t="str">
        <f>IF('Antal &amp; Längder (vikter)'!C$41="Längd (mm)",IF('Antal &amp; Längder (vikter)'!C48&lt;&gt;"",'Antal &amp; Längder (vikter)'!C48,"XX"),"XX")</f>
        <v>XX</v>
      </c>
      <c r="AI259" s="7">
        <v>-9</v>
      </c>
    </row>
    <row r="260" spans="5:35" x14ac:dyDescent="0.25">
      <c r="E260" s="2"/>
      <c r="F260" s="199">
        <f>COUNTIF(J$113:J260,J260)</f>
        <v>11</v>
      </c>
      <c r="G260" t="s">
        <v>276</v>
      </c>
      <c r="H260" s="330">
        <v>1762</v>
      </c>
      <c r="I260" s="330">
        <v>17</v>
      </c>
      <c r="J260" t="s">
        <v>131</v>
      </c>
      <c r="K260" s="143"/>
      <c r="L260" s="220" t="str">
        <f>IF(Protokoll!I$1&lt;&gt;"",IF(N259=N$113,IF(AND(DMAX(F$113:J$403,F$113,O259:O260)&gt;COUNTA(L$111:L259)-2,DCOUNTA(F$113:J$403,G$113,N259:O260)=1),DGET(F$113:J$403,G$113,N259:O260),""),IF(AND(DMAX(F$113:J$403,F$113,Q259:Q260)&gt;COUNTA(L$111:L259)-2,DCOUNTA(F$113:J$403,G$113,P259:Q260)=1),DGET(F$113:J$403,G$113,P259:Q260),"")),G260)</f>
        <v/>
      </c>
      <c r="M260" s="143"/>
      <c r="N260" s="221" t="str">
        <f>IF(N259=N$113,IF(COUNT(N$113:Q259)&lt;DMAX(F$113:J$403,F$113,O259:O260),COUNT(N$113:Q259)+1,""),IF(COUNT(N$113:Q259)&lt;DMAX(F$113:J$403,F$113,Q259:Q260),N$113,""))</f>
        <v/>
      </c>
      <c r="O260" s="222" t="str">
        <f>IF(O259=O$113,IF(COUNTA(L$111:L259)-2&lt;DMAX(F$113:J$403,F$113,Q258:Q259),Protokoll!I$1,""),IF(O259&lt;&gt;"",IF(COUNTA(L$111:L259)-1&lt;DMAX(F$113:J$403,F$113,O258:O259),O$113,""),""))</f>
        <v/>
      </c>
      <c r="P260" s="223" t="str">
        <f>IF(N259=N$113,IF(COUNT(N$113:Q259)&lt;DMAX(F$113:J$403,F$113,O259:O260),N$113,""),IF(COUNT(N$113:Q259)&lt;DMAX(F$113:J$403,F$113,Q259:Q260),COUNT(N$113:Q259)+1,""))</f>
        <v/>
      </c>
      <c r="Q260" s="199" t="str">
        <f>IF(O259=O$113,IF(COUNTA(L$111:L259)-2&lt;DMAX(F$113:J$403,F$113,Q258:Q259),O$113,""),IF(Q259&lt;&gt;"",IF(COUNTA(L$111:L259)-2&lt;DMAX(F$113:J$403,F$113,O258:O259),Protokoll!I$1,""),""))</f>
        <v/>
      </c>
      <c r="T260" s="331" t="str">
        <f>IF(OR(Protokoll!$X$5&lt;&gt;"",Lokalbeskrivn!$M$4&lt;&gt;""),"",U260)</f>
        <v/>
      </c>
      <c r="U260" s="330" t="s">
        <v>1411</v>
      </c>
      <c r="V260" s="351" t="s">
        <v>1410</v>
      </c>
      <c r="W260" s="2"/>
      <c r="Y260" s="572" t="s">
        <v>1745</v>
      </c>
      <c r="Z260" s="572" t="s">
        <v>1746</v>
      </c>
      <c r="AB260" s="478" t="str">
        <f>IF(COUNT(AB253:AB259)&gt;0,MAX(AB253:AB259)+1,"")</f>
        <v/>
      </c>
      <c r="AC260" s="433" t="str">
        <f>IF(AND(AH260&lt;&gt;"",AG260&lt;&gt;"",AI260&gt;0,AH260&gt;0),MAX(AC$2:AC259)+1,"XX")</f>
        <v>XX</v>
      </c>
      <c r="AD260" s="430" t="str">
        <f>IF('Antal &amp; Längder (vikter)'!$C$38&lt;&gt;"",'Antal &amp; Längder (vikter)'!$C$38,"XX")</f>
        <v>XX</v>
      </c>
      <c r="AE260" s="408" t="str">
        <f>IF(AND('Antal &amp; Längder (vikter)'!B$40&lt;&gt;"",ISNUMBER($AH260)),'Antal &amp; Längder (vikter)'!B$40,"")</f>
        <v/>
      </c>
      <c r="AF260" s="425" t="str">
        <f t="shared" si="10"/>
        <v/>
      </c>
      <c r="AG260" s="426" t="str">
        <f t="shared" si="11"/>
        <v/>
      </c>
      <c r="AH260" s="409" t="str">
        <f>IF('Antal &amp; Längder (vikter)'!C$41="Längd (mm)",IF('Antal &amp; Längder (vikter)'!C49&lt;&gt;"",'Antal &amp; Längder (vikter)'!C49,"XX"),"XX")</f>
        <v>XX</v>
      </c>
      <c r="AI260" s="7">
        <v>-9</v>
      </c>
    </row>
    <row r="261" spans="5:35" x14ac:dyDescent="0.25">
      <c r="E261" s="2"/>
      <c r="F261" s="199">
        <f>COUNTIF(J$113:J261,J261)</f>
        <v>27</v>
      </c>
      <c r="G261" t="s">
        <v>277</v>
      </c>
      <c r="H261" s="330">
        <v>1481</v>
      </c>
      <c r="I261" s="330">
        <v>14</v>
      </c>
      <c r="J261" t="s">
        <v>114</v>
      </c>
      <c r="K261" s="143"/>
      <c r="L261" s="220" t="str">
        <f>IF(Protokoll!I$1&lt;&gt;"",IF(N260=N$113,IF(AND(DMAX(F$113:J$403,F$113,O260:O261)&gt;COUNTA(L$111:L260)-2,DCOUNTA(F$113:J$403,G$113,N260:O261)=1),DGET(F$113:J$403,G$113,N260:O261),""),IF(AND(DMAX(F$113:J$403,F$113,Q260:Q261)&gt;COUNTA(L$111:L260)-2,DCOUNTA(F$113:J$403,G$113,P260:Q261)=1),DGET(F$113:J$403,G$113,P260:Q261),"")),G261)</f>
        <v/>
      </c>
      <c r="M261" s="143"/>
      <c r="N261" s="221" t="str">
        <f>IF(N260=N$113,IF(COUNT(N$113:Q260)&lt;DMAX(F$113:J$403,F$113,O260:O261),COUNT(N$113:Q260)+1,""),IF(COUNT(N$113:Q260)&lt;DMAX(F$113:J$403,F$113,Q260:Q261),N$113,""))</f>
        <v/>
      </c>
      <c r="O261" s="222" t="str">
        <f>IF(O260=O$113,IF(COUNTA(L$111:L260)-2&lt;DMAX(F$113:J$403,F$113,Q259:Q260),Protokoll!I$1,""),IF(O260&lt;&gt;"",IF(COUNTA(L$111:L260)-1&lt;DMAX(F$113:J$403,F$113,O259:O260),O$113,""),""))</f>
        <v/>
      </c>
      <c r="P261" s="223" t="str">
        <f>IF(N260=N$113,IF(COUNT(N$113:Q260)&lt;DMAX(F$113:J$403,F$113,O260:O261),N$113,""),IF(COUNT(N$113:Q260)&lt;DMAX(F$113:J$403,F$113,Q260:Q261),COUNT(N$113:Q260)+1,""))</f>
        <v/>
      </c>
      <c r="Q261" s="199" t="str">
        <f>IF(O260=O$113,IF(COUNTA(L$111:L260)-2&lt;DMAX(F$113:J$403,F$113,Q259:Q260),O$113,""),IF(Q260&lt;&gt;"",IF(COUNTA(L$111:L260)-2&lt;DMAX(F$113:J$403,F$113,O259:O260),Protokoll!I$1,""),""))</f>
        <v/>
      </c>
      <c r="T261" s="331" t="str">
        <f>IF(OR(Protokoll!$X$5&lt;&gt;"",Lokalbeskrivn!$M$4&lt;&gt;""),"",U261)</f>
        <v/>
      </c>
      <c r="U261" s="330" t="s">
        <v>1413</v>
      </c>
      <c r="V261" s="351" t="s">
        <v>1412</v>
      </c>
      <c r="W261" s="2"/>
      <c r="Y261" s="572" t="s">
        <v>2448</v>
      </c>
      <c r="Z261" s="572" t="s">
        <v>1863</v>
      </c>
      <c r="AB261" s="472" t="str">
        <f>IF(COUNT(AB253:AB260)&gt;0,MAX(AB253:AB260)+1,"")</f>
        <v/>
      </c>
      <c r="AC261" s="433" t="str">
        <f>IF(AND(AH261&lt;&gt;"",AG261&lt;&gt;"",AI261&gt;0,AH261&gt;0),MAX(AC$2:AC260)+1,"XX")</f>
        <v>XX</v>
      </c>
      <c r="AD261" s="430" t="str">
        <f>IF('Antal &amp; Längder (vikter)'!$C$38&lt;&gt;"",'Antal &amp; Längder (vikter)'!$C$38,"XX")</f>
        <v>XX</v>
      </c>
      <c r="AE261" s="408" t="str">
        <f>IF(AND('Antal &amp; Längder (vikter)'!B$40&lt;&gt;"",ISNUMBER($AH261)),'Antal &amp; Längder (vikter)'!B$40,"")</f>
        <v/>
      </c>
      <c r="AF261" s="425" t="str">
        <f t="shared" si="10"/>
        <v/>
      </c>
      <c r="AG261" s="426" t="str">
        <f t="shared" si="11"/>
        <v/>
      </c>
      <c r="AH261" s="409" t="str">
        <f>IF('Antal &amp; Längder (vikter)'!C$41="Längd (mm)",IF('Antal &amp; Längder (vikter)'!C50&lt;&gt;"",'Antal &amp; Längder (vikter)'!C50,"XX"),"XX")</f>
        <v>XX</v>
      </c>
      <c r="AI261" s="7">
        <v>-9</v>
      </c>
    </row>
    <row r="262" spans="5:35" x14ac:dyDescent="0.25">
      <c r="E262" s="2"/>
      <c r="F262" s="199">
        <f>COUNTIF(J$113:J262,J262)</f>
        <v>6</v>
      </c>
      <c r="G262" t="s">
        <v>278</v>
      </c>
      <c r="H262" s="330">
        <v>861</v>
      </c>
      <c r="I262" s="330">
        <v>8</v>
      </c>
      <c r="J262" t="s">
        <v>128</v>
      </c>
      <c r="K262" s="143"/>
      <c r="L262" s="220" t="str">
        <f>IF(Protokoll!I$1&lt;&gt;"",IF(N261=N$113,IF(AND(DMAX(F$113:J$403,F$113,O261:O262)&gt;COUNTA(L$111:L261)-2,DCOUNTA(F$113:J$403,G$113,N261:O262)=1),DGET(F$113:J$403,G$113,N261:O262),""),IF(AND(DMAX(F$113:J$403,F$113,Q261:Q262)&gt;COUNTA(L$111:L261)-2,DCOUNTA(F$113:J$403,G$113,P261:Q262)=1),DGET(F$113:J$403,G$113,P261:Q262),"")),G262)</f>
        <v/>
      </c>
      <c r="M262" s="143"/>
      <c r="N262" s="221" t="str">
        <f>IF(N261=N$113,IF(COUNT(N$113:Q261)&lt;DMAX(F$113:J$403,F$113,O261:O262),COUNT(N$113:Q261)+1,""),IF(COUNT(N$113:Q261)&lt;DMAX(F$113:J$403,F$113,Q261:Q262),N$113,""))</f>
        <v/>
      </c>
      <c r="O262" s="222" t="str">
        <f>IF(O261=O$113,IF(COUNTA(L$111:L261)-2&lt;DMAX(F$113:J$403,F$113,Q260:Q261),Protokoll!I$1,""),IF(O261&lt;&gt;"",IF(COUNTA(L$111:L261)-1&lt;DMAX(F$113:J$403,F$113,O260:O261),O$113,""),""))</f>
        <v/>
      </c>
      <c r="P262" s="223" t="str">
        <f>IF(N261=N$113,IF(COUNT(N$113:Q261)&lt;DMAX(F$113:J$403,F$113,O261:O262),N$113,""),IF(COUNT(N$113:Q261)&lt;DMAX(F$113:J$403,F$113,Q261:Q262),COUNT(N$113:Q261)+1,""))</f>
        <v/>
      </c>
      <c r="Q262" s="199" t="str">
        <f>IF(O261=O$113,IF(COUNTA(L$111:L261)-2&lt;DMAX(F$113:J$403,F$113,Q260:Q261),O$113,""),IF(Q261&lt;&gt;"",IF(COUNTA(L$111:L261)-2&lt;DMAX(F$113:J$403,F$113,O260:O261),Protokoll!I$1,""),""))</f>
        <v/>
      </c>
      <c r="T262" s="331" t="str">
        <f>IF(OR(Protokoll!$X$5&lt;&gt;"",Lokalbeskrivn!$M$4&lt;&gt;""),"",U262)</f>
        <v/>
      </c>
      <c r="U262" s="330" t="s">
        <v>1415</v>
      </c>
      <c r="V262" s="351" t="s">
        <v>1414</v>
      </c>
      <c r="W262" s="2"/>
      <c r="Y262" s="572" t="s">
        <v>2449</v>
      </c>
      <c r="Z262" s="572" t="s">
        <v>2450</v>
      </c>
      <c r="AB262" s="479" t="str">
        <f>IF(COUNT(AB253:AB261)&gt;0,MAX(AB253:AB261)+1,"")</f>
        <v/>
      </c>
      <c r="AC262" s="433" t="str">
        <f>IF(AND(AH262&lt;&gt;"",AG262&lt;&gt;"",AI262&gt;0,AH262&gt;0),MAX(AC$2:AC261)+1,"XX")</f>
        <v>XX</v>
      </c>
      <c r="AD262" s="430" t="str">
        <f>IF('Antal &amp; Längder (vikter)'!$C$38&lt;&gt;"",'Antal &amp; Längder (vikter)'!$C$38,"XX")</f>
        <v>XX</v>
      </c>
      <c r="AE262" s="408" t="str">
        <f>IF(AND('Antal &amp; Längder (vikter)'!B$40&lt;&gt;"",ISNUMBER($AH262)),'Antal &amp; Längder (vikter)'!B$40,"")</f>
        <v/>
      </c>
      <c r="AF262" s="425" t="str">
        <f t="shared" si="10"/>
        <v/>
      </c>
      <c r="AG262" s="426" t="str">
        <f t="shared" si="11"/>
        <v/>
      </c>
      <c r="AH262" s="409" t="str">
        <f>IF('Antal &amp; Längder (vikter)'!C$41="Längd (mm)",IF('Antal &amp; Längder (vikter)'!C51&lt;&gt;"",'Antal &amp; Längder (vikter)'!C51,"XX"),"XX")</f>
        <v>XX</v>
      </c>
      <c r="AI262" s="7">
        <v>-9</v>
      </c>
    </row>
    <row r="263" spans="5:35" x14ac:dyDescent="0.25">
      <c r="E263" s="2"/>
      <c r="F263" s="199">
        <f>COUNTIF(J$113:J263,J263)</f>
        <v>7</v>
      </c>
      <c r="G263" t="s">
        <v>279</v>
      </c>
      <c r="H263" s="330">
        <v>840</v>
      </c>
      <c r="I263" s="330">
        <v>8</v>
      </c>
      <c r="J263" t="s">
        <v>128</v>
      </c>
      <c r="K263" s="143"/>
      <c r="L263" s="220" t="str">
        <f>IF(Protokoll!I$1&lt;&gt;"",IF(N262=N$113,IF(AND(DMAX(F$113:J$403,F$113,O262:O263)&gt;COUNTA(L$111:L262)-2,DCOUNTA(F$113:J$403,G$113,N262:O263)=1),DGET(F$113:J$403,G$113,N262:O263),""),IF(AND(DMAX(F$113:J$403,F$113,Q262:Q263)&gt;COUNTA(L$111:L262)-2,DCOUNTA(F$113:J$403,G$113,P262:Q263)=1),DGET(F$113:J$403,G$113,P262:Q263),"")),G263)</f>
        <v/>
      </c>
      <c r="M263" s="143"/>
      <c r="N263" s="221" t="str">
        <f>IF(N262=N$113,IF(COUNT(N$113:Q262)&lt;DMAX(F$113:J$403,F$113,O262:O263),COUNT(N$113:Q262)+1,""),IF(COUNT(N$113:Q262)&lt;DMAX(F$113:J$403,F$113,Q262:Q263),N$113,""))</f>
        <v/>
      </c>
      <c r="O263" s="222" t="str">
        <f>IF(O262=O$113,IF(COUNTA(L$111:L262)-2&lt;DMAX(F$113:J$403,F$113,Q261:Q262),Protokoll!I$1,""),IF(O262&lt;&gt;"",IF(COUNTA(L$111:L262)-1&lt;DMAX(F$113:J$403,F$113,O261:O262),O$113,""),""))</f>
        <v/>
      </c>
      <c r="P263" s="223" t="str">
        <f>IF(N262=N$113,IF(COUNT(N$113:Q262)&lt;DMAX(F$113:J$403,F$113,O262:O263),N$113,""),IF(COUNT(N$113:Q262)&lt;DMAX(F$113:J$403,F$113,Q262:Q263),COUNT(N$113:Q262)+1,""))</f>
        <v/>
      </c>
      <c r="Q263" s="199" t="str">
        <f>IF(O262=O$113,IF(COUNTA(L$111:L262)-2&lt;DMAX(F$113:J$403,F$113,Q261:Q262),O$113,""),IF(Q262&lt;&gt;"",IF(COUNTA(L$111:L262)-2&lt;DMAX(F$113:J$403,F$113,O261:O262),Protokoll!I$1,""),""))</f>
        <v/>
      </c>
      <c r="T263" s="331" t="str">
        <f>IF(OR(Protokoll!$X$5&lt;&gt;"",Lokalbeskrivn!$M$4&lt;&gt;""),"",U263)</f>
        <v/>
      </c>
      <c r="U263" s="330" t="s">
        <v>1416</v>
      </c>
      <c r="V263" s="351">
        <v>100</v>
      </c>
      <c r="W263" s="2"/>
      <c r="Y263" s="572" t="s">
        <v>2203</v>
      </c>
      <c r="Z263" s="572" t="s">
        <v>1864</v>
      </c>
      <c r="AB263" s="480" t="str">
        <f>IF(AND(ISNUMBER(AH263),AH263&gt;0),IF(MAX(AB$3:AB262)&gt;0,MAX(AB$3:AB262)+1,10+COUNTIF(F$38:F$49,"&gt;0")*10+1),"")</f>
        <v/>
      </c>
      <c r="AC263" s="433" t="str">
        <f>IF(AND(AH263&lt;&gt;"",AG263&lt;&gt;"",AI263&gt;0,AH263&gt;0),MAX(AC$2:AC262)+1,"XX")</f>
        <v>XX</v>
      </c>
      <c r="AD263" s="430" t="str">
        <f>IF('Antal &amp; Längder (vikter)'!$C$38&lt;&gt;"",'Antal &amp; Längder (vikter)'!$C$38,"XX")</f>
        <v>XX</v>
      </c>
      <c r="AE263" s="413" t="str">
        <f>IF(AND('Antal &amp; Längder (vikter)'!D$40&lt;&gt;"",ISNUMBER($AH263)),'Antal &amp; Längder (vikter)'!D$40,"")</f>
        <v/>
      </c>
      <c r="AF263" s="425" t="str">
        <f t="shared" si="10"/>
        <v/>
      </c>
      <c r="AG263" s="426" t="str">
        <f t="shared" si="11"/>
        <v/>
      </c>
      <c r="AH263" s="407" t="str">
        <f>IF('Antal &amp; Längder (vikter)'!D42&lt;&gt;"",'Antal &amp; Längder (vikter)'!D42,"XX")</f>
        <v>XX</v>
      </c>
      <c r="AI263" s="405">
        <f>IF('Antal &amp; Längder (vikter)'!E$41="Vikt (g)",IF('Antal &amp; Längder (vikter)'!E42&lt;&gt;"",'Antal &amp; Längder (vikter)'!E42,-9),-9)</f>
        <v>-9</v>
      </c>
    </row>
    <row r="264" spans="5:35" x14ac:dyDescent="0.25">
      <c r="E264" s="2"/>
      <c r="F264" s="199">
        <f>COUNTIF(J$113:J264,J264)</f>
        <v>8</v>
      </c>
      <c r="G264" t="s">
        <v>280</v>
      </c>
      <c r="H264" s="330">
        <v>182</v>
      </c>
      <c r="I264" s="330">
        <v>1</v>
      </c>
      <c r="J264" t="s">
        <v>136</v>
      </c>
      <c r="K264" s="143"/>
      <c r="L264" s="220" t="str">
        <f>IF(Protokoll!I$1&lt;&gt;"",IF(N263=N$113,IF(AND(DMAX(F$113:J$403,F$113,O263:O264)&gt;COUNTA(L$111:L263)-2,DCOUNTA(F$113:J$403,G$113,N263:O264)=1),DGET(F$113:J$403,G$113,N263:O264),""),IF(AND(DMAX(F$113:J$403,F$113,Q263:Q264)&gt;COUNTA(L$111:L263)-2,DCOUNTA(F$113:J$403,G$113,P263:Q264)=1),DGET(F$113:J$403,G$113,P263:Q264),"")),G264)</f>
        <v/>
      </c>
      <c r="M264" s="143"/>
      <c r="N264" s="221" t="str">
        <f>IF(N263=N$113,IF(COUNT(N$113:Q263)&lt;DMAX(F$113:J$403,F$113,O263:O264),COUNT(N$113:Q263)+1,""),IF(COUNT(N$113:Q263)&lt;DMAX(F$113:J$403,F$113,Q263:Q264),N$113,""))</f>
        <v/>
      </c>
      <c r="O264" s="222" t="str">
        <f>IF(O263=O$113,IF(COUNTA(L$111:L263)-2&lt;DMAX(F$113:J$403,F$113,Q262:Q263),Protokoll!I$1,""),IF(O263&lt;&gt;"",IF(COUNTA(L$111:L263)-1&lt;DMAX(F$113:J$403,F$113,O262:O263),O$113,""),""))</f>
        <v/>
      </c>
      <c r="P264" s="223" t="str">
        <f>IF(N263=N$113,IF(COUNT(N$113:Q263)&lt;DMAX(F$113:J$403,F$113,O263:O264),N$113,""),IF(COUNT(N$113:Q263)&lt;DMAX(F$113:J$403,F$113,Q263:Q264),COUNT(N$113:Q263)+1,""))</f>
        <v/>
      </c>
      <c r="Q264" s="199" t="str">
        <f>IF(O263=O$113,IF(COUNTA(L$111:L263)-2&lt;DMAX(F$113:J$403,F$113,Q262:Q263),O$113,""),IF(Q263&lt;&gt;"",IF(COUNTA(L$111:L263)-2&lt;DMAX(F$113:J$403,F$113,O262:O263),Protokoll!I$1,""),""))</f>
        <v/>
      </c>
      <c r="T264" s="331" t="str">
        <f>IF(OR(Protokoll!$X$5&lt;&gt;"",Lokalbeskrivn!$M$4&lt;&gt;""),"",U264)</f>
        <v/>
      </c>
      <c r="U264" s="330" t="s">
        <v>1418</v>
      </c>
      <c r="V264" s="351" t="s">
        <v>1417</v>
      </c>
      <c r="W264" s="2"/>
      <c r="Y264" s="572" t="s">
        <v>2204</v>
      </c>
      <c r="Z264" s="572" t="s">
        <v>302</v>
      </c>
      <c r="AB264" s="476" t="str">
        <f>IF(COUNT(AB263:AB263)&gt;0,MAX(AB263:AB263)+1,"")</f>
        <v/>
      </c>
      <c r="AC264" s="433" t="str">
        <f>IF(AND(AH264&lt;&gt;"",AG264&lt;&gt;"",AI264&gt;0,AH264&gt;0),MAX(AC$2:AC263)+1,"XX")</f>
        <v>XX</v>
      </c>
      <c r="AD264" s="430" t="str">
        <f>IF('Antal &amp; Längder (vikter)'!$C$38&lt;&gt;"",'Antal &amp; Längder (vikter)'!$C$38,"XX")</f>
        <v>XX</v>
      </c>
      <c r="AE264" s="413" t="str">
        <f>IF(AND('Antal &amp; Längder (vikter)'!D$40&lt;&gt;"",ISNUMBER($AH264)),'Antal &amp; Längder (vikter)'!D$40,"")</f>
        <v/>
      </c>
      <c r="AF264" s="425" t="str">
        <f t="shared" si="10"/>
        <v/>
      </c>
      <c r="AG264" s="426" t="str">
        <f t="shared" si="11"/>
        <v/>
      </c>
      <c r="AH264" s="407" t="str">
        <f>IF('Antal &amp; Längder (vikter)'!D43&lt;&gt;"",'Antal &amp; Längder (vikter)'!D43,"XX")</f>
        <v>XX</v>
      </c>
      <c r="AI264" s="405">
        <f>IF('Antal &amp; Längder (vikter)'!E$41="Vikt (g)",IF('Antal &amp; Längder (vikter)'!E43&lt;&gt;"",'Antal &amp; Längder (vikter)'!E43,-9),-9)</f>
        <v>-9</v>
      </c>
    </row>
    <row r="265" spans="5:35" x14ac:dyDescent="0.25">
      <c r="E265" s="2"/>
      <c r="F265" s="199">
        <f>COUNTIF(J$113:J265,J265)</f>
        <v>11</v>
      </c>
      <c r="G265" t="s">
        <v>281</v>
      </c>
      <c r="H265" s="330">
        <v>1884</v>
      </c>
      <c r="I265" s="330">
        <v>18</v>
      </c>
      <c r="J265" t="s">
        <v>133</v>
      </c>
      <c r="K265" s="143"/>
      <c r="L265" s="220" t="str">
        <f>IF(Protokoll!I$1&lt;&gt;"",IF(N264=N$113,IF(AND(DMAX(F$113:J$403,F$113,O264:O265)&gt;COUNTA(L$111:L264)-2,DCOUNTA(F$113:J$403,G$113,N264:O265)=1),DGET(F$113:J$403,G$113,N264:O265),""),IF(AND(DMAX(F$113:J$403,F$113,Q264:Q265)&gt;COUNTA(L$111:L264)-2,DCOUNTA(F$113:J$403,G$113,P264:Q265)=1),DGET(F$113:J$403,G$113,P264:Q265),"")),G265)</f>
        <v/>
      </c>
      <c r="M265" s="143"/>
      <c r="N265" s="221" t="str">
        <f>IF(N264=N$113,IF(COUNT(N$113:Q264)&lt;DMAX(F$113:J$403,F$113,O264:O265),COUNT(N$113:Q264)+1,""),IF(COUNT(N$113:Q264)&lt;DMAX(F$113:J$403,F$113,Q264:Q265),N$113,""))</f>
        <v/>
      </c>
      <c r="O265" s="222" t="str">
        <f>IF(O264=O$113,IF(COUNTA(L$111:L264)-2&lt;DMAX(F$113:J$403,F$113,Q263:Q264),Protokoll!I$1,""),IF(O264&lt;&gt;"",IF(COUNTA(L$111:L264)-1&lt;DMAX(F$113:J$403,F$113,O263:O264),O$113,""),""))</f>
        <v/>
      </c>
      <c r="P265" s="223" t="str">
        <f>IF(N264=N$113,IF(COUNT(N$113:Q264)&lt;DMAX(F$113:J$403,F$113,O264:O265),N$113,""),IF(COUNT(N$113:Q264)&lt;DMAX(F$113:J$403,F$113,Q264:Q265),COUNT(N$113:Q264)+1,""))</f>
        <v/>
      </c>
      <c r="Q265" s="199" t="str">
        <f>IF(O264=O$113,IF(COUNTA(L$111:L264)-2&lt;DMAX(F$113:J$403,F$113,Q263:Q264),O$113,""),IF(Q264&lt;&gt;"",IF(COUNTA(L$111:L264)-2&lt;DMAX(F$113:J$403,F$113,O263:O264),Protokoll!I$1,""),""))</f>
        <v/>
      </c>
      <c r="T265" s="331" t="str">
        <f>IF(OR(Protokoll!$X$5&lt;&gt;"",Lokalbeskrivn!$M$4&lt;&gt;""),"",U265)</f>
        <v/>
      </c>
      <c r="U265" s="330" t="s">
        <v>1419</v>
      </c>
      <c r="V265" s="351">
        <v>101</v>
      </c>
      <c r="W265" s="2"/>
      <c r="Y265" s="572" t="s">
        <v>1865</v>
      </c>
      <c r="Z265" s="572" t="s">
        <v>1866</v>
      </c>
      <c r="AB265" s="477" t="str">
        <f>IF(COUNT(AB263:AB264)&gt;0,MAX(AB263:AB264)+1,"")</f>
        <v/>
      </c>
      <c r="AC265" s="433" t="str">
        <f>IF(AND(AH265&lt;&gt;"",AG265&lt;&gt;"",AI265&gt;0,AH265&gt;0),MAX(AC$2:AC264)+1,"XX")</f>
        <v>XX</v>
      </c>
      <c r="AD265" s="430" t="str">
        <f>IF('Antal &amp; Längder (vikter)'!$C$38&lt;&gt;"",'Antal &amp; Längder (vikter)'!$C$38,"XX")</f>
        <v>XX</v>
      </c>
      <c r="AE265" s="413" t="str">
        <f>IF(AND('Antal &amp; Längder (vikter)'!D$40&lt;&gt;"",ISNUMBER($AH265)),'Antal &amp; Längder (vikter)'!D$40,"")</f>
        <v/>
      </c>
      <c r="AF265" s="425" t="str">
        <f t="shared" si="10"/>
        <v/>
      </c>
      <c r="AG265" s="426" t="str">
        <f t="shared" si="11"/>
        <v/>
      </c>
      <c r="AH265" s="407" t="str">
        <f>IF('Antal &amp; Längder (vikter)'!D44&lt;&gt;"",'Antal &amp; Längder (vikter)'!D44,"XX")</f>
        <v>XX</v>
      </c>
      <c r="AI265" s="405">
        <f>IF('Antal &amp; Längder (vikter)'!E$41="Vikt (g)",IF('Antal &amp; Längder (vikter)'!E44&lt;&gt;"",'Antal &amp; Längder (vikter)'!E44,-9),-9)</f>
        <v>-9</v>
      </c>
    </row>
    <row r="266" spans="5:35" x14ac:dyDescent="0.25">
      <c r="E266" s="2"/>
      <c r="F266" s="199">
        <f>COUNTIF(J$113:J266,J266)</f>
        <v>7</v>
      </c>
      <c r="G266" t="s">
        <v>282</v>
      </c>
      <c r="H266" s="330">
        <v>1962</v>
      </c>
      <c r="I266" s="330">
        <v>19</v>
      </c>
      <c r="J266" t="s">
        <v>125</v>
      </c>
      <c r="K266" s="143"/>
      <c r="L266" s="220" t="str">
        <f>IF(Protokoll!I$1&lt;&gt;"",IF(N265=N$113,IF(AND(DMAX(F$113:J$403,F$113,O265:O266)&gt;COUNTA(L$111:L265)-2,DCOUNTA(F$113:J$403,G$113,N265:O266)=1),DGET(F$113:J$403,G$113,N265:O266),""),IF(AND(DMAX(F$113:J$403,F$113,Q265:Q266)&gt;COUNTA(L$111:L265)-2,DCOUNTA(F$113:J$403,G$113,P265:Q266)=1),DGET(F$113:J$403,G$113,P265:Q266),"")),G266)</f>
        <v/>
      </c>
      <c r="M266" s="143"/>
      <c r="N266" s="221" t="str">
        <f>IF(N265=N$113,IF(COUNT(N$113:Q265)&lt;DMAX(F$113:J$403,F$113,O265:O266),COUNT(N$113:Q265)+1,""),IF(COUNT(N$113:Q265)&lt;DMAX(F$113:J$403,F$113,Q265:Q266),N$113,""))</f>
        <v/>
      </c>
      <c r="O266" s="222" t="str">
        <f>IF(O265=O$113,IF(COUNTA(L$111:L265)-2&lt;DMAX(F$113:J$403,F$113,Q264:Q265),Protokoll!I$1,""),IF(O265&lt;&gt;"",IF(COUNTA(L$111:L265)-1&lt;DMAX(F$113:J$403,F$113,O264:O265),O$113,""),""))</f>
        <v/>
      </c>
      <c r="P266" s="223" t="str">
        <f>IF(N265=N$113,IF(COUNT(N$113:Q265)&lt;DMAX(F$113:J$403,F$113,O265:O266),N$113,""),IF(COUNT(N$113:Q265)&lt;DMAX(F$113:J$403,F$113,Q265:Q266),COUNT(N$113:Q265)+1,""))</f>
        <v/>
      </c>
      <c r="Q266" s="199" t="str">
        <f>IF(O265=O$113,IF(COUNTA(L$111:L265)-2&lt;DMAX(F$113:J$403,F$113,Q264:Q265),O$113,""),IF(Q265&lt;&gt;"",IF(COUNTA(L$111:L265)-2&lt;DMAX(F$113:J$403,F$113,O264:O265),Protokoll!I$1,""),""))</f>
        <v/>
      </c>
      <c r="T266" s="331" t="str">
        <f>IF(OR(Protokoll!$X$5&lt;&gt;"",Lokalbeskrivn!$M$4&lt;&gt;""),"",U266)</f>
        <v/>
      </c>
      <c r="U266" s="330" t="s">
        <v>1421</v>
      </c>
      <c r="V266" s="351" t="s">
        <v>1420</v>
      </c>
      <c r="W266" s="2"/>
      <c r="Y266" s="572" t="s">
        <v>2451</v>
      </c>
      <c r="Z266" s="572" t="s">
        <v>2452</v>
      </c>
      <c r="AB266" s="434" t="str">
        <f>IF(COUNT(AB263:AB265)&gt;0,MAX(AB263:AB265)+1,"")</f>
        <v/>
      </c>
      <c r="AC266" s="433" t="str">
        <f>IF(AND(AH266&lt;&gt;"",AG266&lt;&gt;"",AI266&gt;0,AH266&gt;0),MAX(AC$2:AC265)+1,"XX")</f>
        <v>XX</v>
      </c>
      <c r="AD266" s="430" t="str">
        <f>IF('Antal &amp; Längder (vikter)'!$C$38&lt;&gt;"",'Antal &amp; Längder (vikter)'!$C$38,"XX")</f>
        <v>XX</v>
      </c>
      <c r="AE266" s="413" t="str">
        <f>IF(AND('Antal &amp; Längder (vikter)'!D$40&lt;&gt;"",ISNUMBER($AH266)),'Antal &amp; Längder (vikter)'!D$40,"")</f>
        <v/>
      </c>
      <c r="AF266" s="425" t="str">
        <f t="shared" si="10"/>
        <v/>
      </c>
      <c r="AG266" s="426" t="str">
        <f t="shared" si="11"/>
        <v/>
      </c>
      <c r="AH266" s="407" t="str">
        <f>IF('Antal &amp; Längder (vikter)'!D45&lt;&gt;"",'Antal &amp; Längder (vikter)'!D45,"XX")</f>
        <v>XX</v>
      </c>
      <c r="AI266" s="405">
        <f>IF('Antal &amp; Längder (vikter)'!E$41="Vikt (g)",IF('Antal &amp; Längder (vikter)'!E45&lt;&gt;"",'Antal &amp; Längder (vikter)'!E45,-9),-9)</f>
        <v>-9</v>
      </c>
    </row>
    <row r="267" spans="5:35" x14ac:dyDescent="0.25">
      <c r="E267" s="2"/>
      <c r="F267" s="199">
        <f>COUNTIF(J$113:J267,J267)</f>
        <v>6</v>
      </c>
      <c r="G267" t="s">
        <v>283</v>
      </c>
      <c r="H267" s="330">
        <v>2132</v>
      </c>
      <c r="I267" s="330">
        <v>21</v>
      </c>
      <c r="J267" t="s">
        <v>117</v>
      </c>
      <c r="K267" s="143"/>
      <c r="L267" s="220" t="str">
        <f>IF(Protokoll!I$1&lt;&gt;"",IF(N266=N$113,IF(AND(DMAX(F$113:J$403,F$113,O266:O267)&gt;COUNTA(L$111:L266)-2,DCOUNTA(F$113:J$403,G$113,N266:O267)=1),DGET(F$113:J$403,G$113,N266:O267),""),IF(AND(DMAX(F$113:J$403,F$113,Q266:Q267)&gt;COUNTA(L$111:L266)-2,DCOUNTA(F$113:J$403,G$113,P266:Q267)=1),DGET(F$113:J$403,G$113,P266:Q267),"")),G267)</f>
        <v/>
      </c>
      <c r="M267" s="143"/>
      <c r="N267" s="221" t="str">
        <f>IF(N266=N$113,IF(COUNT(N$113:Q266)&lt;DMAX(F$113:J$403,F$113,O266:O267),COUNT(N$113:Q266)+1,""),IF(COUNT(N$113:Q266)&lt;DMAX(F$113:J$403,F$113,Q266:Q267),N$113,""))</f>
        <v/>
      </c>
      <c r="O267" s="222" t="str">
        <f>IF(O266=O$113,IF(COUNTA(L$111:L266)-2&lt;DMAX(F$113:J$403,F$113,Q265:Q266),Protokoll!I$1,""),IF(O266&lt;&gt;"",IF(COUNTA(L$111:L266)-1&lt;DMAX(F$113:J$403,F$113,O265:O266),O$113,""),""))</f>
        <v/>
      </c>
      <c r="P267" s="223" t="str">
        <f>IF(N266=N$113,IF(COUNT(N$113:Q266)&lt;DMAX(F$113:J$403,F$113,O266:O267),N$113,""),IF(COUNT(N$113:Q266)&lt;DMAX(F$113:J$403,F$113,Q266:Q267),COUNT(N$113:Q266)+1,""))</f>
        <v/>
      </c>
      <c r="Q267" s="199" t="str">
        <f>IF(O266=O$113,IF(COUNTA(L$111:L266)-2&lt;DMAX(F$113:J$403,F$113,Q265:Q266),O$113,""),IF(Q266&lt;&gt;"",IF(COUNTA(L$111:L266)-2&lt;DMAX(F$113:J$403,F$113,O265:O266),Protokoll!I$1,""),""))</f>
        <v/>
      </c>
      <c r="T267" s="331" t="str">
        <f>IF(OR(Protokoll!$X$5&lt;&gt;"",Lokalbeskrivn!$M$4&lt;&gt;""),"",U267)</f>
        <v/>
      </c>
      <c r="U267" s="330" t="s">
        <v>1422</v>
      </c>
      <c r="V267" s="351">
        <v>102</v>
      </c>
      <c r="W267" s="2"/>
      <c r="Y267" s="572" t="s">
        <v>1539</v>
      </c>
      <c r="Z267" s="572" t="s">
        <v>1540</v>
      </c>
      <c r="AB267" s="475" t="str">
        <f>IF(COUNT(AB263:AB266)&gt;0,MAX(AB263:AB266)+1,"")</f>
        <v/>
      </c>
      <c r="AC267" s="433" t="str">
        <f>IF(AND(AH267&lt;&gt;"",AG267&lt;&gt;"",AI267&gt;0,AH267&gt;0),MAX(AC$2:AC266)+1,"XX")</f>
        <v>XX</v>
      </c>
      <c r="AD267" s="430" t="str">
        <f>IF('Antal &amp; Längder (vikter)'!$C$38&lt;&gt;"",'Antal &amp; Längder (vikter)'!$C$38,"XX")</f>
        <v>XX</v>
      </c>
      <c r="AE267" s="413" t="str">
        <f>IF(AND('Antal &amp; Längder (vikter)'!D$40&lt;&gt;"",ISNUMBER($AH267)),'Antal &amp; Längder (vikter)'!D$40,"")</f>
        <v/>
      </c>
      <c r="AF267" s="425" t="str">
        <f t="shared" si="10"/>
        <v/>
      </c>
      <c r="AG267" s="426" t="str">
        <f t="shared" si="11"/>
        <v/>
      </c>
      <c r="AH267" s="407" t="str">
        <f>IF('Antal &amp; Längder (vikter)'!D46&lt;&gt;"",'Antal &amp; Längder (vikter)'!D46,"XX")</f>
        <v>XX</v>
      </c>
      <c r="AI267" s="405">
        <f>IF('Antal &amp; Längder (vikter)'!E$41="Vikt (g)",IF('Antal &amp; Längder (vikter)'!E46&lt;&gt;"",'Antal &amp; Längder (vikter)'!E46,-9),-9)</f>
        <v>-9</v>
      </c>
    </row>
    <row r="268" spans="5:35" x14ac:dyDescent="0.25">
      <c r="E268" s="2"/>
      <c r="F268" s="199">
        <f>COUNTIF(J$113:J268,J268)</f>
        <v>5</v>
      </c>
      <c r="G268" t="s">
        <v>284</v>
      </c>
      <c r="H268" s="330">
        <v>2401</v>
      </c>
      <c r="I268" s="330">
        <v>24</v>
      </c>
      <c r="J268" t="s">
        <v>142</v>
      </c>
      <c r="K268" s="143"/>
      <c r="L268" s="220" t="str">
        <f>IF(Protokoll!I$1&lt;&gt;"",IF(N267=N$113,IF(AND(DMAX(F$113:J$403,F$113,O267:O268)&gt;COUNTA(L$111:L267)-2,DCOUNTA(F$113:J$403,G$113,N267:O268)=1),DGET(F$113:J$403,G$113,N267:O268),""),IF(AND(DMAX(F$113:J$403,F$113,Q267:Q268)&gt;COUNTA(L$111:L267)-2,DCOUNTA(F$113:J$403,G$113,P267:Q268)=1),DGET(F$113:J$403,G$113,P267:Q268),"")),G268)</f>
        <v/>
      </c>
      <c r="M268" s="143"/>
      <c r="N268" s="221" t="str">
        <f>IF(N267=N$113,IF(COUNT(N$113:Q267)&lt;DMAX(F$113:J$403,F$113,O267:O268),COUNT(N$113:Q267)+1,""),IF(COUNT(N$113:Q267)&lt;DMAX(F$113:J$403,F$113,Q267:Q268),N$113,""))</f>
        <v/>
      </c>
      <c r="O268" s="222" t="str">
        <f>IF(O267=O$113,IF(COUNTA(L$111:L267)-2&lt;DMAX(F$113:J$403,F$113,Q266:Q267),Protokoll!I$1,""),IF(O267&lt;&gt;"",IF(COUNTA(L$111:L267)-1&lt;DMAX(F$113:J$403,F$113,O266:O267),O$113,""),""))</f>
        <v/>
      </c>
      <c r="P268" s="223" t="str">
        <f>IF(N267=N$113,IF(COUNT(N$113:Q267)&lt;DMAX(F$113:J$403,F$113,O267:O268),N$113,""),IF(COUNT(N$113:Q267)&lt;DMAX(F$113:J$403,F$113,Q267:Q268),COUNT(N$113:Q267)+1,""))</f>
        <v/>
      </c>
      <c r="Q268" s="199" t="str">
        <f>IF(O267=O$113,IF(COUNTA(L$111:L267)-2&lt;DMAX(F$113:J$403,F$113,Q266:Q267),O$113,""),IF(Q267&lt;&gt;"",IF(COUNTA(L$111:L267)-2&lt;DMAX(F$113:J$403,F$113,O266:O267),Protokoll!I$1,""),""))</f>
        <v/>
      </c>
      <c r="T268" s="331" t="str">
        <f>IF(OR(Protokoll!$X$5&lt;&gt;"",Lokalbeskrivn!$M$4&lt;&gt;""),"",U268)</f>
        <v/>
      </c>
      <c r="U268" s="330" t="s">
        <v>1424</v>
      </c>
      <c r="V268" s="351" t="s">
        <v>1423</v>
      </c>
      <c r="W268" s="2"/>
      <c r="Y268" s="572" t="s">
        <v>1539</v>
      </c>
      <c r="Z268" s="572" t="s">
        <v>1540</v>
      </c>
      <c r="AB268" s="471" t="str">
        <f>IF(COUNT(AB263:AB267)&gt;0,MAX(AB263:AB267)+1,"")</f>
        <v/>
      </c>
      <c r="AC268" s="433" t="str">
        <f>IF(AND(AH268&lt;&gt;"",AG268&lt;&gt;"",AI268&gt;0,AH268&gt;0),MAX(AC$2:AC267)+1,"XX")</f>
        <v>XX</v>
      </c>
      <c r="AD268" s="430" t="str">
        <f>IF('Antal &amp; Längder (vikter)'!$C$38&lt;&gt;"",'Antal &amp; Längder (vikter)'!$C$38,"XX")</f>
        <v>XX</v>
      </c>
      <c r="AE268" s="413" t="str">
        <f>IF(AND('Antal &amp; Längder (vikter)'!D$40&lt;&gt;"",ISNUMBER($AH268)),'Antal &amp; Längder (vikter)'!D$40,"")</f>
        <v/>
      </c>
      <c r="AF268" s="425" t="str">
        <f t="shared" si="10"/>
        <v/>
      </c>
      <c r="AG268" s="426" t="str">
        <f t="shared" si="11"/>
        <v/>
      </c>
      <c r="AH268" s="407" t="str">
        <f>IF('Antal &amp; Längder (vikter)'!D47&lt;&gt;"",'Antal &amp; Längder (vikter)'!D47,"XX")</f>
        <v>XX</v>
      </c>
      <c r="AI268" s="405">
        <f>IF('Antal &amp; Längder (vikter)'!E$41="Vikt (g)",IF('Antal &amp; Längder (vikter)'!E47&lt;&gt;"",'Antal &amp; Längder (vikter)'!E47,-9),-9)</f>
        <v>-9</v>
      </c>
    </row>
    <row r="269" spans="5:35" x14ac:dyDescent="0.25">
      <c r="E269" s="2"/>
      <c r="F269" s="199">
        <f>COUNTIF(J$113:J269,J269)</f>
        <v>7</v>
      </c>
      <c r="G269" t="s">
        <v>285</v>
      </c>
      <c r="H269" s="330">
        <v>581</v>
      </c>
      <c r="I269" s="330">
        <v>5</v>
      </c>
      <c r="J269" t="s">
        <v>150</v>
      </c>
      <c r="K269" s="143"/>
      <c r="L269" s="220" t="str">
        <f>IF(Protokoll!I$1&lt;&gt;"",IF(N268=N$113,IF(AND(DMAX(F$113:J$403,F$113,O268:O269)&gt;COUNTA(L$111:L268)-2,DCOUNTA(F$113:J$403,G$113,N268:O269)=1),DGET(F$113:J$403,G$113,N268:O269),""),IF(AND(DMAX(F$113:J$403,F$113,Q268:Q269)&gt;COUNTA(L$111:L268)-2,DCOUNTA(F$113:J$403,G$113,P268:Q269)=1),DGET(F$113:J$403,G$113,P268:Q269),"")),G269)</f>
        <v/>
      </c>
      <c r="M269" s="143"/>
      <c r="N269" s="221" t="str">
        <f>IF(N268=N$113,IF(COUNT(N$113:Q268)&lt;DMAX(F$113:J$403,F$113,O268:O269),COUNT(N$113:Q268)+1,""),IF(COUNT(N$113:Q268)&lt;DMAX(F$113:J$403,F$113,Q268:Q269),N$113,""))</f>
        <v/>
      </c>
      <c r="O269" s="222" t="str">
        <f>IF(O268=O$113,IF(COUNTA(L$111:L268)-2&lt;DMAX(F$113:J$403,F$113,Q267:Q268),Protokoll!I$1,""),IF(O268&lt;&gt;"",IF(COUNTA(L$111:L268)-1&lt;DMAX(F$113:J$403,F$113,O267:O268),O$113,""),""))</f>
        <v/>
      </c>
      <c r="P269" s="223" t="str">
        <f>IF(N268=N$113,IF(COUNT(N$113:Q268)&lt;DMAX(F$113:J$403,F$113,O268:O269),N$113,""),IF(COUNT(N$113:Q268)&lt;DMAX(F$113:J$403,F$113,Q268:Q269),COUNT(N$113:Q268)+1,""))</f>
        <v/>
      </c>
      <c r="Q269" s="199" t="str">
        <f>IF(O268=O$113,IF(COUNTA(L$111:L268)-2&lt;DMAX(F$113:J$403,F$113,Q267:Q268),O$113,""),IF(Q268&lt;&gt;"",IF(COUNTA(L$111:L268)-2&lt;DMAX(F$113:J$403,F$113,O267:O268),Protokoll!I$1,""),""))</f>
        <v/>
      </c>
      <c r="T269" s="331" t="str">
        <f>IF(OR(Protokoll!$X$5&lt;&gt;"",Lokalbeskrivn!$M$4&lt;&gt;""),"",U269)</f>
        <v/>
      </c>
      <c r="U269" s="330" t="s">
        <v>1425</v>
      </c>
      <c r="V269" s="351">
        <v>103</v>
      </c>
      <c r="W269" s="2"/>
      <c r="Y269" s="572" t="s">
        <v>2453</v>
      </c>
      <c r="Z269" s="572" t="s">
        <v>2205</v>
      </c>
      <c r="AB269" s="474" t="str">
        <f>IF(COUNT(AB263:AB268)&gt;0,MAX(AB263:AB268)+1,"")</f>
        <v/>
      </c>
      <c r="AC269" s="433" t="str">
        <f>IF(AND(AH269&lt;&gt;"",AG269&lt;&gt;"",AI269&gt;0,AH269&gt;0),MAX(AC$2:AC268)+1,"XX")</f>
        <v>XX</v>
      </c>
      <c r="AD269" s="430" t="str">
        <f>IF('Antal &amp; Längder (vikter)'!$C$38&lt;&gt;"",'Antal &amp; Längder (vikter)'!$C$38,"XX")</f>
        <v>XX</v>
      </c>
      <c r="AE269" s="413" t="str">
        <f>IF(AND('Antal &amp; Längder (vikter)'!D$40&lt;&gt;"",ISNUMBER($AH269)),'Antal &amp; Längder (vikter)'!D$40,"")</f>
        <v/>
      </c>
      <c r="AF269" s="425" t="str">
        <f t="shared" si="10"/>
        <v/>
      </c>
      <c r="AG269" s="426" t="str">
        <f t="shared" si="11"/>
        <v/>
      </c>
      <c r="AH269" s="407" t="str">
        <f>IF('Antal &amp; Längder (vikter)'!D48&lt;&gt;"",'Antal &amp; Längder (vikter)'!D48,"XX")</f>
        <v>XX</v>
      </c>
      <c r="AI269" s="405">
        <f>IF('Antal &amp; Längder (vikter)'!E$41="Vikt (g)",IF('Antal &amp; Längder (vikter)'!E48&lt;&gt;"",'Antal &amp; Längder (vikter)'!E48,-9),-9)</f>
        <v>-9</v>
      </c>
    </row>
    <row r="270" spans="5:35" x14ac:dyDescent="0.25">
      <c r="E270" s="2"/>
      <c r="F270" s="199">
        <f>COUNTIF(J$113:J270,J270)</f>
        <v>9</v>
      </c>
      <c r="G270" t="s">
        <v>286</v>
      </c>
      <c r="H270" s="330">
        <v>188</v>
      </c>
      <c r="I270" s="330">
        <v>1</v>
      </c>
      <c r="J270" t="s">
        <v>136</v>
      </c>
      <c r="K270" s="143"/>
      <c r="L270" s="220" t="str">
        <f>IF(Protokoll!I$1&lt;&gt;"",IF(N269=N$113,IF(AND(DMAX(F$113:J$403,F$113,O269:O270)&gt;COUNTA(L$111:L269)-2,DCOUNTA(F$113:J$403,G$113,N269:O270)=1),DGET(F$113:J$403,G$113,N269:O270),""),IF(AND(DMAX(F$113:J$403,F$113,Q269:Q270)&gt;COUNTA(L$111:L269)-2,DCOUNTA(F$113:J$403,G$113,P269:Q270)=1),DGET(F$113:J$403,G$113,P269:Q270),"")),G270)</f>
        <v/>
      </c>
      <c r="M270" s="143"/>
      <c r="N270" s="221" t="str">
        <f>IF(N269=N$113,IF(COUNT(N$113:Q269)&lt;DMAX(F$113:J$403,F$113,O269:O270),COUNT(N$113:Q269)+1,""),IF(COUNT(N$113:Q269)&lt;DMAX(F$113:J$403,F$113,Q269:Q270),N$113,""))</f>
        <v/>
      </c>
      <c r="O270" s="222" t="str">
        <f>IF(O269=O$113,IF(COUNTA(L$111:L269)-2&lt;DMAX(F$113:J$403,F$113,Q268:Q269),Protokoll!I$1,""),IF(O269&lt;&gt;"",IF(COUNTA(L$111:L269)-1&lt;DMAX(F$113:J$403,F$113,O268:O269),O$113,""),""))</f>
        <v/>
      </c>
      <c r="P270" s="223" t="str">
        <f>IF(N269=N$113,IF(COUNT(N$113:Q269)&lt;DMAX(F$113:J$403,F$113,O269:O270),N$113,""),IF(COUNT(N$113:Q269)&lt;DMAX(F$113:J$403,F$113,Q269:Q270),COUNT(N$113:Q269)+1,""))</f>
        <v/>
      </c>
      <c r="Q270" s="199" t="str">
        <f>IF(O269=O$113,IF(COUNTA(L$111:L269)-2&lt;DMAX(F$113:J$403,F$113,Q268:Q269),O$113,""),IF(Q269&lt;&gt;"",IF(COUNTA(L$111:L269)-2&lt;DMAX(F$113:J$403,F$113,O268:O269),Protokoll!I$1,""),""))</f>
        <v/>
      </c>
      <c r="T270" s="331" t="str">
        <f>IF(OR(Protokoll!$X$5&lt;&gt;"",Lokalbeskrivn!$M$4&lt;&gt;""),"",U270)</f>
        <v/>
      </c>
      <c r="U270" s="330" t="s">
        <v>1427</v>
      </c>
      <c r="V270" s="351" t="s">
        <v>1426</v>
      </c>
      <c r="W270" s="2"/>
      <c r="Y270" s="572" t="s">
        <v>1867</v>
      </c>
      <c r="Z270" s="572" t="s">
        <v>1868</v>
      </c>
      <c r="AB270" s="478" t="str">
        <f>IF(COUNT(AB263:AB269)&gt;0,MAX(AB263:AB269)+1,"")</f>
        <v/>
      </c>
      <c r="AC270" s="433" t="str">
        <f>IF(AND(AH270&lt;&gt;"",AG270&lt;&gt;"",AI270&gt;0,AH270&gt;0),MAX(AC$2:AC269)+1,"XX")</f>
        <v>XX</v>
      </c>
      <c r="AD270" s="430" t="str">
        <f>IF('Antal &amp; Längder (vikter)'!$C$38&lt;&gt;"",'Antal &amp; Längder (vikter)'!$C$38,"XX")</f>
        <v>XX</v>
      </c>
      <c r="AE270" s="413" t="str">
        <f>IF(AND('Antal &amp; Längder (vikter)'!D$40&lt;&gt;"",ISNUMBER($AH270)),'Antal &amp; Längder (vikter)'!D$40,"")</f>
        <v/>
      </c>
      <c r="AF270" s="425" t="str">
        <f t="shared" si="10"/>
        <v/>
      </c>
      <c r="AG270" s="426" t="str">
        <f t="shared" si="11"/>
        <v/>
      </c>
      <c r="AH270" s="407" t="str">
        <f>IF('Antal &amp; Längder (vikter)'!D49&lt;&gt;"",'Antal &amp; Längder (vikter)'!D49,"XX")</f>
        <v>XX</v>
      </c>
      <c r="AI270" s="405">
        <f>IF('Antal &amp; Längder (vikter)'!E$41="Vikt (g)",IF('Antal &amp; Längder (vikter)'!E49&lt;&gt;"",'Antal &amp; Längder (vikter)'!E49,-9),-9)</f>
        <v>-9</v>
      </c>
    </row>
    <row r="271" spans="5:35" x14ac:dyDescent="0.25">
      <c r="E271" s="2"/>
      <c r="F271" s="199">
        <f>COUNTIF(J$113:J271,J271)</f>
        <v>6</v>
      </c>
      <c r="G271" t="s">
        <v>287</v>
      </c>
      <c r="H271" s="330">
        <v>2417</v>
      </c>
      <c r="I271" s="330">
        <v>24</v>
      </c>
      <c r="J271" t="s">
        <v>142</v>
      </c>
      <c r="K271" s="143"/>
      <c r="L271" s="220" t="str">
        <f>IF(Protokoll!I$1&lt;&gt;"",IF(N270=N$113,IF(AND(DMAX(F$113:J$403,F$113,O270:O271)&gt;COUNTA(L$111:L270)-2,DCOUNTA(F$113:J$403,G$113,N270:O271)=1),DGET(F$113:J$403,G$113,N270:O271),""),IF(AND(DMAX(F$113:J$403,F$113,Q270:Q271)&gt;COUNTA(L$111:L270)-2,DCOUNTA(F$113:J$403,G$113,P270:Q271)=1),DGET(F$113:J$403,G$113,P270:Q271),"")),G271)</f>
        <v/>
      </c>
      <c r="M271" s="143"/>
      <c r="N271" s="221" t="str">
        <f>IF(N270=N$113,IF(COUNT(N$113:Q270)&lt;DMAX(F$113:J$403,F$113,O270:O271),COUNT(N$113:Q270)+1,""),IF(COUNT(N$113:Q270)&lt;DMAX(F$113:J$403,F$113,Q270:Q271),N$113,""))</f>
        <v/>
      </c>
      <c r="O271" s="222" t="str">
        <f>IF(O270=O$113,IF(COUNTA(L$111:L270)-2&lt;DMAX(F$113:J$403,F$113,Q269:Q270),Protokoll!I$1,""),IF(O270&lt;&gt;"",IF(COUNTA(L$111:L270)-1&lt;DMAX(F$113:J$403,F$113,O269:O270),O$113,""),""))</f>
        <v/>
      </c>
      <c r="P271" s="223" t="str">
        <f>IF(N270=N$113,IF(COUNT(N$113:Q270)&lt;DMAX(F$113:J$403,F$113,O270:O271),N$113,""),IF(COUNT(N$113:Q270)&lt;DMAX(F$113:J$403,F$113,Q270:Q271),COUNT(N$113:Q270)+1,""))</f>
        <v/>
      </c>
      <c r="Q271" s="199" t="str">
        <f>IF(O270=O$113,IF(COUNTA(L$111:L270)-2&lt;DMAX(F$113:J$403,F$113,Q269:Q270),O$113,""),IF(Q270&lt;&gt;"",IF(COUNTA(L$111:L270)-2&lt;DMAX(F$113:J$403,F$113,O269:O270),Protokoll!I$1,""),""))</f>
        <v/>
      </c>
      <c r="T271" s="331" t="str">
        <f>IF(OR(Protokoll!$X$5&lt;&gt;"",Lokalbeskrivn!$M$4&lt;&gt;""),"",U271)</f>
        <v/>
      </c>
      <c r="U271" s="330" t="s">
        <v>1428</v>
      </c>
      <c r="V271" s="351">
        <v>104</v>
      </c>
      <c r="W271" s="2"/>
      <c r="Y271" s="572" t="s">
        <v>2454</v>
      </c>
      <c r="Z271" s="572" t="s">
        <v>2455</v>
      </c>
      <c r="AB271" s="472" t="str">
        <f>IF(COUNT(AB263:AB270)&gt;0,MAX(AB263:AB270)+1,"")</f>
        <v/>
      </c>
      <c r="AC271" s="433" t="str">
        <f>IF(AND(AH271&lt;&gt;"",AG271&lt;&gt;"",AI271&gt;0,AH271&gt;0),MAX(AC$2:AC270)+1,"XX")</f>
        <v>XX</v>
      </c>
      <c r="AD271" s="430" t="str">
        <f>IF('Antal &amp; Längder (vikter)'!$C$38&lt;&gt;"",'Antal &amp; Längder (vikter)'!$C$38,"XX")</f>
        <v>XX</v>
      </c>
      <c r="AE271" s="413" t="str">
        <f>IF(AND('Antal &amp; Längder (vikter)'!D$40&lt;&gt;"",ISNUMBER($AH271)),'Antal &amp; Längder (vikter)'!D$40,"")</f>
        <v/>
      </c>
      <c r="AF271" s="425" t="str">
        <f t="shared" si="10"/>
        <v/>
      </c>
      <c r="AG271" s="426" t="str">
        <f t="shared" si="11"/>
        <v/>
      </c>
      <c r="AH271" s="407" t="str">
        <f>IF('Antal &amp; Längder (vikter)'!D50&lt;&gt;"",'Antal &amp; Längder (vikter)'!D50,"XX")</f>
        <v>XX</v>
      </c>
      <c r="AI271" s="405">
        <f>IF('Antal &amp; Längder (vikter)'!E$41="Vikt (g)",IF('Antal &amp; Längder (vikter)'!E50&lt;&gt;"",'Antal &amp; Längder (vikter)'!E50,-9),-9)</f>
        <v>-9</v>
      </c>
    </row>
    <row r="272" spans="5:35" x14ac:dyDescent="0.25">
      <c r="E272" s="2"/>
      <c r="F272" s="199">
        <f>COUNTIF(J$113:J272,J272)</f>
        <v>8</v>
      </c>
      <c r="G272" t="s">
        <v>288</v>
      </c>
      <c r="H272" s="330">
        <v>881</v>
      </c>
      <c r="I272" s="330">
        <v>8</v>
      </c>
      <c r="J272" t="s">
        <v>128</v>
      </c>
      <c r="K272" s="143"/>
      <c r="L272" s="220" t="str">
        <f>IF(Protokoll!I$1&lt;&gt;"",IF(N271=N$113,IF(AND(DMAX(F$113:J$403,F$113,O271:O272)&gt;COUNTA(L$111:L271)-2,DCOUNTA(F$113:J$403,G$113,N271:O272)=1),DGET(F$113:J$403,G$113,N271:O272),""),IF(AND(DMAX(F$113:J$403,F$113,Q271:Q272)&gt;COUNTA(L$111:L271)-2,DCOUNTA(F$113:J$403,G$113,P271:Q272)=1),DGET(F$113:J$403,G$113,P271:Q272),"")),G272)</f>
        <v/>
      </c>
      <c r="M272" s="143"/>
      <c r="N272" s="221" t="str">
        <f>IF(N271=N$113,IF(COUNT(N$113:Q271)&lt;DMAX(F$113:J$403,F$113,O271:O272),COUNT(N$113:Q271)+1,""),IF(COUNT(N$113:Q271)&lt;DMAX(F$113:J$403,F$113,Q271:Q272),N$113,""))</f>
        <v/>
      </c>
      <c r="O272" s="222" t="str">
        <f>IF(O271=O$113,IF(COUNTA(L$111:L271)-2&lt;DMAX(F$113:J$403,F$113,Q270:Q271),Protokoll!I$1,""),IF(O271&lt;&gt;"",IF(COUNTA(L$111:L271)-1&lt;DMAX(F$113:J$403,F$113,O270:O271),O$113,""),""))</f>
        <v/>
      </c>
      <c r="P272" s="223" t="str">
        <f>IF(N271=N$113,IF(COUNT(N$113:Q271)&lt;DMAX(F$113:J$403,F$113,O271:O272),N$113,""),IF(COUNT(N$113:Q271)&lt;DMAX(F$113:J$403,F$113,Q271:Q272),COUNT(N$113:Q271)+1,""))</f>
        <v/>
      </c>
      <c r="Q272" s="199" t="str">
        <f>IF(O271=O$113,IF(COUNTA(L$111:L271)-2&lt;DMAX(F$113:J$403,F$113,Q270:Q271),O$113,""),IF(Q271&lt;&gt;"",IF(COUNTA(L$111:L271)-2&lt;DMAX(F$113:J$403,F$113,O270:O271),Protokoll!I$1,""),""))</f>
        <v/>
      </c>
      <c r="T272" s="331" t="str">
        <f>IF(OR(Protokoll!$X$5&lt;&gt;"",Lokalbeskrivn!$M$4&lt;&gt;""),"",U272)</f>
        <v/>
      </c>
      <c r="U272" s="330" t="s">
        <v>1430</v>
      </c>
      <c r="V272" s="351" t="s">
        <v>1429</v>
      </c>
      <c r="W272" s="2"/>
      <c r="Y272" s="572" t="s">
        <v>1966</v>
      </c>
      <c r="Z272" s="572" t="s">
        <v>1967</v>
      </c>
      <c r="AB272" s="479" t="str">
        <f>IF(COUNT(AB263:AB271)&gt;0,MAX(AB263:AB271)+1,"")</f>
        <v/>
      </c>
      <c r="AC272" s="433" t="str">
        <f>IF(AND(AH272&lt;&gt;"",AG272&lt;&gt;"",AI272&gt;0,AH272&gt;0),MAX(AC$2:AC271)+1,"XX")</f>
        <v>XX</v>
      </c>
      <c r="AD272" s="430" t="str">
        <f>IF('Antal &amp; Längder (vikter)'!$C$38&lt;&gt;"",'Antal &amp; Längder (vikter)'!$C$38,"XX")</f>
        <v>XX</v>
      </c>
      <c r="AE272" s="413" t="str">
        <f>IF(AND('Antal &amp; Längder (vikter)'!D$40&lt;&gt;"",ISNUMBER($AH272)),'Antal &amp; Längder (vikter)'!D$40,"")</f>
        <v/>
      </c>
      <c r="AF272" s="425" t="str">
        <f t="shared" si="10"/>
        <v/>
      </c>
      <c r="AG272" s="426" t="str">
        <f t="shared" si="11"/>
        <v/>
      </c>
      <c r="AH272" s="407" t="str">
        <f>IF('Antal &amp; Längder (vikter)'!D51&lt;&gt;"",'Antal &amp; Längder (vikter)'!D51,"XX")</f>
        <v>XX</v>
      </c>
      <c r="AI272" s="405">
        <f>IF('Antal &amp; Längder (vikter)'!E$41="Vikt (g)",IF('Antal &amp; Längder (vikter)'!E51&lt;&gt;"",'Antal &amp; Längder (vikter)'!E51,-9),-9)</f>
        <v>-9</v>
      </c>
    </row>
    <row r="273" spans="5:35" x14ac:dyDescent="0.25">
      <c r="E273" s="2"/>
      <c r="F273" s="199">
        <f>COUNTIF(J$113:J273,J273)</f>
        <v>10</v>
      </c>
      <c r="G273" t="s">
        <v>389</v>
      </c>
      <c r="H273" s="330">
        <v>140</v>
      </c>
      <c r="I273" s="330">
        <v>1</v>
      </c>
      <c r="J273" t="s">
        <v>136</v>
      </c>
      <c r="K273" s="143"/>
      <c r="L273" s="220" t="str">
        <f>IF(Protokoll!I$1&lt;&gt;"",IF(N272=N$113,IF(AND(DMAX(F$113:J$403,F$113,O272:O273)&gt;COUNTA(L$111:L272)-2,DCOUNTA(F$113:J$403,G$113,N272:O273)=1),DGET(F$113:J$403,G$113,N272:O273),""),IF(AND(DMAX(F$113:J$403,F$113,Q272:Q273)&gt;COUNTA(L$111:L272)-2,DCOUNTA(F$113:J$403,G$113,P272:Q273)=1),DGET(F$113:J$403,G$113,P272:Q273),"")),G273)</f>
        <v/>
      </c>
      <c r="M273" s="143"/>
      <c r="N273" s="221" t="str">
        <f>IF(N272=N$113,IF(COUNT(N$113:Q272)&lt;DMAX(F$113:J$403,F$113,O272:O273),COUNT(N$113:Q272)+1,""),IF(COUNT(N$113:Q272)&lt;DMAX(F$113:J$403,F$113,Q272:Q273),N$113,""))</f>
        <v/>
      </c>
      <c r="O273" s="222" t="str">
        <f>IF(O272=O$113,IF(COUNTA(L$111:L272)-2&lt;DMAX(F$113:J$403,F$113,Q271:Q272),Protokoll!I$1,""),IF(O272&lt;&gt;"",IF(COUNTA(L$111:L272)-1&lt;DMAX(F$113:J$403,F$113,O271:O272),O$113,""),""))</f>
        <v/>
      </c>
      <c r="P273" s="223" t="str">
        <f>IF(N272=N$113,IF(COUNT(N$113:Q272)&lt;DMAX(F$113:J$403,F$113,O272:O273),N$113,""),IF(COUNT(N$113:Q272)&lt;DMAX(F$113:J$403,F$113,Q272:Q273),COUNT(N$113:Q272)+1,""))</f>
        <v/>
      </c>
      <c r="Q273" s="199" t="str">
        <f>IF(O272=O$113,IF(COUNTA(L$111:L272)-2&lt;DMAX(F$113:J$403,F$113,Q271:Q272),O$113,""),IF(Q272&lt;&gt;"",IF(COUNTA(L$111:L272)-2&lt;DMAX(F$113:J$403,F$113,O271:O272),Protokoll!I$1,""),""))</f>
        <v/>
      </c>
      <c r="T273" s="331" t="str">
        <f>IF(OR(Protokoll!$X$5&lt;&gt;"",Lokalbeskrivn!$M$4&lt;&gt;""),"",U273)</f>
        <v/>
      </c>
      <c r="U273" s="330" t="s">
        <v>1431</v>
      </c>
      <c r="V273" s="351">
        <v>105</v>
      </c>
      <c r="W273" s="2"/>
      <c r="Y273" s="572" t="s">
        <v>2264</v>
      </c>
      <c r="Z273" s="572" t="s">
        <v>2265</v>
      </c>
      <c r="AB273" s="480" t="str">
        <f>IF(AND(ISNUMBER(AH273),AH273&gt;0),IF(MAX(AB$3:AB272)&gt;0,MAX(AB$3:AB272)+1,10+COUNTIF(F$38:F$49,"&gt;0")*10+1),"")</f>
        <v/>
      </c>
      <c r="AC273" s="433" t="str">
        <f>IF(AND(AH273&lt;&gt;"",AG273&lt;&gt;"",AI273&gt;0,AH273&gt;0),MAX(AC$2:AC272)+1,"XX")</f>
        <v>XX</v>
      </c>
      <c r="AD273" s="430" t="str">
        <f>IF('Antal &amp; Längder (vikter)'!$C$38&lt;&gt;"",'Antal &amp; Längder (vikter)'!$C$38,"XX")</f>
        <v>XX</v>
      </c>
      <c r="AE273" s="413" t="str">
        <f>IF(AND('Antal &amp; Längder (vikter)'!D$40&lt;&gt;"",ISNUMBER($AH273)),'Antal &amp; Längder (vikter)'!D$40,"")</f>
        <v/>
      </c>
      <c r="AF273" s="425" t="str">
        <f t="shared" si="10"/>
        <v/>
      </c>
      <c r="AG273" s="426" t="str">
        <f t="shared" si="11"/>
        <v/>
      </c>
      <c r="AH273" s="409" t="str">
        <f>IF('Antal &amp; Längder (vikter)'!E$41="Längd (mm)",IF('Antal &amp; Längder (vikter)'!E42&lt;&gt;"",'Antal &amp; Längder (vikter)'!E42,"XX"),"XX")</f>
        <v>XX</v>
      </c>
      <c r="AI273" s="7">
        <v>-9</v>
      </c>
    </row>
    <row r="274" spans="5:35" x14ac:dyDescent="0.25">
      <c r="E274" s="2"/>
      <c r="F274" s="199">
        <f>COUNTIF(J$113:J274,J274)</f>
        <v>5</v>
      </c>
      <c r="G274" t="s">
        <v>289</v>
      </c>
      <c r="H274" s="330">
        <v>480</v>
      </c>
      <c r="I274" s="330">
        <v>4</v>
      </c>
      <c r="J274" t="s">
        <v>138</v>
      </c>
      <c r="K274" s="143"/>
      <c r="L274" s="220" t="str">
        <f>IF(Protokoll!I$1&lt;&gt;"",IF(N273=N$113,IF(AND(DMAX(F$113:J$403,F$113,O273:O274)&gt;COUNTA(L$111:L273)-2,DCOUNTA(F$113:J$403,G$113,N273:O274)=1),DGET(F$113:J$403,G$113,N273:O274),""),IF(AND(DMAX(F$113:J$403,F$113,Q273:Q274)&gt;COUNTA(L$111:L273)-2,DCOUNTA(F$113:J$403,G$113,P273:Q274)=1),DGET(F$113:J$403,G$113,P273:Q274),"")),G274)</f>
        <v/>
      </c>
      <c r="M274" s="143"/>
      <c r="N274" s="221" t="str">
        <f>IF(N273=N$113,IF(COUNT(N$113:Q273)&lt;DMAX(F$113:J$403,F$113,O273:O274),COUNT(N$113:Q273)+1,""),IF(COUNT(N$113:Q273)&lt;DMAX(F$113:J$403,F$113,Q273:Q274),N$113,""))</f>
        <v/>
      </c>
      <c r="O274" s="222" t="str">
        <f>IF(O273=O$113,IF(COUNTA(L$111:L273)-2&lt;DMAX(F$113:J$403,F$113,Q272:Q273),Protokoll!I$1,""),IF(O273&lt;&gt;"",IF(COUNTA(L$111:L273)-1&lt;DMAX(F$113:J$403,F$113,O272:O273),O$113,""),""))</f>
        <v/>
      </c>
      <c r="P274" s="223" t="str">
        <f>IF(N273=N$113,IF(COUNT(N$113:Q273)&lt;DMAX(F$113:J$403,F$113,O273:O274),N$113,""),IF(COUNT(N$113:Q273)&lt;DMAX(F$113:J$403,F$113,Q273:Q274),COUNT(N$113:Q273)+1,""))</f>
        <v/>
      </c>
      <c r="Q274" s="199" t="str">
        <f>IF(O273=O$113,IF(COUNTA(L$111:L273)-2&lt;DMAX(F$113:J$403,F$113,Q272:Q273),O$113,""),IF(Q273&lt;&gt;"",IF(COUNTA(L$111:L273)-2&lt;DMAX(F$113:J$403,F$113,O272:O273),Protokoll!I$1,""),""))</f>
        <v/>
      </c>
      <c r="T274" s="331" t="str">
        <f>IF(OR(Protokoll!$X$5&lt;&gt;"",Lokalbeskrivn!$M$4&lt;&gt;""),"",U274)</f>
        <v/>
      </c>
      <c r="U274" s="330" t="s">
        <v>1433</v>
      </c>
      <c r="V274" s="351" t="s">
        <v>1432</v>
      </c>
      <c r="W274" s="2"/>
      <c r="Y274" s="572" t="s">
        <v>2456</v>
      </c>
      <c r="Z274" s="572" t="s">
        <v>2457</v>
      </c>
      <c r="AB274" s="476" t="str">
        <f>IF(COUNT(AB273:AB273)&gt;0,MAX(AB273:AB273)+1,"")</f>
        <v/>
      </c>
      <c r="AC274" s="433" t="str">
        <f>IF(AND(AH274&lt;&gt;"",AG274&lt;&gt;"",AI274&gt;0,AH274&gt;0),MAX(AC$2:AC273)+1,"XX")</f>
        <v>XX</v>
      </c>
      <c r="AD274" s="430" t="str">
        <f>IF('Antal &amp; Längder (vikter)'!$C$38&lt;&gt;"",'Antal &amp; Längder (vikter)'!$C$38,"XX")</f>
        <v>XX</v>
      </c>
      <c r="AE274" s="413" t="str">
        <f>IF(AND('Antal &amp; Längder (vikter)'!D$40&lt;&gt;"",ISNUMBER($AH274)),'Antal &amp; Längder (vikter)'!D$40,"")</f>
        <v/>
      </c>
      <c r="AF274" s="425" t="str">
        <f t="shared" si="10"/>
        <v/>
      </c>
      <c r="AG274" s="426" t="str">
        <f t="shared" si="11"/>
        <v/>
      </c>
      <c r="AH274" s="409" t="str">
        <f>IF('Antal &amp; Längder (vikter)'!E$41="Längd (mm)",IF('Antal &amp; Längder (vikter)'!E43&lt;&gt;"",'Antal &amp; Längder (vikter)'!E43,"XX"),"XX")</f>
        <v>XX</v>
      </c>
      <c r="AI274" s="7">
        <v>-9</v>
      </c>
    </row>
    <row r="275" spans="5:35" x14ac:dyDescent="0.25">
      <c r="E275" s="2"/>
      <c r="F275" s="199">
        <f>COUNTIF(J$113:J275,J275)</f>
        <v>11</v>
      </c>
      <c r="G275" t="s">
        <v>290</v>
      </c>
      <c r="H275" s="330">
        <v>192</v>
      </c>
      <c r="I275" s="330">
        <v>1</v>
      </c>
      <c r="J275" t="s">
        <v>136</v>
      </c>
      <c r="K275" s="143"/>
      <c r="L275" s="220" t="str">
        <f>IF(Protokoll!I$1&lt;&gt;"",IF(N274=N$113,IF(AND(DMAX(F$113:J$403,F$113,O274:O275)&gt;COUNTA(L$111:L274)-2,DCOUNTA(F$113:J$403,G$113,N274:O275)=1),DGET(F$113:J$403,G$113,N274:O275),""),IF(AND(DMAX(F$113:J$403,F$113,Q274:Q275)&gt;COUNTA(L$111:L274)-2,DCOUNTA(F$113:J$403,G$113,P274:Q275)=1),DGET(F$113:J$403,G$113,P274:Q275),"")),G275)</f>
        <v/>
      </c>
      <c r="M275" s="143"/>
      <c r="N275" s="221" t="str">
        <f>IF(N274=N$113,IF(COUNT(N$113:Q274)&lt;DMAX(F$113:J$403,F$113,O274:O275),COUNT(N$113:Q274)+1,""),IF(COUNT(N$113:Q274)&lt;DMAX(F$113:J$403,F$113,Q274:Q275),N$113,""))</f>
        <v/>
      </c>
      <c r="O275" s="222" t="str">
        <f>IF(O274=O$113,IF(COUNTA(L$111:L274)-2&lt;DMAX(F$113:J$403,F$113,Q273:Q274),Protokoll!I$1,""),IF(O274&lt;&gt;"",IF(COUNTA(L$111:L274)-1&lt;DMAX(F$113:J$403,F$113,O273:O274),O$113,""),""))</f>
        <v/>
      </c>
      <c r="P275" s="223" t="str">
        <f>IF(N274=N$113,IF(COUNT(N$113:Q274)&lt;DMAX(F$113:J$403,F$113,O274:O275),N$113,""),IF(COUNT(N$113:Q274)&lt;DMAX(F$113:J$403,F$113,Q274:Q275),COUNT(N$113:Q274)+1,""))</f>
        <v/>
      </c>
      <c r="Q275" s="199" t="str">
        <f>IF(O274=O$113,IF(COUNTA(L$111:L274)-2&lt;DMAX(F$113:J$403,F$113,Q273:Q274),O$113,""),IF(Q274&lt;&gt;"",IF(COUNTA(L$111:L274)-2&lt;DMAX(F$113:J$403,F$113,O273:O274),Protokoll!I$1,""),""))</f>
        <v/>
      </c>
      <c r="T275" s="331" t="str">
        <f>IF(OR(Protokoll!$X$5&lt;&gt;"",Lokalbeskrivn!$M$4&lt;&gt;""),"",U275)</f>
        <v/>
      </c>
      <c r="U275" s="330" t="s">
        <v>1434</v>
      </c>
      <c r="V275" s="351">
        <v>106</v>
      </c>
      <c r="W275" s="2"/>
      <c r="Y275" s="572" t="s">
        <v>1869</v>
      </c>
      <c r="Z275" s="572" t="s">
        <v>1870</v>
      </c>
      <c r="AB275" s="477" t="str">
        <f>IF(COUNT(AB273:AB274)&gt;0,MAX(AB273:AB274)+1,"")</f>
        <v/>
      </c>
      <c r="AC275" s="433" t="str">
        <f>IF(AND(AH275&lt;&gt;"",AG275&lt;&gt;"",AI275&gt;0,AH275&gt;0),MAX(AC$2:AC274)+1,"XX")</f>
        <v>XX</v>
      </c>
      <c r="AD275" s="430" t="str">
        <f>IF('Antal &amp; Längder (vikter)'!$C$38&lt;&gt;"",'Antal &amp; Längder (vikter)'!$C$38,"XX")</f>
        <v>XX</v>
      </c>
      <c r="AE275" s="413" t="str">
        <f>IF(AND('Antal &amp; Längder (vikter)'!D$40&lt;&gt;"",ISNUMBER($AH275)),'Antal &amp; Längder (vikter)'!D$40,"")</f>
        <v/>
      </c>
      <c r="AF275" s="425" t="str">
        <f t="shared" si="10"/>
        <v/>
      </c>
      <c r="AG275" s="426" t="str">
        <f t="shared" si="11"/>
        <v/>
      </c>
      <c r="AH275" s="409" t="str">
        <f>IF('Antal &amp; Längder (vikter)'!E$41="Längd (mm)",IF('Antal &amp; Längder (vikter)'!E44&lt;&gt;"",'Antal &amp; Längder (vikter)'!E44,"XX"),"XX")</f>
        <v>XX</v>
      </c>
      <c r="AI275" s="7">
        <v>-9</v>
      </c>
    </row>
    <row r="276" spans="5:35" x14ac:dyDescent="0.25">
      <c r="E276" s="2"/>
      <c r="F276" s="199">
        <f>COUNTIF(J$113:J276,J276)</f>
        <v>8</v>
      </c>
      <c r="G276" t="s">
        <v>291</v>
      </c>
      <c r="H276" s="330">
        <v>682</v>
      </c>
      <c r="I276" s="330">
        <v>6</v>
      </c>
      <c r="J276" t="s">
        <v>122</v>
      </c>
      <c r="K276" s="143"/>
      <c r="L276" s="220" t="str">
        <f>IF(Protokoll!I$1&lt;&gt;"",IF(N275=N$113,IF(AND(DMAX(F$113:J$403,F$113,O275:O276)&gt;COUNTA(L$111:L275)-2,DCOUNTA(F$113:J$403,G$113,N275:O276)=1),DGET(F$113:J$403,G$113,N275:O276),""),IF(AND(DMAX(F$113:J$403,F$113,Q275:Q276)&gt;COUNTA(L$111:L275)-2,DCOUNTA(F$113:J$403,G$113,P275:Q276)=1),DGET(F$113:J$403,G$113,P275:Q276),"")),G276)</f>
        <v/>
      </c>
      <c r="M276" s="143"/>
      <c r="N276" s="221" t="str">
        <f>IF(N275=N$113,IF(COUNT(N$113:Q275)&lt;DMAX(F$113:J$403,F$113,O275:O276),COUNT(N$113:Q275)+1,""),IF(COUNT(N$113:Q275)&lt;DMAX(F$113:J$403,F$113,Q275:Q276),N$113,""))</f>
        <v/>
      </c>
      <c r="O276" s="222" t="str">
        <f>IF(O275=O$113,IF(COUNTA(L$111:L275)-2&lt;DMAX(F$113:J$403,F$113,Q274:Q275),Protokoll!I$1,""),IF(O275&lt;&gt;"",IF(COUNTA(L$111:L275)-1&lt;DMAX(F$113:J$403,F$113,O274:O275),O$113,""),""))</f>
        <v/>
      </c>
      <c r="P276" s="223" t="str">
        <f>IF(N275=N$113,IF(COUNT(N$113:Q275)&lt;DMAX(F$113:J$403,F$113,O275:O276),N$113,""),IF(COUNT(N$113:Q275)&lt;DMAX(F$113:J$403,F$113,Q275:Q276),COUNT(N$113:Q275)+1,""))</f>
        <v/>
      </c>
      <c r="Q276" s="199" t="str">
        <f>IF(O275=O$113,IF(COUNTA(L$111:L275)-2&lt;DMAX(F$113:J$403,F$113,Q274:Q275),O$113,""),IF(Q275&lt;&gt;"",IF(COUNTA(L$111:L275)-2&lt;DMAX(F$113:J$403,F$113,O274:O275),Protokoll!I$1,""),""))</f>
        <v/>
      </c>
      <c r="T276" s="331" t="str">
        <f>IF(OR(Protokoll!$X$5&lt;&gt;"",Lokalbeskrivn!$M$4&lt;&gt;""),"",U276)</f>
        <v/>
      </c>
      <c r="U276" s="330" t="s">
        <v>1436</v>
      </c>
      <c r="V276" s="351" t="s">
        <v>1435</v>
      </c>
      <c r="W276" s="2"/>
      <c r="Y276" s="572" t="s">
        <v>1871</v>
      </c>
      <c r="Z276" s="572" t="s">
        <v>1872</v>
      </c>
      <c r="AB276" s="434" t="str">
        <f>IF(COUNT(AB273:AB275)&gt;0,MAX(AB273:AB275)+1,"")</f>
        <v/>
      </c>
      <c r="AC276" s="433" t="str">
        <f>IF(AND(AH276&lt;&gt;"",AG276&lt;&gt;"",AI276&gt;0,AH276&gt;0),MAX(AC$2:AC275)+1,"XX")</f>
        <v>XX</v>
      </c>
      <c r="AD276" s="430" t="str">
        <f>IF('Antal &amp; Längder (vikter)'!$C$38&lt;&gt;"",'Antal &amp; Längder (vikter)'!$C$38,"XX")</f>
        <v>XX</v>
      </c>
      <c r="AE276" s="413" t="str">
        <f>IF(AND('Antal &amp; Längder (vikter)'!D$40&lt;&gt;"",ISNUMBER($AH276)),'Antal &amp; Längder (vikter)'!D$40,"")</f>
        <v/>
      </c>
      <c r="AF276" s="425" t="str">
        <f t="shared" si="10"/>
        <v/>
      </c>
      <c r="AG276" s="426" t="str">
        <f t="shared" si="11"/>
        <v/>
      </c>
      <c r="AH276" s="409" t="str">
        <f>IF('Antal &amp; Längder (vikter)'!E$41="Längd (mm)",IF('Antal &amp; Längder (vikter)'!E45&lt;&gt;"",'Antal &amp; Längder (vikter)'!E45,"XX"),"XX")</f>
        <v>XX</v>
      </c>
      <c r="AI276" s="7">
        <v>-9</v>
      </c>
    </row>
    <row r="277" spans="5:35" x14ac:dyDescent="0.25">
      <c r="E277" s="2"/>
      <c r="F277" s="199">
        <f>COUNTIF(J$113:J277,J277)</f>
        <v>7</v>
      </c>
      <c r="G277" t="s">
        <v>292</v>
      </c>
      <c r="H277" s="330">
        <v>2101</v>
      </c>
      <c r="I277" s="330">
        <v>21</v>
      </c>
      <c r="J277" t="s">
        <v>117</v>
      </c>
      <c r="K277" s="143"/>
      <c r="L277" s="220" t="str">
        <f>IF(Protokoll!I$1&lt;&gt;"",IF(N276=N$113,IF(AND(DMAX(F$113:J$403,F$113,O276:O277)&gt;COUNTA(L$111:L276)-2,DCOUNTA(F$113:J$403,G$113,N276:O277)=1),DGET(F$113:J$403,G$113,N276:O277),""),IF(AND(DMAX(F$113:J$403,F$113,Q276:Q277)&gt;COUNTA(L$111:L276)-2,DCOUNTA(F$113:J$403,G$113,P276:Q277)=1),DGET(F$113:J$403,G$113,P276:Q277),"")),G277)</f>
        <v/>
      </c>
      <c r="M277" s="143"/>
      <c r="N277" s="221" t="str">
        <f>IF(N276=N$113,IF(COUNT(N$113:Q276)&lt;DMAX(F$113:J$403,F$113,O276:O277),COUNT(N$113:Q276)+1,""),IF(COUNT(N$113:Q276)&lt;DMAX(F$113:J$403,F$113,Q276:Q277),N$113,""))</f>
        <v/>
      </c>
      <c r="O277" s="222" t="str">
        <f>IF(O276=O$113,IF(COUNTA(L$111:L276)-2&lt;DMAX(F$113:J$403,F$113,Q275:Q276),Protokoll!I$1,""),IF(O276&lt;&gt;"",IF(COUNTA(L$111:L276)-1&lt;DMAX(F$113:J$403,F$113,O275:O276),O$113,""),""))</f>
        <v/>
      </c>
      <c r="P277" s="223" t="str">
        <f>IF(N276=N$113,IF(COUNT(N$113:Q276)&lt;DMAX(F$113:J$403,F$113,O276:O277),N$113,""),IF(COUNT(N$113:Q276)&lt;DMAX(F$113:J$403,F$113,Q276:Q277),COUNT(N$113:Q276)+1,""))</f>
        <v/>
      </c>
      <c r="Q277" s="199" t="str">
        <f>IF(O276=O$113,IF(COUNTA(L$111:L276)-2&lt;DMAX(F$113:J$403,F$113,Q275:Q276),O$113,""),IF(Q276&lt;&gt;"",IF(COUNTA(L$111:L276)-2&lt;DMAX(F$113:J$403,F$113,O275:O276),Protokoll!I$1,""),""))</f>
        <v/>
      </c>
      <c r="T277" s="331" t="str">
        <f>IF(OR(Protokoll!$X$5&lt;&gt;"",Lokalbeskrivn!$M$4&lt;&gt;""),"",U277)</f>
        <v/>
      </c>
      <c r="U277" s="330" t="s">
        <v>1437</v>
      </c>
      <c r="V277" s="351">
        <v>107</v>
      </c>
      <c r="W277" s="2"/>
      <c r="Y277" s="572" t="s">
        <v>2256</v>
      </c>
      <c r="Z277" s="572" t="s">
        <v>2257</v>
      </c>
      <c r="AB277" s="475" t="str">
        <f>IF(COUNT(AB273:AB276)&gt;0,MAX(AB273:AB276)+1,"")</f>
        <v/>
      </c>
      <c r="AC277" s="433" t="str">
        <f>IF(AND(AH277&lt;&gt;"",AG277&lt;&gt;"",AI277&gt;0,AH277&gt;0),MAX(AC$2:AC276)+1,"XX")</f>
        <v>XX</v>
      </c>
      <c r="AD277" s="430" t="str">
        <f>IF('Antal &amp; Längder (vikter)'!$C$38&lt;&gt;"",'Antal &amp; Längder (vikter)'!$C$38,"XX")</f>
        <v>XX</v>
      </c>
      <c r="AE277" s="413" t="str">
        <f>IF(AND('Antal &amp; Längder (vikter)'!D$40&lt;&gt;"",ISNUMBER($AH277)),'Antal &amp; Längder (vikter)'!D$40,"")</f>
        <v/>
      </c>
      <c r="AF277" s="425" t="str">
        <f t="shared" si="10"/>
        <v/>
      </c>
      <c r="AG277" s="426" t="str">
        <f t="shared" si="11"/>
        <v/>
      </c>
      <c r="AH277" s="409" t="str">
        <f>IF('Antal &amp; Längder (vikter)'!E$41="Längd (mm)",IF('Antal &amp; Längder (vikter)'!E46&lt;&gt;"",'Antal &amp; Längder (vikter)'!E46,"XX"),"XX")</f>
        <v>XX</v>
      </c>
      <c r="AI277" s="7">
        <v>-9</v>
      </c>
    </row>
    <row r="278" spans="5:35" x14ac:dyDescent="0.25">
      <c r="E278" s="2"/>
      <c r="F278" s="199">
        <f>COUNTIF(J$113:J278,J278)</f>
        <v>3</v>
      </c>
      <c r="G278" t="s">
        <v>293</v>
      </c>
      <c r="H278" s="330">
        <v>1060</v>
      </c>
      <c r="I278" s="330">
        <v>10</v>
      </c>
      <c r="J278" t="s">
        <v>110</v>
      </c>
      <c r="K278" s="143"/>
      <c r="L278" s="220" t="str">
        <f>IF(Protokoll!I$1&lt;&gt;"",IF(N277=N$113,IF(AND(DMAX(F$113:J$403,F$113,O277:O278)&gt;COUNTA(L$111:L277)-2,DCOUNTA(F$113:J$403,G$113,N277:O278)=1),DGET(F$113:J$403,G$113,N277:O278),""),IF(AND(DMAX(F$113:J$403,F$113,Q277:Q278)&gt;COUNTA(L$111:L277)-2,DCOUNTA(F$113:J$403,G$113,P277:Q278)=1),DGET(F$113:J$403,G$113,P277:Q278),"")),G278)</f>
        <v/>
      </c>
      <c r="M278" s="143"/>
      <c r="N278" s="221" t="str">
        <f>IF(N277=N$113,IF(COUNT(N$113:Q277)&lt;DMAX(F$113:J$403,F$113,O277:O278),COUNT(N$113:Q277)+1,""),IF(COUNT(N$113:Q277)&lt;DMAX(F$113:J$403,F$113,Q277:Q278),N$113,""))</f>
        <v/>
      </c>
      <c r="O278" s="222" t="str">
        <f>IF(O277=O$113,IF(COUNTA(L$111:L277)-2&lt;DMAX(F$113:J$403,F$113,Q276:Q277),Protokoll!I$1,""),IF(O277&lt;&gt;"",IF(COUNTA(L$111:L277)-1&lt;DMAX(F$113:J$403,F$113,O276:O277),O$113,""),""))</f>
        <v/>
      </c>
      <c r="P278" s="223" t="str">
        <f>IF(N277=N$113,IF(COUNT(N$113:Q277)&lt;DMAX(F$113:J$403,F$113,O277:O278),N$113,""),IF(COUNT(N$113:Q277)&lt;DMAX(F$113:J$403,F$113,Q277:Q278),COUNT(N$113:Q277)+1,""))</f>
        <v/>
      </c>
      <c r="Q278" s="199" t="str">
        <f>IF(O277=O$113,IF(COUNTA(L$111:L277)-2&lt;DMAX(F$113:J$403,F$113,Q276:Q277),O$113,""),IF(Q277&lt;&gt;"",IF(COUNTA(L$111:L277)-2&lt;DMAX(F$113:J$403,F$113,O276:O277),Protokoll!I$1,""),""))</f>
        <v/>
      </c>
      <c r="T278" s="331" t="str">
        <f>IF(OR(Protokoll!$X$5&lt;&gt;"",Lokalbeskrivn!$M$4&lt;&gt;""),"",U278)</f>
        <v/>
      </c>
      <c r="U278" s="330" t="s">
        <v>1439</v>
      </c>
      <c r="V278" s="351" t="s">
        <v>1438</v>
      </c>
      <c r="W278" s="2"/>
      <c r="Y278" s="572" t="s">
        <v>2458</v>
      </c>
      <c r="Z278" s="572" t="s">
        <v>2459</v>
      </c>
      <c r="AB278" s="471" t="str">
        <f>IF(COUNT(AB273:AB277)&gt;0,MAX(AB273:AB277)+1,"")</f>
        <v/>
      </c>
      <c r="AC278" s="433" t="str">
        <f>IF(AND(AH278&lt;&gt;"",AG278&lt;&gt;"",AI278&gt;0,AH278&gt;0),MAX(AC$2:AC277)+1,"XX")</f>
        <v>XX</v>
      </c>
      <c r="AD278" s="430" t="str">
        <f>IF('Antal &amp; Längder (vikter)'!$C$38&lt;&gt;"",'Antal &amp; Längder (vikter)'!$C$38,"XX")</f>
        <v>XX</v>
      </c>
      <c r="AE278" s="413" t="str">
        <f>IF(AND('Antal &amp; Längder (vikter)'!D$40&lt;&gt;"",ISNUMBER($AH278)),'Antal &amp; Längder (vikter)'!D$40,"")</f>
        <v/>
      </c>
      <c r="AF278" s="425" t="str">
        <f t="shared" si="10"/>
        <v/>
      </c>
      <c r="AG278" s="426" t="str">
        <f t="shared" si="11"/>
        <v/>
      </c>
      <c r="AH278" s="409" t="str">
        <f>IF('Antal &amp; Längder (vikter)'!E$41="Längd (mm)",IF('Antal &amp; Längder (vikter)'!E47&lt;&gt;"",'Antal &amp; Längder (vikter)'!E47,"XX"),"XX")</f>
        <v>XX</v>
      </c>
      <c r="AI278" s="7">
        <v>-9</v>
      </c>
    </row>
    <row r="279" spans="5:35" x14ac:dyDescent="0.25">
      <c r="E279" s="2"/>
      <c r="F279" s="199">
        <f>COUNTIF(J$113:J279,J279)</f>
        <v>10</v>
      </c>
      <c r="G279" t="s">
        <v>294</v>
      </c>
      <c r="H279" s="330">
        <v>2034</v>
      </c>
      <c r="I279" s="330">
        <v>20</v>
      </c>
      <c r="J279" t="s">
        <v>112</v>
      </c>
      <c r="K279" s="143"/>
      <c r="L279" s="220" t="str">
        <f>IF(Protokoll!I$1&lt;&gt;"",IF(N278=N$113,IF(AND(DMAX(F$113:J$403,F$113,O278:O279)&gt;COUNTA(L$111:L278)-2,DCOUNTA(F$113:J$403,G$113,N278:O279)=1),DGET(F$113:J$403,G$113,N278:O279),""),IF(AND(DMAX(F$113:J$403,F$113,Q278:Q279)&gt;COUNTA(L$111:L278)-2,DCOUNTA(F$113:J$403,G$113,P278:Q279)=1),DGET(F$113:J$403,G$113,P278:Q279),"")),G279)</f>
        <v/>
      </c>
      <c r="M279" s="143"/>
      <c r="N279" s="221" t="str">
        <f>IF(N278=N$113,IF(COUNT(N$113:Q278)&lt;DMAX(F$113:J$403,F$113,O278:O279),COUNT(N$113:Q278)+1,""),IF(COUNT(N$113:Q278)&lt;DMAX(F$113:J$403,F$113,Q278:Q279),N$113,""))</f>
        <v/>
      </c>
      <c r="O279" s="222" t="str">
        <f>IF(O278=O$113,IF(COUNTA(L$111:L278)-2&lt;DMAX(F$113:J$403,F$113,Q277:Q278),Protokoll!I$1,""),IF(O278&lt;&gt;"",IF(COUNTA(L$111:L278)-1&lt;DMAX(F$113:J$403,F$113,O277:O278),O$113,""),""))</f>
        <v/>
      </c>
      <c r="P279" s="223" t="str">
        <f>IF(N278=N$113,IF(COUNT(N$113:Q278)&lt;DMAX(F$113:J$403,F$113,O278:O279),N$113,""),IF(COUNT(N$113:Q278)&lt;DMAX(F$113:J$403,F$113,Q278:Q279),COUNT(N$113:Q278)+1,""))</f>
        <v/>
      </c>
      <c r="Q279" s="199" t="str">
        <f>IF(O278=O$113,IF(COUNTA(L$111:L278)-2&lt;DMAX(F$113:J$403,F$113,Q277:Q278),O$113,""),IF(Q278&lt;&gt;"",IF(COUNTA(L$111:L278)-2&lt;DMAX(F$113:J$403,F$113,O277:O278),Protokoll!I$1,""),""))</f>
        <v/>
      </c>
      <c r="T279" s="331" t="str">
        <f>IF(OR(Protokoll!$X$5&lt;&gt;"",Lokalbeskrivn!$M$4&lt;&gt;""),"",U279)</f>
        <v/>
      </c>
      <c r="U279" s="330" t="s">
        <v>1440</v>
      </c>
      <c r="V279" s="351">
        <v>108</v>
      </c>
      <c r="W279" s="2"/>
      <c r="Y279" s="572" t="s">
        <v>1667</v>
      </c>
      <c r="Z279" s="572" t="s">
        <v>1668</v>
      </c>
      <c r="AB279" s="474" t="str">
        <f>IF(COUNT(AB273:AB278)&gt;0,MAX(AB273:AB278)+1,"")</f>
        <v/>
      </c>
      <c r="AC279" s="433" t="str">
        <f>IF(AND(AH279&lt;&gt;"",AG279&lt;&gt;"",AI279&gt;0,AH279&gt;0),MAX(AC$2:AC278)+1,"XX")</f>
        <v>XX</v>
      </c>
      <c r="AD279" s="430" t="str">
        <f>IF('Antal &amp; Längder (vikter)'!$C$38&lt;&gt;"",'Antal &amp; Längder (vikter)'!$C$38,"XX")</f>
        <v>XX</v>
      </c>
      <c r="AE279" s="413" t="str">
        <f>IF(AND('Antal &amp; Längder (vikter)'!D$40&lt;&gt;"",ISNUMBER($AH279)),'Antal &amp; Längder (vikter)'!D$40,"")</f>
        <v/>
      </c>
      <c r="AF279" s="425" t="str">
        <f t="shared" si="10"/>
        <v/>
      </c>
      <c r="AG279" s="426" t="str">
        <f t="shared" si="11"/>
        <v/>
      </c>
      <c r="AH279" s="409" t="str">
        <f>IF('Antal &amp; Längder (vikter)'!E$41="Längd (mm)",IF('Antal &amp; Längder (vikter)'!E48&lt;&gt;"",'Antal &amp; Längder (vikter)'!E48,"XX"),"XX")</f>
        <v>XX</v>
      </c>
      <c r="AI279" s="7">
        <v>-9</v>
      </c>
    </row>
    <row r="280" spans="5:35" x14ac:dyDescent="0.25">
      <c r="E280" s="2"/>
      <c r="F280" s="199">
        <f>COUNTIF(J$113:J280,J280)</f>
        <v>28</v>
      </c>
      <c r="G280" t="s">
        <v>295</v>
      </c>
      <c r="H280" s="330">
        <v>1421</v>
      </c>
      <c r="I280" s="330">
        <v>14</v>
      </c>
      <c r="J280" t="s">
        <v>114</v>
      </c>
      <c r="K280" s="143"/>
      <c r="L280" s="220" t="str">
        <f>IF(Protokoll!I$1&lt;&gt;"",IF(N279=N$113,IF(AND(DMAX(F$113:J$403,F$113,O279:O280)&gt;COUNTA(L$111:L279)-2,DCOUNTA(F$113:J$403,G$113,N279:O280)=1),DGET(F$113:J$403,G$113,N279:O280),""),IF(AND(DMAX(F$113:J$403,F$113,Q279:Q280)&gt;COUNTA(L$111:L279)-2,DCOUNTA(F$113:J$403,G$113,P279:Q280)=1),DGET(F$113:J$403,G$113,P279:Q280),"")),G280)</f>
        <v/>
      </c>
      <c r="M280" s="143"/>
      <c r="N280" s="221" t="str">
        <f>IF(N279=N$113,IF(COUNT(N$113:Q279)&lt;DMAX(F$113:J$403,F$113,O279:O280),COUNT(N$113:Q279)+1,""),IF(COUNT(N$113:Q279)&lt;DMAX(F$113:J$403,F$113,Q279:Q280),N$113,""))</f>
        <v/>
      </c>
      <c r="O280" s="222" t="str">
        <f>IF(O279=O$113,IF(COUNTA(L$111:L279)-2&lt;DMAX(F$113:J$403,F$113,Q278:Q279),Protokoll!I$1,""),IF(O279&lt;&gt;"",IF(COUNTA(L$111:L279)-1&lt;DMAX(F$113:J$403,F$113,O278:O279),O$113,""),""))</f>
        <v/>
      </c>
      <c r="P280" s="223" t="str">
        <f>IF(N279=N$113,IF(COUNT(N$113:Q279)&lt;DMAX(F$113:J$403,F$113,O279:O280),N$113,""),IF(COUNT(N$113:Q279)&lt;DMAX(F$113:J$403,F$113,Q279:Q280),COUNT(N$113:Q279)+1,""))</f>
        <v/>
      </c>
      <c r="Q280" s="199" t="str">
        <f>IF(O279=O$113,IF(COUNTA(L$111:L279)-2&lt;DMAX(F$113:J$403,F$113,Q278:Q279),O$113,""),IF(Q279&lt;&gt;"",IF(COUNTA(L$111:L279)-2&lt;DMAX(F$113:J$403,F$113,O278:O279),Protokoll!I$1,""),""))</f>
        <v/>
      </c>
      <c r="T280" s="331" t="str">
        <f>IF(OR(Protokoll!$X$5&lt;&gt;"",Lokalbeskrivn!$M$4&lt;&gt;""),"",U280)</f>
        <v/>
      </c>
      <c r="U280" s="330" t="s">
        <v>12</v>
      </c>
      <c r="V280" s="351" t="s">
        <v>11</v>
      </c>
      <c r="W280" s="2"/>
      <c r="Y280" s="572" t="s">
        <v>1877</v>
      </c>
      <c r="Z280" s="572" t="s">
        <v>1878</v>
      </c>
      <c r="AB280" s="478" t="str">
        <f>IF(COUNT(AB273:AB279)&gt;0,MAX(AB273:AB279)+1,"")</f>
        <v/>
      </c>
      <c r="AC280" s="433" t="str">
        <f>IF(AND(AH280&lt;&gt;"",AG280&lt;&gt;"",AI280&gt;0,AH280&gt;0),MAX(AC$2:AC279)+1,"XX")</f>
        <v>XX</v>
      </c>
      <c r="AD280" s="430" t="str">
        <f>IF('Antal &amp; Längder (vikter)'!$C$38&lt;&gt;"",'Antal &amp; Längder (vikter)'!$C$38,"XX")</f>
        <v>XX</v>
      </c>
      <c r="AE280" s="413" t="str">
        <f>IF(AND('Antal &amp; Längder (vikter)'!D$40&lt;&gt;"",ISNUMBER($AH280)),'Antal &amp; Längder (vikter)'!D$40,"")</f>
        <v/>
      </c>
      <c r="AF280" s="425" t="str">
        <f t="shared" si="10"/>
        <v/>
      </c>
      <c r="AG280" s="426" t="str">
        <f t="shared" si="11"/>
        <v/>
      </c>
      <c r="AH280" s="409" t="str">
        <f>IF('Antal &amp; Längder (vikter)'!E$41="Längd (mm)",IF('Antal &amp; Längder (vikter)'!E49&lt;&gt;"",'Antal &amp; Längder (vikter)'!E49,"XX"),"XX")</f>
        <v>XX</v>
      </c>
      <c r="AI280" s="7">
        <v>-9</v>
      </c>
    </row>
    <row r="281" spans="5:35" x14ac:dyDescent="0.25">
      <c r="E281" s="2"/>
      <c r="F281" s="199">
        <f>COUNTIF(J$113:J281,J281)</f>
        <v>18</v>
      </c>
      <c r="G281" t="s">
        <v>296</v>
      </c>
      <c r="H281" s="330">
        <v>1273</v>
      </c>
      <c r="I281" s="330">
        <v>12</v>
      </c>
      <c r="J281" t="s">
        <v>134</v>
      </c>
      <c r="K281" s="143"/>
      <c r="L281" s="220" t="str">
        <f>IF(Protokoll!I$1&lt;&gt;"",IF(N280=N$113,IF(AND(DMAX(F$113:J$403,F$113,O280:O281)&gt;COUNTA(L$111:L280)-2,DCOUNTA(F$113:J$403,G$113,N280:O281)=1),DGET(F$113:J$403,G$113,N280:O281),""),IF(AND(DMAX(F$113:J$403,F$113,Q280:Q281)&gt;COUNTA(L$111:L280)-2,DCOUNTA(F$113:J$403,G$113,P280:Q281)=1),DGET(F$113:J$403,G$113,P280:Q281),"")),G281)</f>
        <v/>
      </c>
      <c r="M281" s="143"/>
      <c r="N281" s="221" t="str">
        <f>IF(N280=N$113,IF(COUNT(N$113:Q280)&lt;DMAX(F$113:J$403,F$113,O280:O281),COUNT(N$113:Q280)+1,""),IF(COUNT(N$113:Q280)&lt;DMAX(F$113:J$403,F$113,Q280:Q281),N$113,""))</f>
        <v/>
      </c>
      <c r="O281" s="222" t="str">
        <f>IF(O280=O$113,IF(COUNTA(L$111:L280)-2&lt;DMAX(F$113:J$403,F$113,Q279:Q280),Protokoll!I$1,""),IF(O280&lt;&gt;"",IF(COUNTA(L$111:L280)-1&lt;DMAX(F$113:J$403,F$113,O279:O280),O$113,""),""))</f>
        <v/>
      </c>
      <c r="P281" s="223" t="str">
        <f>IF(N280=N$113,IF(COUNT(N$113:Q280)&lt;DMAX(F$113:J$403,F$113,O280:O281),N$113,""),IF(COUNT(N$113:Q280)&lt;DMAX(F$113:J$403,F$113,Q280:Q281),COUNT(N$113:Q280)+1,""))</f>
        <v/>
      </c>
      <c r="Q281" s="199" t="str">
        <f>IF(O280=O$113,IF(COUNTA(L$111:L280)-2&lt;DMAX(F$113:J$403,F$113,Q279:Q280),O$113,""),IF(Q280&lt;&gt;"",IF(COUNTA(L$111:L280)-2&lt;DMAX(F$113:J$403,F$113,O279:O280),Protokoll!I$1,""),""))</f>
        <v/>
      </c>
      <c r="T281" s="331" t="str">
        <f>IF(OR(Protokoll!$X$5&lt;&gt;"",Lokalbeskrivn!$M$4&lt;&gt;""),"",U281)</f>
        <v/>
      </c>
      <c r="U281" s="330" t="s">
        <v>13</v>
      </c>
      <c r="V281" s="351">
        <v>109</v>
      </c>
      <c r="W281" s="2"/>
      <c r="Y281" s="572" t="s">
        <v>2460</v>
      </c>
      <c r="Z281" s="572" t="s">
        <v>2461</v>
      </c>
      <c r="AB281" s="472" t="str">
        <f>IF(COUNT(AB273:AB280)&gt;0,MAX(AB273:AB280)+1,"")</f>
        <v/>
      </c>
      <c r="AC281" s="433" t="str">
        <f>IF(AND(AH281&lt;&gt;"",AG281&lt;&gt;"",AI281&gt;0,AH281&gt;0),MAX(AC$2:AC280)+1,"XX")</f>
        <v>XX</v>
      </c>
      <c r="AD281" s="430" t="str">
        <f>IF('Antal &amp; Längder (vikter)'!$C$38&lt;&gt;"",'Antal &amp; Längder (vikter)'!$C$38,"XX")</f>
        <v>XX</v>
      </c>
      <c r="AE281" s="413" t="str">
        <f>IF(AND('Antal &amp; Längder (vikter)'!D$40&lt;&gt;"",ISNUMBER($AH281)),'Antal &amp; Längder (vikter)'!D$40,"")</f>
        <v/>
      </c>
      <c r="AF281" s="425" t="str">
        <f t="shared" si="10"/>
        <v/>
      </c>
      <c r="AG281" s="426" t="str">
        <f t="shared" si="11"/>
        <v/>
      </c>
      <c r="AH281" s="409" t="str">
        <f>IF('Antal &amp; Längder (vikter)'!E$41="Längd (mm)",IF('Antal &amp; Längder (vikter)'!E50&lt;&gt;"",'Antal &amp; Längder (vikter)'!E50,"XX"),"XX")</f>
        <v>XX</v>
      </c>
      <c r="AI281" s="7">
        <v>-9</v>
      </c>
    </row>
    <row r="282" spans="5:35" x14ac:dyDescent="0.25">
      <c r="E282" s="2"/>
      <c r="F282" s="199">
        <f>COUNTIF(J$113:J282,J282)</f>
        <v>9</v>
      </c>
      <c r="G282" t="s">
        <v>297</v>
      </c>
      <c r="H282" s="330">
        <v>882</v>
      </c>
      <c r="I282" s="330">
        <v>8</v>
      </c>
      <c r="J282" t="s">
        <v>128</v>
      </c>
      <c r="K282" s="143"/>
      <c r="L282" s="220" t="str">
        <f>IF(Protokoll!I$1&lt;&gt;"",IF(N281=N$113,IF(AND(DMAX(F$113:J$403,F$113,O281:O282)&gt;COUNTA(L$111:L281)-2,DCOUNTA(F$113:J$403,G$113,N281:O282)=1),DGET(F$113:J$403,G$113,N281:O282),""),IF(AND(DMAX(F$113:J$403,F$113,Q281:Q282)&gt;COUNTA(L$111:L281)-2,DCOUNTA(F$113:J$403,G$113,P281:Q282)=1),DGET(F$113:J$403,G$113,P281:Q282),"")),G282)</f>
        <v/>
      </c>
      <c r="M282" s="143"/>
      <c r="N282" s="221" t="str">
        <f>IF(N281=N$113,IF(COUNT(N$113:Q281)&lt;DMAX(F$113:J$403,F$113,O281:O282),COUNT(N$113:Q281)+1,""),IF(COUNT(N$113:Q281)&lt;DMAX(F$113:J$403,F$113,Q281:Q282),N$113,""))</f>
        <v/>
      </c>
      <c r="O282" s="222" t="str">
        <f>IF(O281=O$113,IF(COUNTA(L$111:L281)-2&lt;DMAX(F$113:J$403,F$113,Q280:Q281),Protokoll!I$1,""),IF(O281&lt;&gt;"",IF(COUNTA(L$111:L281)-1&lt;DMAX(F$113:J$403,F$113,O280:O281),O$113,""),""))</f>
        <v/>
      </c>
      <c r="P282" s="223" t="str">
        <f>IF(N281=N$113,IF(COUNT(N$113:Q281)&lt;DMAX(F$113:J$403,F$113,O281:O282),N$113,""),IF(COUNT(N$113:Q281)&lt;DMAX(F$113:J$403,F$113,Q281:Q282),COUNT(N$113:Q281)+1,""))</f>
        <v/>
      </c>
      <c r="Q282" s="199" t="str">
        <f>IF(O281=O$113,IF(COUNTA(L$111:L281)-2&lt;DMAX(F$113:J$403,F$113,Q280:Q281),O$113,""),IF(Q281&lt;&gt;"",IF(COUNTA(L$111:L281)-2&lt;DMAX(F$113:J$403,F$113,O280:O281),Protokoll!I$1,""),""))</f>
        <v/>
      </c>
      <c r="T282" s="331" t="str">
        <f>IF(OR(Protokoll!$X$5&lt;&gt;"",Lokalbeskrivn!$M$4&lt;&gt;""),"",U282)</f>
        <v/>
      </c>
      <c r="U282" s="330" t="s">
        <v>15</v>
      </c>
      <c r="V282" s="351" t="s">
        <v>14</v>
      </c>
      <c r="W282" s="2"/>
      <c r="Y282" s="572" t="s">
        <v>1761</v>
      </c>
      <c r="Z282" s="572" t="s">
        <v>1762</v>
      </c>
      <c r="AB282" s="479" t="str">
        <f>IF(COUNT(AB273:AB281)&gt;0,MAX(AB273:AB281)+1,"")</f>
        <v/>
      </c>
      <c r="AC282" s="433" t="str">
        <f>IF(AND(AH282&lt;&gt;"",AG282&lt;&gt;"",AI282&gt;0,AH282&gt;0),MAX(AC$2:AC281)+1,"XX")</f>
        <v>XX</v>
      </c>
      <c r="AD282" s="430" t="str">
        <f>IF('Antal &amp; Längder (vikter)'!$C$38&lt;&gt;"",'Antal &amp; Längder (vikter)'!$C$38,"XX")</f>
        <v>XX</v>
      </c>
      <c r="AE282" s="413" t="str">
        <f>IF(AND('Antal &amp; Längder (vikter)'!D$40&lt;&gt;"",ISNUMBER($AH282)),'Antal &amp; Längder (vikter)'!D$40,"")</f>
        <v/>
      </c>
      <c r="AF282" s="425" t="str">
        <f t="shared" si="10"/>
        <v/>
      </c>
      <c r="AG282" s="426" t="str">
        <f t="shared" si="11"/>
        <v/>
      </c>
      <c r="AH282" s="409" t="str">
        <f>IF('Antal &amp; Längder (vikter)'!E$41="Längd (mm)",IF('Antal &amp; Längder (vikter)'!E51&lt;&gt;"",'Antal &amp; Längder (vikter)'!E51,"XX"),"XX")</f>
        <v>XX</v>
      </c>
      <c r="AI282" s="7">
        <v>-9</v>
      </c>
    </row>
    <row r="283" spans="5:35" x14ac:dyDescent="0.25">
      <c r="E283" s="2"/>
      <c r="F283" s="199">
        <f>COUNTIF(J$113:J283,J283)</f>
        <v>8</v>
      </c>
      <c r="G283" t="s">
        <v>298</v>
      </c>
      <c r="H283" s="330">
        <v>2121</v>
      </c>
      <c r="I283" s="330">
        <v>21</v>
      </c>
      <c r="J283" t="s">
        <v>117</v>
      </c>
      <c r="K283" s="143"/>
      <c r="L283" s="220" t="str">
        <f>IF(Protokoll!I$1&lt;&gt;"",IF(N282=N$113,IF(AND(DMAX(F$113:J$403,F$113,O282:O283)&gt;COUNTA(L$111:L282)-2,DCOUNTA(F$113:J$403,G$113,N282:O283)=1),DGET(F$113:J$403,G$113,N282:O283),""),IF(AND(DMAX(F$113:J$403,F$113,Q282:Q283)&gt;COUNTA(L$111:L282)-2,DCOUNTA(F$113:J$403,G$113,P282:Q283)=1),DGET(F$113:J$403,G$113,P282:Q283),"")),G283)</f>
        <v/>
      </c>
      <c r="M283" s="143"/>
      <c r="N283" s="221" t="str">
        <f>IF(N282=N$113,IF(COUNT(N$113:Q282)&lt;DMAX(F$113:J$403,F$113,O282:O283),COUNT(N$113:Q282)+1,""),IF(COUNT(N$113:Q282)&lt;DMAX(F$113:J$403,F$113,Q282:Q283),N$113,""))</f>
        <v/>
      </c>
      <c r="O283" s="222" t="str">
        <f>IF(O282=O$113,IF(COUNTA(L$111:L282)-2&lt;DMAX(F$113:J$403,F$113,Q281:Q282),Protokoll!I$1,""),IF(O282&lt;&gt;"",IF(COUNTA(L$111:L282)-1&lt;DMAX(F$113:J$403,F$113,O281:O282),O$113,""),""))</f>
        <v/>
      </c>
      <c r="P283" s="223" t="str">
        <f>IF(N282=N$113,IF(COUNT(N$113:Q282)&lt;DMAX(F$113:J$403,F$113,O282:O283),N$113,""),IF(COUNT(N$113:Q282)&lt;DMAX(F$113:J$403,F$113,Q282:Q283),COUNT(N$113:Q282)+1,""))</f>
        <v/>
      </c>
      <c r="Q283" s="199" t="str">
        <f>IF(O282=O$113,IF(COUNTA(L$111:L282)-2&lt;DMAX(F$113:J$403,F$113,Q281:Q282),O$113,""),IF(Q282&lt;&gt;"",IF(COUNTA(L$111:L282)-2&lt;DMAX(F$113:J$403,F$113,O281:O282),Protokoll!I$1,""),""))</f>
        <v/>
      </c>
      <c r="T283" s="331" t="str">
        <f>IF(OR(Protokoll!$X$5&lt;&gt;"",Lokalbeskrivn!$M$4&lt;&gt;""),"",U283)</f>
        <v/>
      </c>
      <c r="U283" s="330" t="s">
        <v>16</v>
      </c>
      <c r="V283" s="351">
        <v>110</v>
      </c>
      <c r="W283" s="2"/>
      <c r="Y283" s="572" t="s">
        <v>2211</v>
      </c>
      <c r="Z283" s="572" t="s">
        <v>2212</v>
      </c>
      <c r="AB283" s="480" t="str">
        <f>IF(AND(ISNUMBER(AH283),AH283&gt;0),IF(MAX(AB$3:AB282)&gt;0,MAX(AB$3:AB282)+1,10+COUNTIF(F$38:F$49,"&gt;0")*10+1),"")</f>
        <v/>
      </c>
      <c r="AC283" s="433" t="str">
        <f>IF(AND(AH283&lt;&gt;"",AG283&lt;&gt;"",AI283&gt;0,AH283&gt;0),MAX(AC$2:AC282)+1,"XX")</f>
        <v>XX</v>
      </c>
      <c r="AD283" s="430" t="str">
        <f>IF('Antal &amp; Längder (vikter)'!$C$38&lt;&gt;"",'Antal &amp; Längder (vikter)'!$C$38,"XX")</f>
        <v>XX</v>
      </c>
      <c r="AE283" s="408" t="str">
        <f>IF(AND('Antal &amp; Längder (vikter)'!F$40&lt;&gt;"",ISNUMBER($AH283)),'Antal &amp; Längder (vikter)'!F$40,"")</f>
        <v/>
      </c>
      <c r="AF283" s="425" t="str">
        <f t="shared" si="10"/>
        <v/>
      </c>
      <c r="AG283" s="426" t="str">
        <f t="shared" si="11"/>
        <v/>
      </c>
      <c r="AH283" s="407" t="str">
        <f>IF('Antal &amp; Längder (vikter)'!F42&lt;&gt;"",'Antal &amp; Längder (vikter)'!F42,"XX")</f>
        <v>XX</v>
      </c>
      <c r="AI283" s="405">
        <f>IF('Antal &amp; Längder (vikter)'!G$41="Vikt (g)",IF('Antal &amp; Längder (vikter)'!G42&lt;&gt;"",'Antal &amp; Längder (vikter)'!G42,-9),-9)</f>
        <v>-9</v>
      </c>
    </row>
    <row r="284" spans="5:35" x14ac:dyDescent="0.25">
      <c r="E284" s="2"/>
      <c r="F284" s="199">
        <f>COUNTIF(J$113:J284,J284)</f>
        <v>6</v>
      </c>
      <c r="G284" t="s">
        <v>299</v>
      </c>
      <c r="H284" s="330">
        <v>481</v>
      </c>
      <c r="I284" s="330">
        <v>4</v>
      </c>
      <c r="J284" t="s">
        <v>138</v>
      </c>
      <c r="K284" s="143"/>
      <c r="L284" s="220" t="str">
        <f>IF(Protokoll!I$1&lt;&gt;"",IF(N283=N$113,IF(AND(DMAX(F$113:J$403,F$113,O283:O284)&gt;COUNTA(L$111:L283)-2,DCOUNTA(F$113:J$403,G$113,N283:O284)=1),DGET(F$113:J$403,G$113,N283:O284),""),IF(AND(DMAX(F$113:J$403,F$113,Q283:Q284)&gt;COUNTA(L$111:L283)-2,DCOUNTA(F$113:J$403,G$113,P283:Q284)=1),DGET(F$113:J$403,G$113,P283:Q284),"")),G284)</f>
        <v/>
      </c>
      <c r="M284" s="143"/>
      <c r="N284" s="221" t="str">
        <f>IF(N283=N$113,IF(COUNT(N$113:Q283)&lt;DMAX(F$113:J$403,F$113,O283:O284),COUNT(N$113:Q283)+1,""),IF(COUNT(N$113:Q283)&lt;DMAX(F$113:J$403,F$113,Q283:Q284),N$113,""))</f>
        <v/>
      </c>
      <c r="O284" s="222" t="str">
        <f>IF(O283=O$113,IF(COUNTA(L$111:L283)-2&lt;DMAX(F$113:J$403,F$113,Q282:Q283),Protokoll!I$1,""),IF(O283&lt;&gt;"",IF(COUNTA(L$111:L283)-1&lt;DMAX(F$113:J$403,F$113,O282:O283),O$113,""),""))</f>
        <v/>
      </c>
      <c r="P284" s="223" t="str">
        <f>IF(N283=N$113,IF(COUNT(N$113:Q283)&lt;DMAX(F$113:J$403,F$113,O283:O284),N$113,""),IF(COUNT(N$113:Q283)&lt;DMAX(F$113:J$403,F$113,Q283:Q284),COUNT(N$113:Q283)+1,""))</f>
        <v/>
      </c>
      <c r="Q284" s="199" t="str">
        <f>IF(O283=O$113,IF(COUNTA(L$111:L283)-2&lt;DMAX(F$113:J$403,F$113,Q282:Q283),O$113,""),IF(Q283&lt;&gt;"",IF(COUNTA(L$111:L283)-2&lt;DMAX(F$113:J$403,F$113,O282:O283),Protokoll!I$1,""),""))</f>
        <v/>
      </c>
      <c r="T284" s="331" t="str">
        <f>IF(OR(Protokoll!$X$5&lt;&gt;"",Lokalbeskrivn!$M$4&lt;&gt;""),"",U284)</f>
        <v/>
      </c>
      <c r="U284" s="330" t="s">
        <v>18</v>
      </c>
      <c r="V284" s="351" t="s">
        <v>17</v>
      </c>
      <c r="W284" s="2"/>
      <c r="Y284" s="572" t="s">
        <v>2462</v>
      </c>
      <c r="Z284" s="572" t="s">
        <v>2255</v>
      </c>
      <c r="AB284" s="476" t="str">
        <f>IF(COUNT(AB283:AB283)&gt;0,MAX(AB283:AB283)+1,"")</f>
        <v/>
      </c>
      <c r="AC284" s="433" t="str">
        <f>IF(AND(AH284&lt;&gt;"",AG284&lt;&gt;"",AI284&gt;0,AH284&gt;0),MAX(AC$2:AC283)+1,"XX")</f>
        <v>XX</v>
      </c>
      <c r="AD284" s="430" t="str">
        <f>IF('Antal &amp; Längder (vikter)'!$C$38&lt;&gt;"",'Antal &amp; Längder (vikter)'!$C$38,"XX")</f>
        <v>XX</v>
      </c>
      <c r="AE284" s="408" t="str">
        <f>IF(AND('Antal &amp; Längder (vikter)'!F$40&lt;&gt;"",ISNUMBER($AH284)),'Antal &amp; Längder (vikter)'!F$40,"")</f>
        <v/>
      </c>
      <c r="AF284" s="425" t="str">
        <f t="shared" si="10"/>
        <v/>
      </c>
      <c r="AG284" s="426" t="str">
        <f t="shared" si="11"/>
        <v/>
      </c>
      <c r="AH284" s="407" t="str">
        <f>IF('Antal &amp; Längder (vikter)'!F43&lt;&gt;"",'Antal &amp; Längder (vikter)'!F43,"XX")</f>
        <v>XX</v>
      </c>
      <c r="AI284" s="405">
        <f>IF('Antal &amp; Längder (vikter)'!G$41="Vikt (g)",IF('Antal &amp; Längder (vikter)'!G43&lt;&gt;"",'Antal &amp; Längder (vikter)'!G43,-9),-9)</f>
        <v>-9</v>
      </c>
    </row>
    <row r="285" spans="5:35" x14ac:dyDescent="0.25">
      <c r="E285" s="2"/>
      <c r="F285" s="199">
        <f>COUNTIF(J$113:J285,J285)</f>
        <v>10</v>
      </c>
      <c r="G285" t="s">
        <v>300</v>
      </c>
      <c r="H285" s="330">
        <v>2521</v>
      </c>
      <c r="I285" s="330">
        <v>25</v>
      </c>
      <c r="J285" t="s">
        <v>127</v>
      </c>
      <c r="K285" s="143"/>
      <c r="L285" s="220" t="str">
        <f>IF(Protokoll!I$1&lt;&gt;"",IF(N284=N$113,IF(AND(DMAX(F$113:J$403,F$113,O284:O285)&gt;COUNTA(L$111:L284)-2,DCOUNTA(F$113:J$403,G$113,N284:O285)=1),DGET(F$113:J$403,G$113,N284:O285),""),IF(AND(DMAX(F$113:J$403,F$113,Q284:Q285)&gt;COUNTA(L$111:L284)-2,DCOUNTA(F$113:J$403,G$113,P284:Q285)=1),DGET(F$113:J$403,G$113,P284:Q285),"")),G285)</f>
        <v/>
      </c>
      <c r="M285" s="143"/>
      <c r="N285" s="221" t="str">
        <f>IF(N284=N$113,IF(COUNT(N$113:Q284)&lt;DMAX(F$113:J$403,F$113,O284:O285),COUNT(N$113:Q284)+1,""),IF(COUNT(N$113:Q284)&lt;DMAX(F$113:J$403,F$113,Q284:Q285),N$113,""))</f>
        <v/>
      </c>
      <c r="O285" s="222" t="str">
        <f>IF(O284=O$113,IF(COUNTA(L$111:L284)-2&lt;DMAX(F$113:J$403,F$113,Q283:Q284),Protokoll!I$1,""),IF(O284&lt;&gt;"",IF(COUNTA(L$111:L284)-1&lt;DMAX(F$113:J$403,F$113,O283:O284),O$113,""),""))</f>
        <v/>
      </c>
      <c r="P285" s="223" t="str">
        <f>IF(N284=N$113,IF(COUNT(N$113:Q284)&lt;DMAX(F$113:J$403,F$113,O284:O285),N$113,""),IF(COUNT(N$113:Q284)&lt;DMAX(F$113:J$403,F$113,Q284:Q285),COUNT(N$113:Q284)+1,""))</f>
        <v/>
      </c>
      <c r="Q285" s="199" t="str">
        <f>IF(O284=O$113,IF(COUNTA(L$111:L284)-2&lt;DMAX(F$113:J$403,F$113,Q283:Q284),O$113,""),IF(Q284&lt;&gt;"",IF(COUNTA(L$111:L284)-2&lt;DMAX(F$113:J$403,F$113,O283:O284),Protokoll!I$1,""),""))</f>
        <v/>
      </c>
      <c r="T285" s="331" t="str">
        <f>IF(OR(Protokoll!$X$5&lt;&gt;"",Lokalbeskrivn!$M$4&lt;&gt;""),"",U285)</f>
        <v/>
      </c>
      <c r="U285" s="330" t="s">
        <v>19</v>
      </c>
      <c r="V285" s="351">
        <v>111</v>
      </c>
      <c r="W285" s="2"/>
      <c r="Y285" s="572" t="s">
        <v>1881</v>
      </c>
      <c r="Z285" s="572" t="s">
        <v>1882</v>
      </c>
      <c r="AB285" s="477" t="str">
        <f>IF(COUNT(AB283:AB284)&gt;0,MAX(AB283:AB284)+1,"")</f>
        <v/>
      </c>
      <c r="AC285" s="433" t="str">
        <f>IF(AND(AH285&lt;&gt;"",AG285&lt;&gt;"",AI285&gt;0,AH285&gt;0),MAX(AC$2:AC284)+1,"XX")</f>
        <v>XX</v>
      </c>
      <c r="AD285" s="430" t="str">
        <f>IF('Antal &amp; Längder (vikter)'!$C$38&lt;&gt;"",'Antal &amp; Längder (vikter)'!$C$38,"XX")</f>
        <v>XX</v>
      </c>
      <c r="AE285" s="408" t="str">
        <f>IF(AND('Antal &amp; Längder (vikter)'!F$40&lt;&gt;"",ISNUMBER($AH285)),'Antal &amp; Längder (vikter)'!F$40,"")</f>
        <v/>
      </c>
      <c r="AF285" s="425" t="str">
        <f t="shared" si="10"/>
        <v/>
      </c>
      <c r="AG285" s="426" t="str">
        <f t="shared" si="11"/>
        <v/>
      </c>
      <c r="AH285" s="407" t="str">
        <f>IF('Antal &amp; Längder (vikter)'!F44&lt;&gt;"",'Antal &amp; Längder (vikter)'!F44,"XX")</f>
        <v>XX</v>
      </c>
      <c r="AI285" s="405">
        <f>IF('Antal &amp; Längder (vikter)'!G$41="Vikt (g)",IF('Antal &amp; Längder (vikter)'!G44&lt;&gt;"",'Antal &amp; Längder (vikter)'!G44,-9),-9)</f>
        <v>-9</v>
      </c>
    </row>
    <row r="286" spans="5:35" x14ac:dyDescent="0.25">
      <c r="E286" s="2"/>
      <c r="F286" s="199">
        <f>COUNTIF(J$113:J286,J286)</f>
        <v>29</v>
      </c>
      <c r="G286" t="s">
        <v>301</v>
      </c>
      <c r="H286" s="330">
        <v>1402</v>
      </c>
      <c r="I286" s="330">
        <v>14</v>
      </c>
      <c r="J286" t="s">
        <v>114</v>
      </c>
      <c r="K286" s="143"/>
      <c r="L286" s="220" t="str">
        <f>IF(Protokoll!I$1&lt;&gt;"",IF(N285=N$113,IF(AND(DMAX(F$113:J$403,F$113,O285:O286)&gt;COUNTA(L$111:L285)-2,DCOUNTA(F$113:J$403,G$113,N285:O286)=1),DGET(F$113:J$403,G$113,N285:O286),""),IF(AND(DMAX(F$113:J$403,F$113,Q285:Q286)&gt;COUNTA(L$111:L285)-2,DCOUNTA(F$113:J$403,G$113,P285:Q286)=1),DGET(F$113:J$403,G$113,P285:Q286),"")),G286)</f>
        <v/>
      </c>
      <c r="M286" s="143"/>
      <c r="N286" s="221" t="str">
        <f>IF(N285=N$113,IF(COUNT(N$113:Q285)&lt;DMAX(F$113:J$403,F$113,O285:O286),COUNT(N$113:Q285)+1,""),IF(COUNT(N$113:Q285)&lt;DMAX(F$113:J$403,F$113,Q285:Q286),N$113,""))</f>
        <v/>
      </c>
      <c r="O286" s="222" t="str">
        <f>IF(O285=O$113,IF(COUNTA(L$111:L285)-2&lt;DMAX(F$113:J$403,F$113,Q284:Q285),Protokoll!I$1,""),IF(O285&lt;&gt;"",IF(COUNTA(L$111:L285)-1&lt;DMAX(F$113:J$403,F$113,O284:O285),O$113,""),""))</f>
        <v/>
      </c>
      <c r="P286" s="223" t="str">
        <f>IF(N285=N$113,IF(COUNT(N$113:Q285)&lt;DMAX(F$113:J$403,F$113,O285:O286),N$113,""),IF(COUNT(N$113:Q285)&lt;DMAX(F$113:J$403,F$113,Q285:Q286),COUNT(N$113:Q285)+1,""))</f>
        <v/>
      </c>
      <c r="Q286" s="199" t="str">
        <f>IF(O285=O$113,IF(COUNTA(L$111:L285)-2&lt;DMAX(F$113:J$403,F$113,Q284:Q285),O$113,""),IF(Q285&lt;&gt;"",IF(COUNTA(L$111:L285)-2&lt;DMAX(F$113:J$403,F$113,O284:O285),Protokoll!I$1,""),""))</f>
        <v/>
      </c>
      <c r="T286" s="331" t="str">
        <f>IF(OR(Protokoll!$X$5&lt;&gt;"",Lokalbeskrivn!$M$4&lt;&gt;""),"",U286)</f>
        <v/>
      </c>
      <c r="U286" s="330" t="s">
        <v>20</v>
      </c>
      <c r="V286" s="351">
        <v>111112</v>
      </c>
      <c r="W286" s="2"/>
      <c r="Y286" s="574" t="s">
        <v>2247</v>
      </c>
      <c r="Z286" s="574" t="s">
        <v>2248</v>
      </c>
      <c r="AB286" s="434" t="str">
        <f>IF(COUNT(AB283:AB285)&gt;0,MAX(AB283:AB285)+1,"")</f>
        <v/>
      </c>
      <c r="AC286" s="433" t="str">
        <f>IF(AND(AH286&lt;&gt;"",AG286&lt;&gt;"",AI286&gt;0,AH286&gt;0),MAX(AC$2:AC285)+1,"XX")</f>
        <v>XX</v>
      </c>
      <c r="AD286" s="430" t="str">
        <f>IF('Antal &amp; Längder (vikter)'!$C$38&lt;&gt;"",'Antal &amp; Längder (vikter)'!$C$38,"XX")</f>
        <v>XX</v>
      </c>
      <c r="AE286" s="408" t="str">
        <f>IF(AND('Antal &amp; Längder (vikter)'!F$40&lt;&gt;"",ISNUMBER($AH286)),'Antal &amp; Längder (vikter)'!F$40,"")</f>
        <v/>
      </c>
      <c r="AF286" s="425" t="str">
        <f t="shared" si="10"/>
        <v/>
      </c>
      <c r="AG286" s="426" t="str">
        <f t="shared" si="11"/>
        <v/>
      </c>
      <c r="AH286" s="407" t="str">
        <f>IF('Antal &amp; Längder (vikter)'!F45&lt;&gt;"",'Antal &amp; Längder (vikter)'!F45,"XX")</f>
        <v>XX</v>
      </c>
      <c r="AI286" s="405">
        <f>IF('Antal &amp; Längder (vikter)'!G$41="Vikt (g)",IF('Antal &amp; Längder (vikter)'!G45&lt;&gt;"",'Antal &amp; Längder (vikter)'!G45,-9),-9)</f>
        <v>-9</v>
      </c>
    </row>
    <row r="287" spans="5:35" x14ac:dyDescent="0.25">
      <c r="E287" s="2"/>
      <c r="F287" s="199">
        <f>COUNTIF(J$113:J287,J287)</f>
        <v>19</v>
      </c>
      <c r="G287" t="s">
        <v>302</v>
      </c>
      <c r="H287" s="330">
        <v>1275</v>
      </c>
      <c r="I287" s="330">
        <v>12</v>
      </c>
      <c r="J287" t="s">
        <v>134</v>
      </c>
      <c r="K287" s="143"/>
      <c r="L287" s="220" t="str">
        <f>IF(Protokoll!I$1&lt;&gt;"",IF(N286=N$113,IF(AND(DMAX(F$113:J$403,F$113,O286:O287)&gt;COUNTA(L$111:L286)-2,DCOUNTA(F$113:J$403,G$113,N286:O287)=1),DGET(F$113:J$403,G$113,N286:O287),""),IF(AND(DMAX(F$113:J$403,F$113,Q286:Q287)&gt;COUNTA(L$111:L286)-2,DCOUNTA(F$113:J$403,G$113,P286:Q287)=1),DGET(F$113:J$403,G$113,P286:Q287),"")),G287)</f>
        <v/>
      </c>
      <c r="M287" s="143"/>
      <c r="N287" s="221" t="str">
        <f>IF(N286=N$113,IF(COUNT(N$113:Q286)&lt;DMAX(F$113:J$403,F$113,O286:O287),COUNT(N$113:Q286)+1,""),IF(COUNT(N$113:Q286)&lt;DMAX(F$113:J$403,F$113,Q286:Q287),N$113,""))</f>
        <v/>
      </c>
      <c r="O287" s="222" t="str">
        <f>IF(O286=O$113,IF(COUNTA(L$111:L286)-2&lt;DMAX(F$113:J$403,F$113,Q285:Q286),Protokoll!I$1,""),IF(O286&lt;&gt;"",IF(COUNTA(L$111:L286)-1&lt;DMAX(F$113:J$403,F$113,O285:O286),O$113,""),""))</f>
        <v/>
      </c>
      <c r="P287" s="223" t="str">
        <f>IF(N286=N$113,IF(COUNT(N$113:Q286)&lt;DMAX(F$113:J$403,F$113,O286:O287),N$113,""),IF(COUNT(N$113:Q286)&lt;DMAX(F$113:J$403,F$113,Q286:Q287),COUNT(N$113:Q286)+1,""))</f>
        <v/>
      </c>
      <c r="Q287" s="199" t="str">
        <f>IF(O286=O$113,IF(COUNTA(L$111:L286)-2&lt;DMAX(F$113:J$403,F$113,Q285:Q286),O$113,""),IF(Q286&lt;&gt;"",IF(COUNTA(L$111:L286)-2&lt;DMAX(F$113:J$403,F$113,O285:O286),Protokoll!I$1,""),""))</f>
        <v/>
      </c>
      <c r="T287" s="331" t="str">
        <f>IF(OR(Protokoll!$X$5&lt;&gt;"",Lokalbeskrivn!$M$4&lt;&gt;""),"",U287)</f>
        <v/>
      </c>
      <c r="U287" s="330" t="s">
        <v>21</v>
      </c>
      <c r="V287" s="351">
        <v>112</v>
      </c>
      <c r="W287" s="2"/>
      <c r="Y287" s="572" t="s">
        <v>1721</v>
      </c>
      <c r="Z287" s="572" t="s">
        <v>1722</v>
      </c>
      <c r="AB287" s="475" t="str">
        <f>IF(COUNT(AB283:AB286)&gt;0,MAX(AB283:AB286)+1,"")</f>
        <v/>
      </c>
      <c r="AC287" s="433" t="str">
        <f>IF(AND(AH287&lt;&gt;"",AG287&lt;&gt;"",AI287&gt;0,AH287&gt;0),MAX(AC$2:AC286)+1,"XX")</f>
        <v>XX</v>
      </c>
      <c r="AD287" s="430" t="str">
        <f>IF('Antal &amp; Längder (vikter)'!$C$38&lt;&gt;"",'Antal &amp; Längder (vikter)'!$C$38,"XX")</f>
        <v>XX</v>
      </c>
      <c r="AE287" s="408" t="str">
        <f>IF(AND('Antal &amp; Längder (vikter)'!F$40&lt;&gt;"",ISNUMBER($AH287)),'Antal &amp; Längder (vikter)'!F$40,"")</f>
        <v/>
      </c>
      <c r="AF287" s="425" t="str">
        <f t="shared" si="10"/>
        <v/>
      </c>
      <c r="AG287" s="426" t="str">
        <f t="shared" si="11"/>
        <v/>
      </c>
      <c r="AH287" s="407" t="str">
        <f>IF('Antal &amp; Längder (vikter)'!F46&lt;&gt;"",'Antal &amp; Längder (vikter)'!F46,"XX")</f>
        <v>XX</v>
      </c>
      <c r="AI287" s="405">
        <f>IF('Antal &amp; Längder (vikter)'!G$41="Vikt (g)",IF('Antal &amp; Längder (vikter)'!G46&lt;&gt;"",'Antal &amp; Längder (vikter)'!G46,-9),-9)</f>
        <v>-9</v>
      </c>
    </row>
    <row r="288" spans="5:35" x14ac:dyDescent="0.25">
      <c r="E288" s="2"/>
      <c r="F288" s="199">
        <f>COUNTIF(J$113:J288,J288)</f>
        <v>11</v>
      </c>
      <c r="G288" t="s">
        <v>303</v>
      </c>
      <c r="H288" s="330">
        <v>2581</v>
      </c>
      <c r="I288" s="330">
        <v>25</v>
      </c>
      <c r="J288" t="s">
        <v>127</v>
      </c>
      <c r="K288" s="143"/>
      <c r="L288" s="220" t="str">
        <f>IF(Protokoll!I$1&lt;&gt;"",IF(N287=N$113,IF(AND(DMAX(F$113:J$403,F$113,O287:O288)&gt;COUNTA(L$111:L287)-2,DCOUNTA(F$113:J$403,G$113,N287:O288)=1),DGET(F$113:J$403,G$113,N287:O288),""),IF(AND(DMAX(F$113:J$403,F$113,Q287:Q288)&gt;COUNTA(L$111:L287)-2,DCOUNTA(F$113:J$403,G$113,P287:Q288)=1),DGET(F$113:J$403,G$113,P287:Q288),"")),G288)</f>
        <v/>
      </c>
      <c r="M288" s="143"/>
      <c r="N288" s="221" t="str">
        <f>IF(N287=N$113,IF(COUNT(N$113:Q287)&lt;DMAX(F$113:J$403,F$113,O287:O288),COUNT(N$113:Q287)+1,""),IF(COUNT(N$113:Q287)&lt;DMAX(F$113:J$403,F$113,Q287:Q288),N$113,""))</f>
        <v/>
      </c>
      <c r="O288" s="222" t="str">
        <f>IF(O287=O$113,IF(COUNTA(L$111:L287)-2&lt;DMAX(F$113:J$403,F$113,Q286:Q287),Protokoll!I$1,""),IF(O287&lt;&gt;"",IF(COUNTA(L$111:L287)-1&lt;DMAX(F$113:J$403,F$113,O286:O287),O$113,""),""))</f>
        <v/>
      </c>
      <c r="P288" s="223" t="str">
        <f>IF(N287=N$113,IF(COUNT(N$113:Q287)&lt;DMAX(F$113:J$403,F$113,O287:O288),N$113,""),IF(COUNT(N$113:Q287)&lt;DMAX(F$113:J$403,F$113,Q287:Q288),COUNT(N$113:Q287)+1,""))</f>
        <v/>
      </c>
      <c r="Q288" s="199" t="str">
        <f>IF(O287=O$113,IF(COUNTA(L$111:L287)-2&lt;DMAX(F$113:J$403,F$113,Q286:Q287),O$113,""),IF(Q287&lt;&gt;"",IF(COUNTA(L$111:L287)-2&lt;DMAX(F$113:J$403,F$113,O286:O287),Protokoll!I$1,""),""))</f>
        <v/>
      </c>
      <c r="T288" s="331" t="str">
        <f>IF(OR(Protokoll!$X$5&lt;&gt;"",Lokalbeskrivn!$M$4&lt;&gt;""),"",U288)</f>
        <v/>
      </c>
      <c r="U288" s="330" t="s">
        <v>1514</v>
      </c>
      <c r="V288" s="351" t="s">
        <v>1513</v>
      </c>
      <c r="W288" s="2"/>
      <c r="Y288" s="572" t="s">
        <v>2213</v>
      </c>
      <c r="Z288" s="572" t="s">
        <v>2214</v>
      </c>
      <c r="AB288" s="471" t="str">
        <f>IF(COUNT(AB283:AB287)&gt;0,MAX(AB283:AB287)+1,"")</f>
        <v/>
      </c>
      <c r="AC288" s="433" t="str">
        <f>IF(AND(AH288&lt;&gt;"",AG288&lt;&gt;"",AI288&gt;0,AH288&gt;0),MAX(AC$2:AC287)+1,"XX")</f>
        <v>XX</v>
      </c>
      <c r="AD288" s="430" t="str">
        <f>IF('Antal &amp; Längder (vikter)'!$C$38&lt;&gt;"",'Antal &amp; Längder (vikter)'!$C$38,"XX")</f>
        <v>XX</v>
      </c>
      <c r="AE288" s="408" t="str">
        <f>IF(AND('Antal &amp; Längder (vikter)'!F$40&lt;&gt;"",ISNUMBER($AH288)),'Antal &amp; Längder (vikter)'!F$40,"")</f>
        <v/>
      </c>
      <c r="AF288" s="425" t="str">
        <f t="shared" si="10"/>
        <v/>
      </c>
      <c r="AG288" s="426" t="str">
        <f t="shared" si="11"/>
        <v/>
      </c>
      <c r="AH288" s="407" t="str">
        <f>IF('Antal &amp; Längder (vikter)'!F47&lt;&gt;"",'Antal &amp; Längder (vikter)'!F47,"XX")</f>
        <v>XX</v>
      </c>
      <c r="AI288" s="405">
        <f>IF('Antal &amp; Längder (vikter)'!G$41="Vikt (g)",IF('Antal &amp; Längder (vikter)'!G47&lt;&gt;"",'Antal &amp; Längder (vikter)'!G47,-9),-9)</f>
        <v>-9</v>
      </c>
    </row>
    <row r="289" spans="5:35" x14ac:dyDescent="0.25">
      <c r="E289" s="2"/>
      <c r="F289" s="199">
        <f>COUNTIF(J$113:J289,J289)</f>
        <v>5</v>
      </c>
      <c r="G289" t="s">
        <v>304</v>
      </c>
      <c r="H289" s="330">
        <v>2303</v>
      </c>
      <c r="I289" s="330">
        <v>23</v>
      </c>
      <c r="J289" t="s">
        <v>123</v>
      </c>
      <c r="K289" s="143"/>
      <c r="L289" s="220" t="str">
        <f>IF(Protokoll!I$1&lt;&gt;"",IF(N288=N$113,IF(AND(DMAX(F$113:J$403,F$113,O288:O289)&gt;COUNTA(L$111:L288)-2,DCOUNTA(F$113:J$403,G$113,N288:O289)=1),DGET(F$113:J$403,G$113,N288:O289),""),IF(AND(DMAX(F$113:J$403,F$113,Q288:Q289)&gt;COUNTA(L$111:L288)-2,DCOUNTA(F$113:J$403,G$113,P288:Q289)=1),DGET(F$113:J$403,G$113,P288:Q289),"")),G289)</f>
        <v/>
      </c>
      <c r="M289" s="143"/>
      <c r="N289" s="221" t="str">
        <f>IF(N288=N$113,IF(COUNT(N$113:Q288)&lt;DMAX(F$113:J$403,F$113,O288:O289),COUNT(N$113:Q288)+1,""),IF(COUNT(N$113:Q288)&lt;DMAX(F$113:J$403,F$113,Q288:Q289),N$113,""))</f>
        <v/>
      </c>
      <c r="O289" s="222" t="str">
        <f>IF(O288=O$113,IF(COUNTA(L$111:L288)-2&lt;DMAX(F$113:J$403,F$113,Q287:Q288),Protokoll!I$1,""),IF(O288&lt;&gt;"",IF(COUNTA(L$111:L288)-1&lt;DMAX(F$113:J$403,F$113,O287:O288),O$113,""),""))</f>
        <v/>
      </c>
      <c r="P289" s="223" t="str">
        <f>IF(N288=N$113,IF(COUNT(N$113:Q288)&lt;DMAX(F$113:J$403,F$113,O288:O289),N$113,""),IF(COUNT(N$113:Q288)&lt;DMAX(F$113:J$403,F$113,Q288:Q289),COUNT(N$113:Q288)+1,""))</f>
        <v/>
      </c>
      <c r="Q289" s="199" t="str">
        <f>IF(O288=O$113,IF(COUNTA(L$111:L288)-2&lt;DMAX(F$113:J$403,F$113,Q287:Q288),O$113,""),IF(Q288&lt;&gt;"",IF(COUNTA(L$111:L288)-2&lt;DMAX(F$113:J$403,F$113,O287:O288),Protokoll!I$1,""),""))</f>
        <v/>
      </c>
      <c r="T289" s="331" t="str">
        <f>IF(OR(Protokoll!$X$5&lt;&gt;"",Lokalbeskrivn!$M$4&lt;&gt;""),"",U289)</f>
        <v/>
      </c>
      <c r="U289" s="330" t="s">
        <v>1515</v>
      </c>
      <c r="V289" s="351" t="s">
        <v>1516</v>
      </c>
      <c r="W289" s="2"/>
      <c r="Y289" s="572" t="s">
        <v>2171</v>
      </c>
      <c r="Z289" s="572" t="s">
        <v>2172</v>
      </c>
      <c r="AB289" s="474" t="str">
        <f>IF(COUNT(AB283:AB288)&gt;0,MAX(AB283:AB288)+1,"")</f>
        <v/>
      </c>
      <c r="AC289" s="433" t="str">
        <f>IF(AND(AH289&lt;&gt;"",AG289&lt;&gt;"",AI289&gt;0,AH289&gt;0),MAX(AC$2:AC288)+1,"XX")</f>
        <v>XX</v>
      </c>
      <c r="AD289" s="430" t="str">
        <f>IF('Antal &amp; Längder (vikter)'!$C$38&lt;&gt;"",'Antal &amp; Längder (vikter)'!$C$38,"XX")</f>
        <v>XX</v>
      </c>
      <c r="AE289" s="408" t="str">
        <f>IF(AND('Antal &amp; Längder (vikter)'!F$40&lt;&gt;"",ISNUMBER($AH289)),'Antal &amp; Längder (vikter)'!F$40,"")</f>
        <v/>
      </c>
      <c r="AF289" s="425" t="str">
        <f t="shared" si="10"/>
        <v/>
      </c>
      <c r="AG289" s="426" t="str">
        <f t="shared" si="11"/>
        <v/>
      </c>
      <c r="AH289" s="407" t="str">
        <f>IF('Antal &amp; Längder (vikter)'!F48&lt;&gt;"",'Antal &amp; Längder (vikter)'!F48,"XX")</f>
        <v>XX</v>
      </c>
      <c r="AI289" s="405">
        <f>IF('Antal &amp; Längder (vikter)'!G$41="Vikt (g)",IF('Antal &amp; Längder (vikter)'!G48&lt;&gt;"",'Antal &amp; Längder (vikter)'!G48,-9),-9)</f>
        <v>-9</v>
      </c>
    </row>
    <row r="290" spans="5:35" x14ac:dyDescent="0.25">
      <c r="E290" s="2"/>
      <c r="F290" s="199">
        <f>COUNTIF(J$113:J290,J290)</f>
        <v>7</v>
      </c>
      <c r="G290" t="s">
        <v>305</v>
      </c>
      <c r="H290" s="330">
        <v>2409</v>
      </c>
      <c r="I290" s="330">
        <v>24</v>
      </c>
      <c r="J290" t="s">
        <v>142</v>
      </c>
      <c r="K290" s="143"/>
      <c r="L290" s="220" t="str">
        <f>IF(Protokoll!I$1&lt;&gt;"",IF(N289=N$113,IF(AND(DMAX(F$113:J$403,F$113,O289:O290)&gt;COUNTA(L$111:L289)-2,DCOUNTA(F$113:J$403,G$113,N289:O290)=1),DGET(F$113:J$403,G$113,N289:O290),""),IF(AND(DMAX(F$113:J$403,F$113,Q289:Q290)&gt;COUNTA(L$111:L289)-2,DCOUNTA(F$113:J$403,G$113,P289:Q290)=1),DGET(F$113:J$403,G$113,P289:Q290),"")),G290)</f>
        <v/>
      </c>
      <c r="M290" s="143"/>
      <c r="N290" s="221" t="str">
        <f>IF(N289=N$113,IF(COUNT(N$113:Q289)&lt;DMAX(F$113:J$403,F$113,O289:O290),COUNT(N$113:Q289)+1,""),IF(COUNT(N$113:Q289)&lt;DMAX(F$113:J$403,F$113,Q289:Q290),N$113,""))</f>
        <v/>
      </c>
      <c r="O290" s="222" t="str">
        <f>IF(O289=O$113,IF(COUNTA(L$111:L289)-2&lt;DMAX(F$113:J$403,F$113,Q288:Q289),Protokoll!I$1,""),IF(O289&lt;&gt;"",IF(COUNTA(L$111:L289)-1&lt;DMAX(F$113:J$403,F$113,O288:O289),O$113,""),""))</f>
        <v/>
      </c>
      <c r="P290" s="223" t="str">
        <f>IF(N289=N$113,IF(COUNT(N$113:Q289)&lt;DMAX(F$113:J$403,F$113,O289:O290),N$113,""),IF(COUNT(N$113:Q289)&lt;DMAX(F$113:J$403,F$113,Q289:Q290),COUNT(N$113:Q289)+1,""))</f>
        <v/>
      </c>
      <c r="Q290" s="199" t="str">
        <f>IF(O289=O$113,IF(COUNTA(L$111:L289)-2&lt;DMAX(F$113:J$403,F$113,Q288:Q289),O$113,""),IF(Q289&lt;&gt;"",IF(COUNTA(L$111:L289)-2&lt;DMAX(F$113:J$403,F$113,O288:O289),Protokoll!I$1,""),""))</f>
        <v/>
      </c>
      <c r="T290" s="331" t="str">
        <f>IF(OR(Protokoll!$X$5&lt;&gt;"",Lokalbeskrivn!$M$4&lt;&gt;""),"",U290)</f>
        <v/>
      </c>
      <c r="U290" s="330" t="s">
        <v>1517</v>
      </c>
      <c r="V290" s="351" t="s">
        <v>1512</v>
      </c>
      <c r="W290" s="2"/>
      <c r="Y290" s="572" t="s">
        <v>1905</v>
      </c>
      <c r="Z290" s="572" t="s">
        <v>1906</v>
      </c>
      <c r="AB290" s="478" t="str">
        <f>IF(COUNT(AB283:AB289)&gt;0,MAX(AB283:AB289)+1,"")</f>
        <v/>
      </c>
      <c r="AC290" s="433" t="str">
        <f>IF(AND(AH290&lt;&gt;"",AG290&lt;&gt;"",AI290&gt;0,AH290&gt;0),MAX(AC$2:AC289)+1,"XX")</f>
        <v>XX</v>
      </c>
      <c r="AD290" s="430" t="str">
        <f>IF('Antal &amp; Längder (vikter)'!$C$38&lt;&gt;"",'Antal &amp; Längder (vikter)'!$C$38,"XX")</f>
        <v>XX</v>
      </c>
      <c r="AE290" s="408" t="str">
        <f>IF(AND('Antal &amp; Längder (vikter)'!F$40&lt;&gt;"",ISNUMBER($AH290)),'Antal &amp; Längder (vikter)'!F$40,"")</f>
        <v/>
      </c>
      <c r="AF290" s="425" t="str">
        <f t="shared" si="10"/>
        <v/>
      </c>
      <c r="AG290" s="426" t="str">
        <f t="shared" si="11"/>
        <v/>
      </c>
      <c r="AH290" s="407" t="str">
        <f>IF('Antal &amp; Längder (vikter)'!F49&lt;&gt;"",'Antal &amp; Längder (vikter)'!F49,"XX")</f>
        <v>XX</v>
      </c>
      <c r="AI290" s="405">
        <f>IF('Antal &amp; Längder (vikter)'!G$41="Vikt (g)",IF('Antal &amp; Längder (vikter)'!G49&lt;&gt;"",'Antal &amp; Längder (vikter)'!G49,-9),-9)</f>
        <v>-9</v>
      </c>
    </row>
    <row r="291" spans="5:35" x14ac:dyDescent="0.25">
      <c r="E291" s="2"/>
      <c r="F291" s="199">
        <f>COUNTIF(J$113:J291,J291)</f>
        <v>4</v>
      </c>
      <c r="G291" t="s">
        <v>306</v>
      </c>
      <c r="H291" s="330">
        <v>1081</v>
      </c>
      <c r="I291" s="330">
        <v>10</v>
      </c>
      <c r="J291" t="s">
        <v>110</v>
      </c>
      <c r="K291" s="143"/>
      <c r="L291" s="220" t="str">
        <f>IF(Protokoll!I$1&lt;&gt;"",IF(N290=N$113,IF(AND(DMAX(F$113:J$403,F$113,O290:O291)&gt;COUNTA(L$111:L290)-2,DCOUNTA(F$113:J$403,G$113,N290:O291)=1),DGET(F$113:J$403,G$113,N290:O291),""),IF(AND(DMAX(F$113:J$403,F$113,Q290:Q291)&gt;COUNTA(L$111:L290)-2,DCOUNTA(F$113:J$403,G$113,P290:Q291)=1),DGET(F$113:J$403,G$113,P290:Q291),"")),G291)</f>
        <v/>
      </c>
      <c r="M291" s="143"/>
      <c r="N291" s="221" t="str">
        <f>IF(N290=N$113,IF(COUNT(N$113:Q290)&lt;DMAX(F$113:J$403,F$113,O290:O291),COUNT(N$113:Q290)+1,""),IF(COUNT(N$113:Q290)&lt;DMAX(F$113:J$403,F$113,Q290:Q291),N$113,""))</f>
        <v/>
      </c>
      <c r="O291" s="222" t="str">
        <f>IF(O290=O$113,IF(COUNTA(L$111:L290)-2&lt;DMAX(F$113:J$403,F$113,Q289:Q290),Protokoll!I$1,""),IF(O290&lt;&gt;"",IF(COUNTA(L$111:L290)-1&lt;DMAX(F$113:J$403,F$113,O289:O290),O$113,""),""))</f>
        <v/>
      </c>
      <c r="P291" s="223" t="str">
        <f>IF(N290=N$113,IF(COUNT(N$113:Q290)&lt;DMAX(F$113:J$403,F$113,O290:O291),N$113,""),IF(COUNT(N$113:Q290)&lt;DMAX(F$113:J$403,F$113,Q290:Q291),COUNT(N$113:Q290)+1,""))</f>
        <v/>
      </c>
      <c r="Q291" s="199" t="str">
        <f>IF(O290=O$113,IF(COUNTA(L$111:L290)-2&lt;DMAX(F$113:J$403,F$113,Q289:Q290),O$113,""),IF(Q290&lt;&gt;"",IF(COUNTA(L$111:L290)-2&lt;DMAX(F$113:J$403,F$113,O289:O290),Protokoll!I$1,""),""))</f>
        <v/>
      </c>
      <c r="T291" s="331" t="str">
        <f>IF(OR(Protokoll!$X$5&lt;&gt;"",Lokalbeskrivn!$M$4&lt;&gt;""),"",U291)</f>
        <v/>
      </c>
      <c r="U291" s="330" t="s">
        <v>1519</v>
      </c>
      <c r="V291" s="351" t="s">
        <v>1518</v>
      </c>
      <c r="W291" s="2"/>
      <c r="Y291" s="572" t="s">
        <v>1661</v>
      </c>
      <c r="Z291" s="572" t="s">
        <v>1662</v>
      </c>
      <c r="AB291" s="472" t="str">
        <f>IF(COUNT(AB283:AB290)&gt;0,MAX(AB283:AB290)+1,"")</f>
        <v/>
      </c>
      <c r="AC291" s="433" t="str">
        <f>IF(AND(AH291&lt;&gt;"",AG291&lt;&gt;"",AI291&gt;0,AH291&gt;0),MAX(AC$2:AC290)+1,"XX")</f>
        <v>XX</v>
      </c>
      <c r="AD291" s="430" t="str">
        <f>IF('Antal &amp; Längder (vikter)'!$C$38&lt;&gt;"",'Antal &amp; Längder (vikter)'!$C$38,"XX")</f>
        <v>XX</v>
      </c>
      <c r="AE291" s="408" t="str">
        <f>IF(AND('Antal &amp; Längder (vikter)'!F$40&lt;&gt;"",ISNUMBER($AH291)),'Antal &amp; Längder (vikter)'!F$40,"")</f>
        <v/>
      </c>
      <c r="AF291" s="425" t="str">
        <f t="shared" si="10"/>
        <v/>
      </c>
      <c r="AG291" s="426" t="str">
        <f t="shared" si="11"/>
        <v/>
      </c>
      <c r="AH291" s="407" t="str">
        <f>IF('Antal &amp; Längder (vikter)'!F50&lt;&gt;"",'Antal &amp; Längder (vikter)'!F50,"XX")</f>
        <v>XX</v>
      </c>
      <c r="AI291" s="405">
        <f>IF('Antal &amp; Längder (vikter)'!G$41="Vikt (g)",IF('Antal &amp; Längder (vikter)'!G50&lt;&gt;"",'Antal &amp; Längder (vikter)'!G50,-9),-9)</f>
        <v>-9</v>
      </c>
    </row>
    <row r="292" spans="5:35" x14ac:dyDescent="0.25">
      <c r="E292" s="2"/>
      <c r="F292" s="199">
        <f>COUNTIF(J$113:J292,J292)</f>
        <v>11</v>
      </c>
      <c r="G292" t="s">
        <v>307</v>
      </c>
      <c r="H292" s="330">
        <v>2031</v>
      </c>
      <c r="I292" s="330">
        <v>20</v>
      </c>
      <c r="J292" t="s">
        <v>112</v>
      </c>
      <c r="K292" s="143"/>
      <c r="L292" s="220" t="str">
        <f>IF(Protokoll!I$1&lt;&gt;"",IF(N291=N$113,IF(AND(DMAX(F$113:J$403,F$113,O291:O292)&gt;COUNTA(L$111:L291)-2,DCOUNTA(F$113:J$403,G$113,N291:O292)=1),DGET(F$113:J$403,G$113,N291:O292),""),IF(AND(DMAX(F$113:J$403,F$113,Q291:Q292)&gt;COUNTA(L$111:L291)-2,DCOUNTA(F$113:J$403,G$113,P291:Q292)=1),DGET(F$113:J$403,G$113,P291:Q292),"")),G292)</f>
        <v/>
      </c>
      <c r="M292" s="143"/>
      <c r="N292" s="221" t="str">
        <f>IF(N291=N$113,IF(COUNT(N$113:Q291)&lt;DMAX(F$113:J$403,F$113,O291:O292),COUNT(N$113:Q291)+1,""),IF(COUNT(N$113:Q291)&lt;DMAX(F$113:J$403,F$113,Q291:Q292),N$113,""))</f>
        <v/>
      </c>
      <c r="O292" s="222" t="str">
        <f>IF(O291=O$113,IF(COUNTA(L$111:L291)-2&lt;DMAX(F$113:J$403,F$113,Q290:Q291),Protokoll!I$1,""),IF(O291&lt;&gt;"",IF(COUNTA(L$111:L291)-1&lt;DMAX(F$113:J$403,F$113,O290:O291),O$113,""),""))</f>
        <v/>
      </c>
      <c r="P292" s="223" t="str">
        <f>IF(N291=N$113,IF(COUNT(N$113:Q291)&lt;DMAX(F$113:J$403,F$113,O291:O292),N$113,""),IF(COUNT(N$113:Q291)&lt;DMAX(F$113:J$403,F$113,Q291:Q292),COUNT(N$113:Q291)+1,""))</f>
        <v/>
      </c>
      <c r="Q292" s="199" t="str">
        <f>IF(O291=O$113,IF(COUNTA(L$111:L291)-2&lt;DMAX(F$113:J$403,F$113,Q290:Q291),O$113,""),IF(Q291&lt;&gt;"",IF(COUNTA(L$111:L291)-2&lt;DMAX(F$113:J$403,F$113,O290:O291),Protokoll!I$1,""),""))</f>
        <v/>
      </c>
      <c r="T292" s="331" t="str">
        <f>IF(OR(Protokoll!$X$5&lt;&gt;"",Lokalbeskrivn!$M$4&lt;&gt;""),"",U292)</f>
        <v/>
      </c>
      <c r="U292" s="330" t="s">
        <v>22</v>
      </c>
      <c r="V292" s="351">
        <v>117</v>
      </c>
      <c r="Y292" s="572" t="s">
        <v>2463</v>
      </c>
      <c r="Z292" s="572" t="s">
        <v>2464</v>
      </c>
      <c r="AB292" s="479" t="str">
        <f>IF(COUNT(AB283:AB291)&gt;0,MAX(AB283:AB291)+1,"")</f>
        <v/>
      </c>
      <c r="AC292" s="433" t="str">
        <f>IF(AND(AH292&lt;&gt;"",AG292&lt;&gt;"",AI292&gt;0,AH292&gt;0),MAX(AC$2:AC291)+1,"XX")</f>
        <v>XX</v>
      </c>
      <c r="AD292" s="430" t="str">
        <f>IF('Antal &amp; Längder (vikter)'!$C$38&lt;&gt;"",'Antal &amp; Längder (vikter)'!$C$38,"XX")</f>
        <v>XX</v>
      </c>
      <c r="AE292" s="408" t="str">
        <f>IF(AND('Antal &amp; Längder (vikter)'!F$40&lt;&gt;"",ISNUMBER($AH292)),'Antal &amp; Längder (vikter)'!F$40,"")</f>
        <v/>
      </c>
      <c r="AF292" s="425" t="str">
        <f t="shared" si="10"/>
        <v/>
      </c>
      <c r="AG292" s="426" t="str">
        <f t="shared" si="11"/>
        <v/>
      </c>
      <c r="AH292" s="407" t="str">
        <f>IF('Antal &amp; Längder (vikter)'!F51&lt;&gt;"",'Antal &amp; Längder (vikter)'!F51,"XX")</f>
        <v>XX</v>
      </c>
      <c r="AI292" s="405">
        <f>IF('Antal &amp; Längder (vikter)'!G$41="Vikt (g)",IF('Antal &amp; Längder (vikter)'!G51&lt;&gt;"",'Antal &amp; Längder (vikter)'!G51,-9),-9)</f>
        <v>-9</v>
      </c>
    </row>
    <row r="293" spans="5:35" x14ac:dyDescent="0.25">
      <c r="E293" s="2"/>
      <c r="F293" s="199">
        <f>COUNTIF(J$113:J293,J293)</f>
        <v>8</v>
      </c>
      <c r="G293" t="s">
        <v>308</v>
      </c>
      <c r="H293" s="330">
        <v>1981</v>
      </c>
      <c r="I293" s="330">
        <v>19</v>
      </c>
      <c r="J293" t="s">
        <v>125</v>
      </c>
      <c r="K293" s="143"/>
      <c r="L293" s="220" t="str">
        <f>IF(Protokoll!I$1&lt;&gt;"",IF(N292=N$113,IF(AND(DMAX(F$113:J$403,F$113,O292:O293)&gt;COUNTA(L$111:L292)-2,DCOUNTA(F$113:J$403,G$113,N292:O293)=1),DGET(F$113:J$403,G$113,N292:O293),""),IF(AND(DMAX(F$113:J$403,F$113,Q292:Q293)&gt;COUNTA(L$111:L292)-2,DCOUNTA(F$113:J$403,G$113,P292:Q293)=1),DGET(F$113:J$403,G$113,P292:Q293),"")),G293)</f>
        <v/>
      </c>
      <c r="M293" s="143"/>
      <c r="N293" s="221" t="str">
        <f>IF(N292=N$113,IF(COUNT(N$113:Q292)&lt;DMAX(F$113:J$403,F$113,O292:O293),COUNT(N$113:Q292)+1,""),IF(COUNT(N$113:Q292)&lt;DMAX(F$113:J$403,F$113,Q292:Q293),N$113,""))</f>
        <v/>
      </c>
      <c r="O293" s="222" t="str">
        <f>IF(O292=O$113,IF(COUNTA(L$111:L292)-2&lt;DMAX(F$113:J$403,F$113,Q291:Q292),Protokoll!I$1,""),IF(O292&lt;&gt;"",IF(COUNTA(L$111:L292)-1&lt;DMAX(F$113:J$403,F$113,O291:O292),O$113,""),""))</f>
        <v/>
      </c>
      <c r="P293" s="223" t="str">
        <f>IF(N292=N$113,IF(COUNT(N$113:Q292)&lt;DMAX(F$113:J$403,F$113,O292:O293),N$113,""),IF(COUNT(N$113:Q292)&lt;DMAX(F$113:J$403,F$113,Q292:Q293),COUNT(N$113:Q292)+1,""))</f>
        <v/>
      </c>
      <c r="Q293" s="199" t="str">
        <f>IF(O292=O$113,IF(COUNTA(L$111:L292)-2&lt;DMAX(F$113:J$403,F$113,Q291:Q292),O$113,""),IF(Q292&lt;&gt;"",IF(COUNTA(L$111:L292)-2&lt;DMAX(F$113:J$403,F$113,O291:O292),Protokoll!I$1,""),""))</f>
        <v/>
      </c>
      <c r="T293" s="331" t="str">
        <f>IF(OR(Protokoll!$X$5&lt;&gt;"",Lokalbeskrivn!$M$4&lt;&gt;""),"",U293)</f>
        <v/>
      </c>
      <c r="U293" s="358" t="s">
        <v>23</v>
      </c>
      <c r="V293" s="351">
        <v>117118</v>
      </c>
      <c r="Y293" s="572" t="s">
        <v>1873</v>
      </c>
      <c r="Z293" s="572" t="s">
        <v>1874</v>
      </c>
      <c r="AB293" s="480" t="str">
        <f>IF(AND(ISNUMBER(AH293),AH293&gt;0),IF(MAX(AB$3:AB292)&gt;0,MAX(AB$3:AB292)+1,10+COUNTIF(F$38:F$49,"&gt;0")*10+1),"")</f>
        <v/>
      </c>
      <c r="AC293" s="433" t="str">
        <f>IF(AND(AH293&lt;&gt;"",AG293&lt;&gt;"",AI293&gt;0,AH293&gt;0),MAX(AC$2:AC292)+1,"XX")</f>
        <v>XX</v>
      </c>
      <c r="AD293" s="430" t="str">
        <f>IF('Antal &amp; Längder (vikter)'!$C$38&lt;&gt;"",'Antal &amp; Längder (vikter)'!$C$38,"XX")</f>
        <v>XX</v>
      </c>
      <c r="AE293" s="408" t="str">
        <f>IF(AND('Antal &amp; Längder (vikter)'!F$40&lt;&gt;"",ISNUMBER($AH293)),'Antal &amp; Längder (vikter)'!F$40,"")</f>
        <v/>
      </c>
      <c r="AF293" s="425" t="str">
        <f t="shared" si="10"/>
        <v/>
      </c>
      <c r="AG293" s="426" t="str">
        <f t="shared" si="11"/>
        <v/>
      </c>
      <c r="AH293" s="409" t="str">
        <f>IF('Antal &amp; Längder (vikter)'!G$41="Längd (mm)",IF('Antal &amp; Längder (vikter)'!G42&lt;&gt;"",'Antal &amp; Längder (vikter)'!G42,"XX"),"XX")</f>
        <v>XX</v>
      </c>
      <c r="AI293" s="7">
        <v>-9</v>
      </c>
    </row>
    <row r="294" spans="5:35" x14ac:dyDescent="0.25">
      <c r="E294" s="2"/>
      <c r="F294" s="199">
        <f>COUNTIF(J$113:J294,J294)</f>
        <v>12</v>
      </c>
      <c r="G294" t="s">
        <v>309</v>
      </c>
      <c r="H294" s="330">
        <v>128</v>
      </c>
      <c r="I294" s="330">
        <v>1</v>
      </c>
      <c r="J294" t="s">
        <v>136</v>
      </c>
      <c r="K294" s="143"/>
      <c r="L294" s="220" t="str">
        <f>IF(Protokoll!I$1&lt;&gt;"",IF(N293=N$113,IF(AND(DMAX(F$113:J$403,F$113,O293:O294)&gt;COUNTA(L$111:L293)-2,DCOUNTA(F$113:J$403,G$113,N293:O294)=1),DGET(F$113:J$403,G$113,N293:O294),""),IF(AND(DMAX(F$113:J$403,F$113,Q293:Q294)&gt;COUNTA(L$111:L293)-2,DCOUNTA(F$113:J$403,G$113,P293:Q294)=1),DGET(F$113:J$403,G$113,P293:Q294),"")),G294)</f>
        <v/>
      </c>
      <c r="M294" s="143"/>
      <c r="N294" s="221" t="str">
        <f>IF(N293=N$113,IF(COUNT(N$113:Q293)&lt;DMAX(F$113:J$403,F$113,O293:O294),COUNT(N$113:Q293)+1,""),IF(COUNT(N$113:Q293)&lt;DMAX(F$113:J$403,F$113,Q293:Q294),N$113,""))</f>
        <v/>
      </c>
      <c r="O294" s="222" t="str">
        <f>IF(O293=O$113,IF(COUNTA(L$111:L293)-2&lt;DMAX(F$113:J$403,F$113,Q292:Q293),Protokoll!I$1,""),IF(O293&lt;&gt;"",IF(COUNTA(L$111:L293)-1&lt;DMAX(F$113:J$403,F$113,O292:O293),O$113,""),""))</f>
        <v/>
      </c>
      <c r="P294" s="223" t="str">
        <f>IF(N293=N$113,IF(COUNT(N$113:Q293)&lt;DMAX(F$113:J$403,F$113,O293:O294),N$113,""),IF(COUNT(N$113:Q293)&lt;DMAX(F$113:J$403,F$113,Q293:Q294),COUNT(N$113:Q293)+1,""))</f>
        <v/>
      </c>
      <c r="Q294" s="199" t="str">
        <f>IF(O293=O$113,IF(COUNTA(L$111:L293)-2&lt;DMAX(F$113:J$403,F$113,Q292:Q293),O$113,""),IF(Q293&lt;&gt;"",IF(COUNTA(L$111:L293)-2&lt;DMAX(F$113:J$403,F$113,O292:O293),Protokoll!I$1,""),""))</f>
        <v/>
      </c>
      <c r="T294" s="331" t="str">
        <f>IF(OR(Protokoll!$X$5&lt;&gt;"",Lokalbeskrivn!$M$4&lt;&gt;""),"",U294)</f>
        <v/>
      </c>
      <c r="U294" s="330" t="s">
        <v>24</v>
      </c>
      <c r="V294" s="351">
        <v>118</v>
      </c>
      <c r="Y294" s="572" t="s">
        <v>1535</v>
      </c>
      <c r="Z294" s="572" t="s">
        <v>2208</v>
      </c>
      <c r="AB294" s="476" t="str">
        <f>IF(COUNT(AB293:AB293)&gt;0,MAX(AB293:AB293)+1,"")</f>
        <v/>
      </c>
      <c r="AC294" s="433" t="str">
        <f>IF(AND(AH294&lt;&gt;"",AG294&lt;&gt;"",AI294&gt;0,AH294&gt;0),MAX(AC$2:AC293)+1,"XX")</f>
        <v>XX</v>
      </c>
      <c r="AD294" s="430" t="str">
        <f>IF('Antal &amp; Längder (vikter)'!$C$38&lt;&gt;"",'Antal &amp; Längder (vikter)'!$C$38,"XX")</f>
        <v>XX</v>
      </c>
      <c r="AE294" s="408" t="str">
        <f>IF(AND('Antal &amp; Längder (vikter)'!F$40&lt;&gt;"",ISNUMBER($AH294)),'Antal &amp; Längder (vikter)'!F$40,"")</f>
        <v/>
      </c>
      <c r="AF294" s="425" t="str">
        <f t="shared" si="10"/>
        <v/>
      </c>
      <c r="AG294" s="426" t="str">
        <f t="shared" si="11"/>
        <v/>
      </c>
      <c r="AH294" s="409" t="str">
        <f>IF('Antal &amp; Längder (vikter)'!G$41="Längd (mm)",IF('Antal &amp; Längder (vikter)'!G43&lt;&gt;"",'Antal &amp; Längder (vikter)'!G43,"XX"),"XX")</f>
        <v>XX</v>
      </c>
      <c r="AI294" s="7">
        <v>-9</v>
      </c>
    </row>
    <row r="295" spans="5:35" x14ac:dyDescent="0.25">
      <c r="E295" s="2"/>
      <c r="F295" s="199">
        <f>COUNTIF(J$113:J295,J295)</f>
        <v>9</v>
      </c>
      <c r="G295" t="s">
        <v>310</v>
      </c>
      <c r="H295" s="330">
        <v>2181</v>
      </c>
      <c r="I295" s="330">
        <v>21</v>
      </c>
      <c r="J295" t="s">
        <v>117</v>
      </c>
      <c r="K295" s="143"/>
      <c r="L295" s="220" t="str">
        <f>IF(Protokoll!I$1&lt;&gt;"",IF(N294=N$113,IF(AND(DMAX(F$113:J$403,F$113,O294:O295)&gt;COUNTA(L$111:L294)-2,DCOUNTA(F$113:J$403,G$113,N294:O295)=1),DGET(F$113:J$403,G$113,N294:O295),""),IF(AND(DMAX(F$113:J$403,F$113,Q294:Q295)&gt;COUNTA(L$111:L294)-2,DCOUNTA(F$113:J$403,G$113,P294:Q295)=1),DGET(F$113:J$403,G$113,P294:Q295),"")),G295)</f>
        <v/>
      </c>
      <c r="M295" s="143"/>
      <c r="N295" s="221" t="str">
        <f>IF(N294=N$113,IF(COUNT(N$113:Q294)&lt;DMAX(F$113:J$403,F$113,O294:O295),COUNT(N$113:Q294)+1,""),IF(COUNT(N$113:Q294)&lt;DMAX(F$113:J$403,F$113,Q294:Q295),N$113,""))</f>
        <v/>
      </c>
      <c r="O295" s="222" t="str">
        <f>IF(O294=O$113,IF(COUNTA(L$111:L294)-2&lt;DMAX(F$113:J$403,F$113,Q293:Q294),Protokoll!I$1,""),IF(O294&lt;&gt;"",IF(COUNTA(L$111:L294)-1&lt;DMAX(F$113:J$403,F$113,O293:O294),O$113,""),""))</f>
        <v/>
      </c>
      <c r="P295" s="223" t="str">
        <f>IF(N294=N$113,IF(COUNT(N$113:Q294)&lt;DMAX(F$113:J$403,F$113,O294:O295),N$113,""),IF(COUNT(N$113:Q294)&lt;DMAX(F$113:J$403,F$113,Q294:Q295),COUNT(N$113:Q294)+1,""))</f>
        <v/>
      </c>
      <c r="Q295" s="199" t="str">
        <f>IF(O294=O$113,IF(COUNTA(L$111:L294)-2&lt;DMAX(F$113:J$403,F$113,Q293:Q294),O$113,""),IF(Q294&lt;&gt;"",IF(COUNTA(L$111:L294)-2&lt;DMAX(F$113:J$403,F$113,O293:O294),Protokoll!I$1,""),""))</f>
        <v/>
      </c>
      <c r="T295" s="331" t="str">
        <f>IF(OR(Protokoll!$X$5&lt;&gt;"",Lokalbeskrivn!$M$4&lt;&gt;""),"",U295)</f>
        <v/>
      </c>
      <c r="U295" s="358" t="s">
        <v>25</v>
      </c>
      <c r="V295" s="351">
        <v>118117</v>
      </c>
      <c r="Y295" s="572" t="s">
        <v>2206</v>
      </c>
      <c r="Z295" s="572" t="s">
        <v>2207</v>
      </c>
      <c r="AB295" s="477" t="str">
        <f>IF(COUNT(AB293:AB294)&gt;0,MAX(AB293:AB294)+1,"")</f>
        <v/>
      </c>
      <c r="AC295" s="433" t="str">
        <f>IF(AND(AH295&lt;&gt;"",AG295&lt;&gt;"",AI295&gt;0,AH295&gt;0),MAX(AC$2:AC294)+1,"XX")</f>
        <v>XX</v>
      </c>
      <c r="AD295" s="430" t="str">
        <f>IF('Antal &amp; Längder (vikter)'!$C$38&lt;&gt;"",'Antal &amp; Längder (vikter)'!$C$38,"XX")</f>
        <v>XX</v>
      </c>
      <c r="AE295" s="408" t="str">
        <f>IF(AND('Antal &amp; Längder (vikter)'!F$40&lt;&gt;"",ISNUMBER($AH295)),'Antal &amp; Längder (vikter)'!F$40,"")</f>
        <v/>
      </c>
      <c r="AF295" s="425" t="str">
        <f t="shared" si="10"/>
        <v/>
      </c>
      <c r="AG295" s="426" t="str">
        <f t="shared" si="11"/>
        <v/>
      </c>
      <c r="AH295" s="409" t="str">
        <f>IF('Antal &amp; Längder (vikter)'!G$41="Längd (mm)",IF('Antal &amp; Längder (vikter)'!G44&lt;&gt;"",'Antal &amp; Längder (vikter)'!G44,"XX"),"XX")</f>
        <v>XX</v>
      </c>
      <c r="AI295" s="7">
        <v>-9</v>
      </c>
    </row>
    <row r="296" spans="5:35" x14ac:dyDescent="0.25">
      <c r="E296" s="2"/>
      <c r="F296" s="199">
        <f>COUNTIF(J$113:J296,J296)</f>
        <v>13</v>
      </c>
      <c r="G296" t="s">
        <v>311</v>
      </c>
      <c r="H296" s="330">
        <v>191</v>
      </c>
      <c r="I296" s="330">
        <v>1</v>
      </c>
      <c r="J296" t="s">
        <v>136</v>
      </c>
      <c r="K296" s="143"/>
      <c r="L296" s="220" t="str">
        <f>IF(Protokoll!I$1&lt;&gt;"",IF(N295=N$113,IF(AND(DMAX(F$113:J$403,F$113,O295:O296)&gt;COUNTA(L$111:L295)-2,DCOUNTA(F$113:J$403,G$113,N295:O296)=1),DGET(F$113:J$403,G$113,N295:O296),""),IF(AND(DMAX(F$113:J$403,F$113,Q295:Q296)&gt;COUNTA(L$111:L295)-2,DCOUNTA(F$113:J$403,G$113,P295:Q296)=1),DGET(F$113:J$403,G$113,P295:Q296),"")),G296)</f>
        <v/>
      </c>
      <c r="M296" s="143"/>
      <c r="N296" s="221" t="str">
        <f>IF(N295=N$113,IF(COUNT(N$113:Q295)&lt;DMAX(F$113:J$403,F$113,O295:O296),COUNT(N$113:Q295)+1,""),IF(COUNT(N$113:Q295)&lt;DMAX(F$113:J$403,F$113,Q295:Q296),N$113,""))</f>
        <v/>
      </c>
      <c r="O296" s="222" t="str">
        <f>IF(O295=O$113,IF(COUNTA(L$111:L295)-2&lt;DMAX(F$113:J$403,F$113,Q294:Q295),Protokoll!I$1,""),IF(O295&lt;&gt;"",IF(COUNTA(L$111:L295)-1&lt;DMAX(F$113:J$403,F$113,O294:O295),O$113,""),""))</f>
        <v/>
      </c>
      <c r="P296" s="223" t="str">
        <f>IF(N295=N$113,IF(COUNT(N$113:Q295)&lt;DMAX(F$113:J$403,F$113,O295:O296),N$113,""),IF(COUNT(N$113:Q295)&lt;DMAX(F$113:J$403,F$113,Q295:Q296),COUNT(N$113:Q295)+1,""))</f>
        <v/>
      </c>
      <c r="Q296" s="199" t="str">
        <f>IF(O295=O$113,IF(COUNTA(L$111:L295)-2&lt;DMAX(F$113:J$403,F$113,Q294:Q295),O$113,""),IF(Q295&lt;&gt;"",IF(COUNTA(L$111:L295)-2&lt;DMAX(F$113:J$403,F$113,O294:O295),Protokoll!I$1,""),""))</f>
        <v/>
      </c>
      <c r="T296" s="331" t="str">
        <f>IF(OR(Protokoll!$X$5&lt;&gt;"",Lokalbeskrivn!$M$4&lt;&gt;""),"",U296)</f>
        <v/>
      </c>
      <c r="U296" s="330" t="s">
        <v>1021</v>
      </c>
      <c r="Y296" s="572" t="s">
        <v>1911</v>
      </c>
      <c r="Z296" s="572" t="s">
        <v>1911</v>
      </c>
      <c r="AB296" s="434" t="str">
        <f>IF(COUNT(AB293:AB295)&gt;0,MAX(AB293:AB295)+1,"")</f>
        <v/>
      </c>
      <c r="AC296" s="433" t="str">
        <f>IF(AND(AH296&lt;&gt;"",AG296&lt;&gt;"",AI296&gt;0,AH296&gt;0),MAX(AC$2:AC295)+1,"XX")</f>
        <v>XX</v>
      </c>
      <c r="AD296" s="430" t="str">
        <f>IF('Antal &amp; Längder (vikter)'!$C$38&lt;&gt;"",'Antal &amp; Längder (vikter)'!$C$38,"XX")</f>
        <v>XX</v>
      </c>
      <c r="AE296" s="408" t="str">
        <f>IF(AND('Antal &amp; Längder (vikter)'!F$40&lt;&gt;"",ISNUMBER($AH296)),'Antal &amp; Längder (vikter)'!F$40,"")</f>
        <v/>
      </c>
      <c r="AF296" s="425" t="str">
        <f t="shared" si="10"/>
        <v/>
      </c>
      <c r="AG296" s="426" t="str">
        <f t="shared" si="11"/>
        <v/>
      </c>
      <c r="AH296" s="409" t="str">
        <f>IF('Antal &amp; Längder (vikter)'!G$41="Längd (mm)",IF('Antal &amp; Längder (vikter)'!G45&lt;&gt;"",'Antal &amp; Längder (vikter)'!G45,"XX"),"XX")</f>
        <v>XX</v>
      </c>
      <c r="AI296" s="7">
        <v>-9</v>
      </c>
    </row>
    <row r="297" spans="5:35" x14ac:dyDescent="0.25">
      <c r="E297" s="2"/>
      <c r="F297" s="199">
        <f>COUNTIF(J$113:J297,J297)</f>
        <v>20</v>
      </c>
      <c r="G297" t="s">
        <v>312</v>
      </c>
      <c r="H297" s="330">
        <v>1291</v>
      </c>
      <c r="I297" s="330">
        <v>12</v>
      </c>
      <c r="J297" t="s">
        <v>134</v>
      </c>
      <c r="K297" s="143"/>
      <c r="L297" s="220" t="str">
        <f>IF(Protokoll!I$1&lt;&gt;"",IF(N296=N$113,IF(AND(DMAX(F$113:J$403,F$113,O296:O297)&gt;COUNTA(L$111:L296)-2,DCOUNTA(F$113:J$403,G$113,N296:O297)=1),DGET(F$113:J$403,G$113,N296:O297),""),IF(AND(DMAX(F$113:J$403,F$113,Q296:Q297)&gt;COUNTA(L$111:L296)-2,DCOUNTA(F$113:J$403,G$113,P296:Q297)=1),DGET(F$113:J$403,G$113,P296:Q297),"")),G297)</f>
        <v/>
      </c>
      <c r="M297" s="143"/>
      <c r="N297" s="221" t="str">
        <f>IF(N296=N$113,IF(COUNT(N$113:Q296)&lt;DMAX(F$113:J$403,F$113,O296:O297),COUNT(N$113:Q296)+1,""),IF(COUNT(N$113:Q296)&lt;DMAX(F$113:J$403,F$113,Q296:Q297),N$113,""))</f>
        <v/>
      </c>
      <c r="O297" s="222" t="str">
        <f>IF(O296=O$113,IF(COUNTA(L$111:L296)-2&lt;DMAX(F$113:J$403,F$113,Q295:Q296),Protokoll!I$1,""),IF(O296&lt;&gt;"",IF(COUNTA(L$111:L296)-1&lt;DMAX(F$113:J$403,F$113,O295:O296),O$113,""),""))</f>
        <v/>
      </c>
      <c r="P297" s="223" t="str">
        <f>IF(N296=N$113,IF(COUNT(N$113:Q296)&lt;DMAX(F$113:J$403,F$113,O296:O297),N$113,""),IF(COUNT(N$113:Q296)&lt;DMAX(F$113:J$403,F$113,Q296:Q297),COUNT(N$113:Q296)+1,""))</f>
        <v/>
      </c>
      <c r="Q297" s="199" t="str">
        <f>IF(O296=O$113,IF(COUNTA(L$111:L296)-2&lt;DMAX(F$113:J$403,F$113,Q295:Q296),O$113,""),IF(Q296&lt;&gt;"",IF(COUNTA(L$111:L296)-2&lt;DMAX(F$113:J$403,F$113,O295:O296),Protokoll!I$1,""),""))</f>
        <v/>
      </c>
      <c r="T297" s="331" t="str">
        <f>IF(OR(Protokoll!$X$5&lt;&gt;"",Lokalbeskrivn!$M$4&lt;&gt;""),"",U297)</f>
        <v/>
      </c>
      <c r="U297" s="330" t="s">
        <v>1023</v>
      </c>
      <c r="Y297" s="572" t="s">
        <v>1912</v>
      </c>
      <c r="Z297" s="572" t="s">
        <v>1913</v>
      </c>
      <c r="AB297" s="475" t="str">
        <f>IF(COUNT(AB293:AB296)&gt;0,MAX(AB293:AB296)+1,"")</f>
        <v/>
      </c>
      <c r="AC297" s="433" t="str">
        <f>IF(AND(AH297&lt;&gt;"",AG297&lt;&gt;"",AI297&gt;0,AH297&gt;0),MAX(AC$2:AC296)+1,"XX")</f>
        <v>XX</v>
      </c>
      <c r="AD297" s="430" t="str">
        <f>IF('Antal &amp; Längder (vikter)'!$C$38&lt;&gt;"",'Antal &amp; Längder (vikter)'!$C$38,"XX")</f>
        <v>XX</v>
      </c>
      <c r="AE297" s="408" t="str">
        <f>IF(AND('Antal &amp; Längder (vikter)'!F$40&lt;&gt;"",ISNUMBER($AH297)),'Antal &amp; Längder (vikter)'!F$40,"")</f>
        <v/>
      </c>
      <c r="AF297" s="425" t="str">
        <f t="shared" si="10"/>
        <v/>
      </c>
      <c r="AG297" s="426" t="str">
        <f t="shared" si="11"/>
        <v/>
      </c>
      <c r="AH297" s="409" t="str">
        <f>IF('Antal &amp; Längder (vikter)'!G$41="Längd (mm)",IF('Antal &amp; Längder (vikter)'!G46&lt;&gt;"",'Antal &amp; Längder (vikter)'!G46,"XX"),"XX")</f>
        <v>XX</v>
      </c>
      <c r="AI297" s="7">
        <v>-9</v>
      </c>
    </row>
    <row r="298" spans="5:35" x14ac:dyDescent="0.25">
      <c r="E298" s="2"/>
      <c r="F298" s="199">
        <f>COUNTIF(J$113:J298,J298)</f>
        <v>21</v>
      </c>
      <c r="G298" t="s">
        <v>313</v>
      </c>
      <c r="H298" s="330">
        <v>1265</v>
      </c>
      <c r="I298" s="330">
        <v>12</v>
      </c>
      <c r="J298" t="s">
        <v>134</v>
      </c>
      <c r="K298" s="143"/>
      <c r="L298" s="220" t="str">
        <f>IF(Protokoll!I$1&lt;&gt;"",IF(N297=N$113,IF(AND(DMAX(F$113:J$403,F$113,O297:O298)&gt;COUNTA(L$111:L297)-2,DCOUNTA(F$113:J$403,G$113,N297:O298)=1),DGET(F$113:J$403,G$113,N297:O298),""),IF(AND(DMAX(F$113:J$403,F$113,Q297:Q298)&gt;COUNTA(L$111:L297)-2,DCOUNTA(F$113:J$403,G$113,P297:Q298)=1),DGET(F$113:J$403,G$113,P297:Q298),"")),G298)</f>
        <v/>
      </c>
      <c r="M298" s="143"/>
      <c r="N298" s="221" t="str">
        <f>IF(N297=N$113,IF(COUNT(N$113:Q297)&lt;DMAX(F$113:J$403,F$113,O297:O298),COUNT(N$113:Q297)+1,""),IF(COUNT(N$113:Q297)&lt;DMAX(F$113:J$403,F$113,Q297:Q298),N$113,""))</f>
        <v/>
      </c>
      <c r="O298" s="222" t="str">
        <f>IF(O297=O$113,IF(COUNTA(L$111:L297)-2&lt;DMAX(F$113:J$403,F$113,Q296:Q297),Protokoll!I$1,""),IF(O297&lt;&gt;"",IF(COUNTA(L$111:L297)-1&lt;DMAX(F$113:J$403,F$113,O296:O297),O$113,""),""))</f>
        <v/>
      </c>
      <c r="P298" s="223" t="str">
        <f>IF(N297=N$113,IF(COUNT(N$113:Q297)&lt;DMAX(F$113:J$403,F$113,O297:O298),N$113,""),IF(COUNT(N$113:Q297)&lt;DMAX(F$113:J$403,F$113,Q297:Q298),COUNT(N$113:Q297)+1,""))</f>
        <v/>
      </c>
      <c r="Q298" s="199" t="str">
        <f>IF(O297=O$113,IF(COUNTA(L$111:L297)-2&lt;DMAX(F$113:J$403,F$113,Q296:Q297),O$113,""),IF(Q297&lt;&gt;"",IF(COUNTA(L$111:L297)-2&lt;DMAX(F$113:J$403,F$113,O296:O297),Protokoll!I$1,""),""))</f>
        <v/>
      </c>
      <c r="T298" s="331" t="str">
        <f>IF(OR(Protokoll!$X$5&lt;&gt;"",Lokalbeskrivn!$M$4&lt;&gt;""),"",U298)</f>
        <v/>
      </c>
      <c r="U298" s="330" t="s">
        <v>1025</v>
      </c>
      <c r="Y298" s="572" t="s">
        <v>1875</v>
      </c>
      <c r="Z298" s="572" t="s">
        <v>1876</v>
      </c>
      <c r="AB298" s="471" t="str">
        <f>IF(COUNT(AB293:AB297)&gt;0,MAX(AB293:AB297)+1,"")</f>
        <v/>
      </c>
      <c r="AC298" s="433" t="str">
        <f>IF(AND(AH298&lt;&gt;"",AG298&lt;&gt;"",AI298&gt;0,AH298&gt;0),MAX(AC$2:AC297)+1,"XX")</f>
        <v>XX</v>
      </c>
      <c r="AD298" s="430" t="str">
        <f>IF('Antal &amp; Längder (vikter)'!$C$38&lt;&gt;"",'Antal &amp; Längder (vikter)'!$C$38,"XX")</f>
        <v>XX</v>
      </c>
      <c r="AE298" s="408" t="str">
        <f>IF(AND('Antal &amp; Längder (vikter)'!F$40&lt;&gt;"",ISNUMBER($AH298)),'Antal &amp; Längder (vikter)'!F$40,"")</f>
        <v/>
      </c>
      <c r="AF298" s="425" t="str">
        <f t="shared" si="10"/>
        <v/>
      </c>
      <c r="AG298" s="426" t="str">
        <f t="shared" si="11"/>
        <v/>
      </c>
      <c r="AH298" s="409" t="str">
        <f>IF('Antal &amp; Längder (vikter)'!G$41="Längd (mm)",IF('Antal &amp; Längder (vikter)'!G47&lt;&gt;"",'Antal &amp; Längder (vikter)'!G47,"XX"),"XX")</f>
        <v>XX</v>
      </c>
      <c r="AI298" s="7">
        <v>-9</v>
      </c>
    </row>
    <row r="299" spans="5:35" x14ac:dyDescent="0.25">
      <c r="E299" s="2"/>
      <c r="F299" s="199">
        <f>COUNTIF(J$113:J299,J299)</f>
        <v>30</v>
      </c>
      <c r="G299" t="s">
        <v>314</v>
      </c>
      <c r="H299" s="330">
        <v>1495</v>
      </c>
      <c r="I299" s="330">
        <v>14</v>
      </c>
      <c r="J299" t="s">
        <v>114</v>
      </c>
      <c r="K299" s="143"/>
      <c r="L299" s="220" t="str">
        <f>IF(Protokoll!I$1&lt;&gt;"",IF(N298=N$113,IF(AND(DMAX(F$113:J$403,F$113,O298:O299)&gt;COUNTA(L$111:L298)-2,DCOUNTA(F$113:J$403,G$113,N298:O299)=1),DGET(F$113:J$403,G$113,N298:O299),""),IF(AND(DMAX(F$113:J$403,F$113,Q298:Q299)&gt;COUNTA(L$111:L298)-2,DCOUNTA(F$113:J$403,G$113,P298:Q299)=1),DGET(F$113:J$403,G$113,P298:Q299),"")),G299)</f>
        <v/>
      </c>
      <c r="M299" s="143"/>
      <c r="N299" s="221" t="str">
        <f>IF(N298=N$113,IF(COUNT(N$113:Q298)&lt;DMAX(F$113:J$403,F$113,O298:O299),COUNT(N$113:Q298)+1,""),IF(COUNT(N$113:Q298)&lt;DMAX(F$113:J$403,F$113,Q298:Q299),N$113,""))</f>
        <v/>
      </c>
      <c r="O299" s="222" t="str">
        <f>IF(O298=O$113,IF(COUNTA(L$111:L298)-2&lt;DMAX(F$113:J$403,F$113,Q297:Q298),Protokoll!I$1,""),IF(O298&lt;&gt;"",IF(COUNTA(L$111:L298)-1&lt;DMAX(F$113:J$403,F$113,O297:O298),O$113,""),""))</f>
        <v/>
      </c>
      <c r="P299" s="223" t="str">
        <f>IF(N298=N$113,IF(COUNT(N$113:Q298)&lt;DMAX(F$113:J$403,F$113,O298:O299),N$113,""),IF(COUNT(N$113:Q298)&lt;DMAX(F$113:J$403,F$113,Q298:Q299),COUNT(N$113:Q298)+1,""))</f>
        <v/>
      </c>
      <c r="Q299" s="199" t="str">
        <f>IF(O298=O$113,IF(COUNTA(L$111:L298)-2&lt;DMAX(F$113:J$403,F$113,Q297:Q298),O$113,""),IF(Q298&lt;&gt;"",IF(COUNTA(L$111:L298)-2&lt;DMAX(F$113:J$403,F$113,O297:O298),Protokoll!I$1,""),""))</f>
        <v/>
      </c>
      <c r="T299" s="331" t="str">
        <f>IF(OR(Protokoll!$X$5&lt;&gt;"",Lokalbeskrivn!$M$4&lt;&gt;""),"",U299)</f>
        <v/>
      </c>
      <c r="U299" s="330" t="s">
        <v>1027</v>
      </c>
      <c r="Y299" s="572" t="s">
        <v>1663</v>
      </c>
      <c r="Z299" s="572" t="s">
        <v>1664</v>
      </c>
      <c r="AB299" s="474" t="str">
        <f>IF(COUNT(AB293:AB298)&gt;0,MAX(AB293:AB298)+1,"")</f>
        <v/>
      </c>
      <c r="AC299" s="433" t="str">
        <f>IF(AND(AH299&lt;&gt;"",AG299&lt;&gt;"",AI299&gt;0,AH299&gt;0),MAX(AC$2:AC298)+1,"XX")</f>
        <v>XX</v>
      </c>
      <c r="AD299" s="430" t="str">
        <f>IF('Antal &amp; Längder (vikter)'!$C$38&lt;&gt;"",'Antal &amp; Längder (vikter)'!$C$38,"XX")</f>
        <v>XX</v>
      </c>
      <c r="AE299" s="408" t="str">
        <f>IF(AND('Antal &amp; Längder (vikter)'!F$40&lt;&gt;"",ISNUMBER($AH299)),'Antal &amp; Längder (vikter)'!F$40,"")</f>
        <v/>
      </c>
      <c r="AF299" s="425" t="str">
        <f t="shared" si="10"/>
        <v/>
      </c>
      <c r="AG299" s="426" t="str">
        <f t="shared" si="11"/>
        <v/>
      </c>
      <c r="AH299" s="409" t="str">
        <f>IF('Antal &amp; Längder (vikter)'!G$41="Längd (mm)",IF('Antal &amp; Längder (vikter)'!G48&lt;&gt;"",'Antal &amp; Längder (vikter)'!G48,"XX"),"XX")</f>
        <v>XX</v>
      </c>
      <c r="AI299" s="7">
        <v>-9</v>
      </c>
    </row>
    <row r="300" spans="5:35" x14ac:dyDescent="0.25">
      <c r="E300" s="2"/>
      <c r="F300" s="199">
        <f>COUNTIF(J$113:J300,J300)</f>
        <v>8</v>
      </c>
      <c r="G300" t="s">
        <v>315</v>
      </c>
      <c r="H300" s="330">
        <v>2482</v>
      </c>
      <c r="I300" s="330">
        <v>24</v>
      </c>
      <c r="J300" t="s">
        <v>142</v>
      </c>
      <c r="K300" s="143"/>
      <c r="L300" s="220" t="str">
        <f>IF(Protokoll!I$1&lt;&gt;"",IF(N299=N$113,IF(AND(DMAX(F$113:J$403,F$113,O299:O300)&gt;COUNTA(L$111:L299)-2,DCOUNTA(F$113:J$403,G$113,N299:O300)=1),DGET(F$113:J$403,G$113,N299:O300),""),IF(AND(DMAX(F$113:J$403,F$113,Q299:Q300)&gt;COUNTA(L$111:L299)-2,DCOUNTA(F$113:J$403,G$113,P299:Q300)=1),DGET(F$113:J$403,G$113,P299:Q300),"")),G300)</f>
        <v/>
      </c>
      <c r="M300" s="143"/>
      <c r="N300" s="221" t="str">
        <f>IF(N299=N$113,IF(COUNT(N$113:Q299)&lt;DMAX(F$113:J$403,F$113,O299:O300),COUNT(N$113:Q299)+1,""),IF(COUNT(N$113:Q299)&lt;DMAX(F$113:J$403,F$113,Q299:Q300),N$113,""))</f>
        <v/>
      </c>
      <c r="O300" s="222" t="str">
        <f>IF(O299=O$113,IF(COUNTA(L$111:L299)-2&lt;DMAX(F$113:J$403,F$113,Q298:Q299),Protokoll!I$1,""),IF(O299&lt;&gt;"",IF(COUNTA(L$111:L299)-1&lt;DMAX(F$113:J$403,F$113,O298:O299),O$113,""),""))</f>
        <v/>
      </c>
      <c r="P300" s="223" t="str">
        <f>IF(N299=N$113,IF(COUNT(N$113:Q299)&lt;DMAX(F$113:J$403,F$113,O299:O300),N$113,""),IF(COUNT(N$113:Q299)&lt;DMAX(F$113:J$403,F$113,Q299:Q300),COUNT(N$113:Q299)+1,""))</f>
        <v/>
      </c>
      <c r="Q300" s="199" t="str">
        <f>IF(O299=O$113,IF(COUNTA(L$111:L299)-2&lt;DMAX(F$113:J$403,F$113,Q298:Q299),O$113,""),IF(Q299&lt;&gt;"",IF(COUNTA(L$111:L299)-2&lt;DMAX(F$113:J$403,F$113,O298:O299),Protokoll!I$1,""),""))</f>
        <v/>
      </c>
      <c r="T300" s="331" t="str">
        <f>IF(OR(Protokoll!$X$5&lt;&gt;"",Lokalbeskrivn!$M$4&lt;&gt;""),"",U300)</f>
        <v/>
      </c>
      <c r="U300" s="330" t="s">
        <v>1029</v>
      </c>
      <c r="Y300" s="572" t="s">
        <v>2221</v>
      </c>
      <c r="Z300" s="572" t="s">
        <v>2222</v>
      </c>
      <c r="AB300" s="478" t="str">
        <f>IF(COUNT(AB293:AB299)&gt;0,MAX(AB293:AB299)+1,"")</f>
        <v/>
      </c>
      <c r="AC300" s="433" t="str">
        <f>IF(AND(AH300&lt;&gt;"",AG300&lt;&gt;"",AI300&gt;0,AH300&gt;0),MAX(AC$2:AC299)+1,"XX")</f>
        <v>XX</v>
      </c>
      <c r="AD300" s="430" t="str">
        <f>IF('Antal &amp; Längder (vikter)'!$C$38&lt;&gt;"",'Antal &amp; Längder (vikter)'!$C$38,"XX")</f>
        <v>XX</v>
      </c>
      <c r="AE300" s="408" t="str">
        <f>IF(AND('Antal &amp; Längder (vikter)'!F$40&lt;&gt;"",ISNUMBER($AH300)),'Antal &amp; Längder (vikter)'!F$40,"")</f>
        <v/>
      </c>
      <c r="AF300" s="425" t="str">
        <f t="shared" si="10"/>
        <v/>
      </c>
      <c r="AG300" s="426" t="str">
        <f t="shared" si="11"/>
        <v/>
      </c>
      <c r="AH300" s="409" t="str">
        <f>IF('Antal &amp; Längder (vikter)'!G$41="Längd (mm)",IF('Antal &amp; Längder (vikter)'!G49&lt;&gt;"",'Antal &amp; Längder (vikter)'!G49,"XX"),"XX")</f>
        <v>XX</v>
      </c>
      <c r="AI300" s="7">
        <v>-9</v>
      </c>
    </row>
    <row r="301" spans="5:35" x14ac:dyDescent="0.25">
      <c r="E301" s="2"/>
      <c r="F301" s="199">
        <f>COUNTIF(J$113:J301,J301)</f>
        <v>9</v>
      </c>
      <c r="G301" t="s">
        <v>316</v>
      </c>
      <c r="H301" s="330">
        <v>1904</v>
      </c>
      <c r="I301" s="330">
        <v>19</v>
      </c>
      <c r="J301" t="s">
        <v>125</v>
      </c>
      <c r="K301" s="143"/>
      <c r="L301" s="220" t="str">
        <f>IF(Protokoll!I$1&lt;&gt;"",IF(N300=N$113,IF(AND(DMAX(F$113:J$403,F$113,O300:O301)&gt;COUNTA(L$111:L300)-2,DCOUNTA(F$113:J$403,G$113,N300:O301)=1),DGET(F$113:J$403,G$113,N300:O301),""),IF(AND(DMAX(F$113:J$403,F$113,Q300:Q301)&gt;COUNTA(L$111:L300)-2,DCOUNTA(F$113:J$403,G$113,P300:Q301)=1),DGET(F$113:J$403,G$113,P300:Q301),"")),G301)</f>
        <v/>
      </c>
      <c r="M301" s="143"/>
      <c r="N301" s="221" t="str">
        <f>IF(N300=N$113,IF(COUNT(N$113:Q300)&lt;DMAX(F$113:J$403,F$113,O300:O301),COUNT(N$113:Q300)+1,""),IF(COUNT(N$113:Q300)&lt;DMAX(F$113:J$403,F$113,Q300:Q301),N$113,""))</f>
        <v/>
      </c>
      <c r="O301" s="222" t="str">
        <f>IF(O300=O$113,IF(COUNTA(L$111:L300)-2&lt;DMAX(F$113:J$403,F$113,Q299:Q300),Protokoll!I$1,""),IF(O300&lt;&gt;"",IF(COUNTA(L$111:L300)-1&lt;DMAX(F$113:J$403,F$113,O299:O300),O$113,""),""))</f>
        <v/>
      </c>
      <c r="P301" s="223" t="str">
        <f>IF(N300=N$113,IF(COUNT(N$113:Q300)&lt;DMAX(F$113:J$403,F$113,O300:O301),N$113,""),IF(COUNT(N$113:Q300)&lt;DMAX(F$113:J$403,F$113,Q300:Q301),COUNT(N$113:Q300)+1,""))</f>
        <v/>
      </c>
      <c r="Q301" s="199" t="str">
        <f>IF(O300=O$113,IF(COUNTA(L$111:L300)-2&lt;DMAX(F$113:J$403,F$113,Q299:Q300),O$113,""),IF(Q300&lt;&gt;"",IF(COUNTA(L$111:L300)-2&lt;DMAX(F$113:J$403,F$113,O299:O300),Protokoll!I$1,""),""))</f>
        <v/>
      </c>
      <c r="T301" s="331" t="str">
        <f>IF(OR(Protokoll!$X$5&lt;&gt;"",Lokalbeskrivn!$M$4&lt;&gt;""),"",U301)</f>
        <v/>
      </c>
      <c r="U301" s="330" t="s">
        <v>1031</v>
      </c>
      <c r="Y301" s="572" t="s">
        <v>1914</v>
      </c>
      <c r="Z301" s="572" t="s">
        <v>2465</v>
      </c>
      <c r="AB301" s="472" t="str">
        <f>IF(COUNT(AB293:AB300)&gt;0,MAX(AB293:AB300)+1,"")</f>
        <v/>
      </c>
      <c r="AC301" s="433" t="str">
        <f>IF(AND(AH301&lt;&gt;"",AG301&lt;&gt;"",AI301&gt;0,AH301&gt;0),MAX(AC$2:AC300)+1,"XX")</f>
        <v>XX</v>
      </c>
      <c r="AD301" s="430" t="str">
        <f>IF('Antal &amp; Längder (vikter)'!$C$38&lt;&gt;"",'Antal &amp; Längder (vikter)'!$C$38,"XX")</f>
        <v>XX</v>
      </c>
      <c r="AE301" s="408" t="str">
        <f>IF(AND('Antal &amp; Längder (vikter)'!F$40&lt;&gt;"",ISNUMBER($AH301)),'Antal &amp; Längder (vikter)'!F$40,"")</f>
        <v/>
      </c>
      <c r="AF301" s="425" t="str">
        <f t="shared" si="10"/>
        <v/>
      </c>
      <c r="AG301" s="426" t="str">
        <f t="shared" si="11"/>
        <v/>
      </c>
      <c r="AH301" s="409" t="str">
        <f>IF('Antal &amp; Längder (vikter)'!G$41="Längd (mm)",IF('Antal &amp; Längder (vikter)'!G50&lt;&gt;"",'Antal &amp; Längder (vikter)'!G50,"XX"),"XX")</f>
        <v>XX</v>
      </c>
      <c r="AI301" s="7">
        <v>-9</v>
      </c>
    </row>
    <row r="302" spans="5:35" x14ac:dyDescent="0.25">
      <c r="E302" s="2"/>
      <c r="F302" s="199">
        <f>COUNTIF(J$113:J302,J302)</f>
        <v>22</v>
      </c>
      <c r="G302" t="s">
        <v>317</v>
      </c>
      <c r="H302" s="330">
        <v>1264</v>
      </c>
      <c r="I302" s="330">
        <v>12</v>
      </c>
      <c r="J302" t="s">
        <v>134</v>
      </c>
      <c r="K302" s="143"/>
      <c r="L302" s="220" t="str">
        <f>IF(Protokoll!I$1&lt;&gt;"",IF(N301=N$113,IF(AND(DMAX(F$113:J$403,F$113,O301:O302)&gt;COUNTA(L$111:L301)-2,DCOUNTA(F$113:J$403,G$113,N301:O302)=1),DGET(F$113:J$403,G$113,N301:O302),""),IF(AND(DMAX(F$113:J$403,F$113,Q301:Q302)&gt;COUNTA(L$111:L301)-2,DCOUNTA(F$113:J$403,G$113,P301:Q302)=1),DGET(F$113:J$403,G$113,P301:Q302),"")),G302)</f>
        <v/>
      </c>
      <c r="M302" s="143"/>
      <c r="N302" s="221" t="str">
        <f>IF(N301=N$113,IF(COUNT(N$113:Q301)&lt;DMAX(F$113:J$403,F$113,O301:O302),COUNT(N$113:Q301)+1,""),IF(COUNT(N$113:Q301)&lt;DMAX(F$113:J$403,F$113,Q301:Q302),N$113,""))</f>
        <v/>
      </c>
      <c r="O302" s="222" t="str">
        <f>IF(O301=O$113,IF(COUNTA(L$111:L301)-2&lt;DMAX(F$113:J$403,F$113,Q300:Q301),Protokoll!I$1,""),IF(O301&lt;&gt;"",IF(COUNTA(L$111:L301)-1&lt;DMAX(F$113:J$403,F$113,O300:O301),O$113,""),""))</f>
        <v/>
      </c>
      <c r="P302" s="223" t="str">
        <f>IF(N301=N$113,IF(COUNT(N$113:Q301)&lt;DMAX(F$113:J$403,F$113,O301:O302),N$113,""),IF(COUNT(N$113:Q301)&lt;DMAX(F$113:J$403,F$113,Q301:Q302),COUNT(N$113:Q301)+1,""))</f>
        <v/>
      </c>
      <c r="Q302" s="199" t="str">
        <f>IF(O301=O$113,IF(COUNTA(L$111:L301)-2&lt;DMAX(F$113:J$403,F$113,Q300:Q301),O$113,""),IF(Q301&lt;&gt;"",IF(COUNTA(L$111:L301)-2&lt;DMAX(F$113:J$403,F$113,O300:O301),Protokoll!I$1,""),""))</f>
        <v/>
      </c>
      <c r="T302" s="331" t="str">
        <f>IF(OR(Protokoll!$X$5&lt;&gt;"",Lokalbeskrivn!$M$4&lt;&gt;""),"",U302)</f>
        <v/>
      </c>
      <c r="U302" s="330" t="s">
        <v>1033</v>
      </c>
      <c r="X302" s="1"/>
      <c r="Y302" s="572" t="s">
        <v>1755</v>
      </c>
      <c r="Z302" s="572" t="s">
        <v>1756</v>
      </c>
      <c r="AB302" s="479" t="str">
        <f>IF(COUNT(AB293:AB301)&gt;0,MAX(AB293:AB301)+1,"")</f>
        <v/>
      </c>
      <c r="AC302" s="433" t="str">
        <f>IF(AND(AH302&lt;&gt;"",AG302&lt;&gt;"",AI302&gt;0,AH302&gt;0),MAX(AC$2:AC301)+1,"XX")</f>
        <v>XX</v>
      </c>
      <c r="AD302" s="430" t="str">
        <f>IF('Antal &amp; Längder (vikter)'!$C$38&lt;&gt;"",'Antal &amp; Längder (vikter)'!$C$38,"XX")</f>
        <v>XX</v>
      </c>
      <c r="AE302" s="408" t="str">
        <f>IF(AND('Antal &amp; Längder (vikter)'!F$40&lt;&gt;"",ISNUMBER($AH302)),'Antal &amp; Längder (vikter)'!F$40,"")</f>
        <v/>
      </c>
      <c r="AF302" s="425" t="str">
        <f t="shared" si="10"/>
        <v/>
      </c>
      <c r="AG302" s="426" t="str">
        <f t="shared" si="11"/>
        <v/>
      </c>
      <c r="AH302" s="409" t="str">
        <f>IF('Antal &amp; Längder (vikter)'!G$41="Längd (mm)",IF('Antal &amp; Längder (vikter)'!G51&lt;&gt;"",'Antal &amp; Längder (vikter)'!G51,"XX"),"XX")</f>
        <v>XX</v>
      </c>
      <c r="AI302" s="7">
        <v>-9</v>
      </c>
    </row>
    <row r="303" spans="5:35" x14ac:dyDescent="0.25">
      <c r="E303" s="2"/>
      <c r="F303" s="199">
        <f>COUNTIF(J$113:J303,J303)</f>
        <v>31</v>
      </c>
      <c r="G303" t="s">
        <v>318</v>
      </c>
      <c r="H303" s="330">
        <v>1496</v>
      </c>
      <c r="I303" s="330">
        <v>14</v>
      </c>
      <c r="J303" t="s">
        <v>114</v>
      </c>
      <c r="K303" s="143"/>
      <c r="L303" s="220" t="str">
        <f>IF(Protokoll!I$1&lt;&gt;"",IF(N302=N$113,IF(AND(DMAX(F$113:J$403,F$113,O302:O303)&gt;COUNTA(L$111:L302)-2,DCOUNTA(F$113:J$403,G$113,N302:O303)=1),DGET(F$113:J$403,G$113,N302:O303),""),IF(AND(DMAX(F$113:J$403,F$113,Q302:Q303)&gt;COUNTA(L$111:L302)-2,DCOUNTA(F$113:J$403,G$113,P302:Q303)=1),DGET(F$113:J$403,G$113,P302:Q303),"")),G303)</f>
        <v/>
      </c>
      <c r="M303" s="143"/>
      <c r="N303" s="221" t="str">
        <f>IF(N302=N$113,IF(COUNT(N$113:Q302)&lt;DMAX(F$113:J$403,F$113,O302:O303),COUNT(N$113:Q302)+1,""),IF(COUNT(N$113:Q302)&lt;DMAX(F$113:J$403,F$113,Q302:Q303),N$113,""))</f>
        <v/>
      </c>
      <c r="O303" s="222" t="str">
        <f>IF(O302=O$113,IF(COUNTA(L$111:L302)-2&lt;DMAX(F$113:J$403,F$113,Q301:Q302),Protokoll!I$1,""),IF(O302&lt;&gt;"",IF(COUNTA(L$111:L302)-1&lt;DMAX(F$113:J$403,F$113,O301:O302),O$113,""),""))</f>
        <v/>
      </c>
      <c r="P303" s="223" t="str">
        <f>IF(N302=N$113,IF(COUNT(N$113:Q302)&lt;DMAX(F$113:J$403,F$113,O302:O303),N$113,""),IF(COUNT(N$113:Q302)&lt;DMAX(F$113:J$403,F$113,Q302:Q303),COUNT(N$113:Q302)+1,""))</f>
        <v/>
      </c>
      <c r="Q303" s="199" t="str">
        <f>IF(O302=O$113,IF(COUNTA(L$111:L302)-2&lt;DMAX(F$113:J$403,F$113,Q301:Q302),O$113,""),IF(Q302&lt;&gt;"",IF(COUNTA(L$111:L302)-2&lt;DMAX(F$113:J$403,F$113,O301:O302),Protokoll!I$1,""),""))</f>
        <v/>
      </c>
      <c r="T303" s="331" t="str">
        <f>IF(OR(Protokoll!$X$5&lt;&gt;"",Lokalbeskrivn!$M$4&lt;&gt;""),"",U303)</f>
        <v/>
      </c>
      <c r="U303" s="330" t="s">
        <v>1035</v>
      </c>
      <c r="Y303" s="572" t="s">
        <v>2217</v>
      </c>
      <c r="Z303" s="572" t="s">
        <v>2218</v>
      </c>
      <c r="AB303" s="480" t="str">
        <f>IF(AND(ISNUMBER(AH303),AH303&gt;0),IF(MAX(AB$3:AB302)&gt;0,MAX(AB$3:AB302)+1,10+COUNTIF(F$38:F$49,"&gt;0")*10+1),"")</f>
        <v/>
      </c>
      <c r="AC303" s="433" t="str">
        <f>IF(AND(AH303&lt;&gt;"",AG303&lt;&gt;"",AI303&gt;0,AH303&gt;0),MAX(AC$2:AC302)+1,"XX")</f>
        <v>XX</v>
      </c>
      <c r="AD303" s="430" t="str">
        <f>IF('Antal &amp; Längder (vikter)'!$C$38&lt;&gt;"",'Antal &amp; Längder (vikter)'!$C$38,"XX")</f>
        <v>XX</v>
      </c>
      <c r="AE303" s="416" t="str">
        <f>IF(AND('Antal &amp; Längder (vikter)'!H$40&lt;&gt;"",ISNUMBER($AH303)),'Antal &amp; Längder (vikter)'!H$40,"")</f>
        <v/>
      </c>
      <c r="AF303" s="425" t="str">
        <f t="shared" si="10"/>
        <v/>
      </c>
      <c r="AG303" s="426" t="str">
        <f t="shared" si="11"/>
        <v/>
      </c>
      <c r="AH303" s="407" t="str">
        <f>IF('Antal &amp; Längder (vikter)'!H42&lt;&gt;"",'Antal &amp; Längder (vikter)'!H42,"XX")</f>
        <v>XX</v>
      </c>
      <c r="AI303" s="405">
        <f>IF('Antal &amp; Längder (vikter)'!I$41="Vikt (g)",IF('Antal &amp; Längder (vikter)'!I42&lt;&gt;"",'Antal &amp; Längder (vikter)'!I42,-9),-9)</f>
        <v>-9</v>
      </c>
    </row>
    <row r="304" spans="5:35" x14ac:dyDescent="0.25">
      <c r="E304" s="2"/>
      <c r="F304" s="199">
        <f>COUNTIF(J$113:J304,J304)</f>
        <v>12</v>
      </c>
      <c r="G304" t="s">
        <v>319</v>
      </c>
      <c r="H304" s="330">
        <v>2061</v>
      </c>
      <c r="I304" s="330">
        <v>20</v>
      </c>
      <c r="J304" t="s">
        <v>112</v>
      </c>
      <c r="K304" s="143"/>
      <c r="L304" s="220" t="str">
        <f>IF(Protokoll!I$1&lt;&gt;"",IF(N303=N$113,IF(AND(DMAX(F$113:J$403,F$113,O303:O304)&gt;COUNTA(L$111:L303)-2,DCOUNTA(F$113:J$403,G$113,N303:O304)=1),DGET(F$113:J$403,G$113,N303:O304),""),IF(AND(DMAX(F$113:J$403,F$113,Q303:Q304)&gt;COUNTA(L$111:L303)-2,DCOUNTA(F$113:J$403,G$113,P303:Q304)=1),DGET(F$113:J$403,G$113,P303:Q304),"")),G304)</f>
        <v/>
      </c>
      <c r="M304" s="143"/>
      <c r="N304" s="221" t="str">
        <f>IF(N303=N$113,IF(COUNT(N$113:Q303)&lt;DMAX(F$113:J$403,F$113,O303:O304),COUNT(N$113:Q303)+1,""),IF(COUNT(N$113:Q303)&lt;DMAX(F$113:J$403,F$113,Q303:Q304),N$113,""))</f>
        <v/>
      </c>
      <c r="O304" s="222" t="str">
        <f>IF(O303=O$113,IF(COUNTA(L$111:L303)-2&lt;DMAX(F$113:J$403,F$113,Q302:Q303),Protokoll!I$1,""),IF(O303&lt;&gt;"",IF(COUNTA(L$111:L303)-1&lt;DMAX(F$113:J$403,F$113,O302:O303),O$113,""),""))</f>
        <v/>
      </c>
      <c r="P304" s="223" t="str">
        <f>IF(N303=N$113,IF(COUNT(N$113:Q303)&lt;DMAX(F$113:J$403,F$113,O303:O304),N$113,""),IF(COUNT(N$113:Q303)&lt;DMAX(F$113:J$403,F$113,Q303:Q304),COUNT(N$113:Q303)+1,""))</f>
        <v/>
      </c>
      <c r="Q304" s="199" t="str">
        <f>IF(O303=O$113,IF(COUNTA(L$111:L303)-2&lt;DMAX(F$113:J$403,F$113,Q302:Q303),O$113,""),IF(Q303&lt;&gt;"",IF(COUNTA(L$111:L303)-2&lt;DMAX(F$113:J$403,F$113,O302:O303),Protokoll!I$1,""),""))</f>
        <v/>
      </c>
      <c r="T304" s="331" t="str">
        <f>IF(OR(Protokoll!$X$5&lt;&gt;"",Lokalbeskrivn!$M$4&lt;&gt;""),"",U304)</f>
        <v/>
      </c>
      <c r="U304" s="330" t="s">
        <v>1037</v>
      </c>
      <c r="Y304" s="572" t="s">
        <v>2466</v>
      </c>
      <c r="Z304" s="572" t="s">
        <v>2467</v>
      </c>
      <c r="AB304" s="476" t="str">
        <f>IF(COUNT(AB303:AB303)&gt;0,MAX(AB303:AB303)+1,"")</f>
        <v/>
      </c>
      <c r="AC304" s="433" t="str">
        <f>IF(AND(AH304&lt;&gt;"",AG304&lt;&gt;"",AI304&gt;0,AH304&gt;0),MAX(AC$2:AC303)+1,"XX")</f>
        <v>XX</v>
      </c>
      <c r="AD304" s="430" t="str">
        <f>IF('Antal &amp; Längder (vikter)'!$C$38&lt;&gt;"",'Antal &amp; Längder (vikter)'!$C$38,"XX")</f>
        <v>XX</v>
      </c>
      <c r="AE304" s="416" t="str">
        <f>IF(AND('Antal &amp; Längder (vikter)'!H$40&lt;&gt;"",ISNUMBER($AH304)),'Antal &amp; Längder (vikter)'!H$40,"")</f>
        <v/>
      </c>
      <c r="AF304" s="425" t="str">
        <f t="shared" si="10"/>
        <v/>
      </c>
      <c r="AG304" s="426" t="str">
        <f t="shared" si="11"/>
        <v/>
      </c>
      <c r="AH304" s="407" t="str">
        <f>IF('Antal &amp; Längder (vikter)'!H43&lt;&gt;"",'Antal &amp; Längder (vikter)'!H43,"XX")</f>
        <v>XX</v>
      </c>
      <c r="AI304" s="405">
        <f>IF('Antal &amp; Längder (vikter)'!I$41="Vikt (g)",IF('Antal &amp; Längder (vikter)'!I43&lt;&gt;"",'Antal &amp; Längder (vikter)'!I43,-9),-9)</f>
        <v>-9</v>
      </c>
    </row>
    <row r="305" spans="5:35" x14ac:dyDescent="0.25">
      <c r="E305" s="2"/>
      <c r="F305" s="199">
        <f>COUNTIF(J$113:J305,J305)</f>
        <v>3</v>
      </c>
      <c r="G305" t="s">
        <v>320</v>
      </c>
      <c r="H305" s="330">
        <v>2283</v>
      </c>
      <c r="I305" s="330">
        <v>22</v>
      </c>
      <c r="J305" t="s">
        <v>145</v>
      </c>
      <c r="K305" s="143"/>
      <c r="L305" s="220" t="str">
        <f>IF(Protokoll!I$1&lt;&gt;"",IF(N304=N$113,IF(AND(DMAX(F$113:J$403,F$113,O304:O305)&gt;COUNTA(L$111:L304)-2,DCOUNTA(F$113:J$403,G$113,N304:O305)=1),DGET(F$113:J$403,G$113,N304:O305),""),IF(AND(DMAX(F$113:J$403,F$113,Q304:Q305)&gt;COUNTA(L$111:L304)-2,DCOUNTA(F$113:J$403,G$113,P304:Q305)=1),DGET(F$113:J$403,G$113,P304:Q305),"")),G305)</f>
        <v/>
      </c>
      <c r="M305" s="143"/>
      <c r="N305" s="221" t="str">
        <f>IF(N304=N$113,IF(COUNT(N$113:Q304)&lt;DMAX(F$113:J$403,F$113,O304:O305),COUNT(N$113:Q304)+1,""),IF(COUNT(N$113:Q304)&lt;DMAX(F$113:J$403,F$113,Q304:Q305),N$113,""))</f>
        <v/>
      </c>
      <c r="O305" s="222" t="str">
        <f>IF(O304=O$113,IF(COUNTA(L$111:L304)-2&lt;DMAX(F$113:J$403,F$113,Q303:Q304),Protokoll!I$1,""),IF(O304&lt;&gt;"",IF(COUNTA(L$111:L304)-1&lt;DMAX(F$113:J$403,F$113,O303:O304),O$113,""),""))</f>
        <v/>
      </c>
      <c r="P305" s="223" t="str">
        <f>IF(N304=N$113,IF(COUNT(N$113:Q304)&lt;DMAX(F$113:J$403,F$113,O304:O305),N$113,""),IF(COUNT(N$113:Q304)&lt;DMAX(F$113:J$403,F$113,Q304:Q305),COUNT(N$113:Q304)+1,""))</f>
        <v/>
      </c>
      <c r="Q305" s="199" t="str">
        <f>IF(O304=O$113,IF(COUNTA(L$111:L304)-2&lt;DMAX(F$113:J$403,F$113,Q303:Q304),O$113,""),IF(Q304&lt;&gt;"",IF(COUNTA(L$111:L304)-2&lt;DMAX(F$113:J$403,F$113,O303:O304),Protokoll!I$1,""),""))</f>
        <v/>
      </c>
      <c r="T305" s="331" t="str">
        <f>IF(OR(Protokoll!$X$5&lt;&gt;"",Lokalbeskrivn!$M$4&lt;&gt;""),"",U305)</f>
        <v/>
      </c>
      <c r="U305" s="330" t="s">
        <v>1039</v>
      </c>
      <c r="Y305" s="572" t="s">
        <v>1751</v>
      </c>
      <c r="Z305" s="572" t="s">
        <v>1752</v>
      </c>
      <c r="AB305" s="477" t="str">
        <f>IF(COUNT(AB303:AB304)&gt;0,MAX(AB303:AB304)+1,"")</f>
        <v/>
      </c>
      <c r="AC305" s="433" t="str">
        <f>IF(AND(AH305&lt;&gt;"",AG305&lt;&gt;"",AI305&gt;0,AH305&gt;0),MAX(AC$2:AC304)+1,"XX")</f>
        <v>XX</v>
      </c>
      <c r="AD305" s="430" t="str">
        <f>IF('Antal &amp; Längder (vikter)'!$C$38&lt;&gt;"",'Antal &amp; Längder (vikter)'!$C$38,"XX")</f>
        <v>XX</v>
      </c>
      <c r="AE305" s="416" t="str">
        <f>IF(AND('Antal &amp; Längder (vikter)'!H$40&lt;&gt;"",ISNUMBER($AH305)),'Antal &amp; Längder (vikter)'!H$40,"")</f>
        <v/>
      </c>
      <c r="AF305" s="425" t="str">
        <f t="shared" si="10"/>
        <v/>
      </c>
      <c r="AG305" s="426" t="str">
        <f t="shared" si="11"/>
        <v/>
      </c>
      <c r="AH305" s="407" t="str">
        <f>IF('Antal &amp; Längder (vikter)'!H44&lt;&gt;"",'Antal &amp; Längder (vikter)'!H44,"XX")</f>
        <v>XX</v>
      </c>
      <c r="AI305" s="405">
        <f>IF('Antal &amp; Längder (vikter)'!I$41="Vikt (g)",IF('Antal &amp; Längder (vikter)'!I44&lt;&gt;"",'Antal &amp; Längder (vikter)'!I44,-9),-9)</f>
        <v>-9</v>
      </c>
    </row>
    <row r="306" spans="5:35" x14ac:dyDescent="0.25">
      <c r="E306" s="2"/>
      <c r="F306" s="199">
        <f>COUNTIF(J$113:J306,J306)</f>
        <v>14</v>
      </c>
      <c r="G306" t="s">
        <v>321</v>
      </c>
      <c r="H306" s="330">
        <v>163</v>
      </c>
      <c r="I306" s="330">
        <v>1</v>
      </c>
      <c r="J306" t="s">
        <v>136</v>
      </c>
      <c r="K306" s="143"/>
      <c r="L306" s="220" t="str">
        <f>IF(Protokoll!I$1&lt;&gt;"",IF(N305=N$113,IF(AND(DMAX(F$113:J$403,F$113,O305:O306)&gt;COUNTA(L$111:L305)-2,DCOUNTA(F$113:J$403,G$113,N305:O306)=1),DGET(F$113:J$403,G$113,N305:O306),""),IF(AND(DMAX(F$113:J$403,F$113,Q305:Q306)&gt;COUNTA(L$111:L305)-2,DCOUNTA(F$113:J$403,G$113,P305:Q306)=1),DGET(F$113:J$403,G$113,P305:Q306),"")),G306)</f>
        <v/>
      </c>
      <c r="M306" s="143"/>
      <c r="N306" s="221" t="str">
        <f>IF(N305=N$113,IF(COUNT(N$113:Q305)&lt;DMAX(F$113:J$403,F$113,O305:O306),COUNT(N$113:Q305)+1,""),IF(COUNT(N$113:Q305)&lt;DMAX(F$113:J$403,F$113,Q305:Q306),N$113,""))</f>
        <v/>
      </c>
      <c r="O306" s="222" t="str">
        <f>IF(O305=O$113,IF(COUNTA(L$111:L305)-2&lt;DMAX(F$113:J$403,F$113,Q304:Q305),Protokoll!I$1,""),IF(O305&lt;&gt;"",IF(COUNTA(L$111:L305)-1&lt;DMAX(F$113:J$403,F$113,O304:O305),O$113,""),""))</f>
        <v/>
      </c>
      <c r="P306" s="223" t="str">
        <f>IF(N305=N$113,IF(COUNT(N$113:Q305)&lt;DMAX(F$113:J$403,F$113,O305:O306),N$113,""),IF(COUNT(N$113:Q305)&lt;DMAX(F$113:J$403,F$113,Q305:Q306),COUNT(N$113:Q305)+1,""))</f>
        <v/>
      </c>
      <c r="Q306" s="199" t="str">
        <f>IF(O305=O$113,IF(COUNTA(L$111:L305)-2&lt;DMAX(F$113:J$403,F$113,Q304:Q305),O$113,""),IF(Q305&lt;&gt;"",IF(COUNTA(L$111:L305)-2&lt;DMAX(F$113:J$403,F$113,O304:O305),Protokoll!I$1,""),""))</f>
        <v/>
      </c>
      <c r="T306" s="331" t="str">
        <f>IF(OR(Protokoll!$X$5&lt;&gt;"",Lokalbeskrivn!$M$4&lt;&gt;""),"",U306)</f>
        <v/>
      </c>
      <c r="U306" s="330" t="s">
        <v>1041</v>
      </c>
      <c r="Y306" s="572" t="s">
        <v>2175</v>
      </c>
      <c r="Z306" s="572" t="s">
        <v>2176</v>
      </c>
      <c r="AB306" s="434" t="str">
        <f>IF(COUNT(AB303:AB305)&gt;0,MAX(AB303:AB305)+1,"")</f>
        <v/>
      </c>
      <c r="AC306" s="433" t="str">
        <f>IF(AND(AH306&lt;&gt;"",AG306&lt;&gt;"",AI306&gt;0,AH306&gt;0),MAX(AC$2:AC305)+1,"XX")</f>
        <v>XX</v>
      </c>
      <c r="AD306" s="430" t="str">
        <f>IF('Antal &amp; Längder (vikter)'!$C$38&lt;&gt;"",'Antal &amp; Längder (vikter)'!$C$38,"XX")</f>
        <v>XX</v>
      </c>
      <c r="AE306" s="416" t="str">
        <f>IF(AND('Antal &amp; Längder (vikter)'!H$40&lt;&gt;"",ISNUMBER($AH306)),'Antal &amp; Längder (vikter)'!H$40,"")</f>
        <v/>
      </c>
      <c r="AF306" s="425" t="str">
        <f t="shared" si="10"/>
        <v/>
      </c>
      <c r="AG306" s="426" t="str">
        <f t="shared" si="11"/>
        <v/>
      </c>
      <c r="AH306" s="407" t="str">
        <f>IF('Antal &amp; Längder (vikter)'!H45&lt;&gt;"",'Antal &amp; Längder (vikter)'!H45,"XX")</f>
        <v>XX</v>
      </c>
      <c r="AI306" s="405">
        <f>IF('Antal &amp; Längder (vikter)'!I$41="Vikt (g)",IF('Antal &amp; Längder (vikter)'!I45&lt;&gt;"",'Antal &amp; Längder (vikter)'!I45,-9),-9)</f>
        <v>-9</v>
      </c>
    </row>
    <row r="307" spans="5:35" x14ac:dyDescent="0.25">
      <c r="E307" s="2"/>
      <c r="F307" s="199">
        <f>COUNTIF(J$113:J307,J307)</f>
        <v>15</v>
      </c>
      <c r="G307" t="s">
        <v>322</v>
      </c>
      <c r="H307" s="330">
        <v>184</v>
      </c>
      <c r="I307" s="330">
        <v>1</v>
      </c>
      <c r="J307" t="s">
        <v>136</v>
      </c>
      <c r="K307" s="143"/>
      <c r="L307" s="220" t="str">
        <f>IF(Protokoll!I$1&lt;&gt;"",IF(N306=N$113,IF(AND(DMAX(F$113:J$403,F$113,O306:O307)&gt;COUNTA(L$111:L306)-2,DCOUNTA(F$113:J$403,G$113,N306:O307)=1),DGET(F$113:J$403,G$113,N306:O307),""),IF(AND(DMAX(F$113:J$403,F$113,Q306:Q307)&gt;COUNTA(L$111:L306)-2,DCOUNTA(F$113:J$403,G$113,P306:Q307)=1),DGET(F$113:J$403,G$113,P306:Q307),"")),G307)</f>
        <v/>
      </c>
      <c r="M307" s="143"/>
      <c r="N307" s="221" t="str">
        <f>IF(N306=N$113,IF(COUNT(N$113:Q306)&lt;DMAX(F$113:J$403,F$113,O306:O307),COUNT(N$113:Q306)+1,""),IF(COUNT(N$113:Q306)&lt;DMAX(F$113:J$403,F$113,Q306:Q307),N$113,""))</f>
        <v/>
      </c>
      <c r="O307" s="222" t="str">
        <f>IF(O306=O$113,IF(COUNTA(L$111:L306)-2&lt;DMAX(F$113:J$403,F$113,Q305:Q306),Protokoll!I$1,""),IF(O306&lt;&gt;"",IF(COUNTA(L$111:L306)-1&lt;DMAX(F$113:J$403,F$113,O305:O306),O$113,""),""))</f>
        <v/>
      </c>
      <c r="P307" s="223" t="str">
        <f>IF(N306=N$113,IF(COUNT(N$113:Q306)&lt;DMAX(F$113:J$403,F$113,O306:O307),N$113,""),IF(COUNT(N$113:Q306)&lt;DMAX(F$113:J$403,F$113,Q306:Q307),COUNT(N$113:Q306)+1,""))</f>
        <v/>
      </c>
      <c r="Q307" s="199" t="str">
        <f>IF(O306=O$113,IF(COUNTA(L$111:L306)-2&lt;DMAX(F$113:J$403,F$113,Q305:Q306),O$113,""),IF(Q306&lt;&gt;"",IF(COUNTA(L$111:L306)-2&lt;DMAX(F$113:J$403,F$113,O305:O306),Protokoll!I$1,""),""))</f>
        <v/>
      </c>
      <c r="T307" s="331" t="str">
        <f>IF(OR(Protokoll!$X$5&lt;&gt;"",Lokalbeskrivn!$M$4&lt;&gt;""),"",U307)</f>
        <v/>
      </c>
      <c r="U307" s="330" t="s">
        <v>1043</v>
      </c>
      <c r="Y307" s="572" t="s">
        <v>2219</v>
      </c>
      <c r="Z307" s="572" t="s">
        <v>2220</v>
      </c>
      <c r="AB307" s="475" t="str">
        <f>IF(COUNT(AB303:AB306)&gt;0,MAX(AB303:AB306)+1,"")</f>
        <v/>
      </c>
      <c r="AC307" s="433" t="str">
        <f>IF(AND(AH307&lt;&gt;"",AG307&lt;&gt;"",AI307&gt;0,AH307&gt;0),MAX(AC$2:AC306)+1,"XX")</f>
        <v>XX</v>
      </c>
      <c r="AD307" s="430" t="str">
        <f>IF('Antal &amp; Längder (vikter)'!$C$38&lt;&gt;"",'Antal &amp; Längder (vikter)'!$C$38,"XX")</f>
        <v>XX</v>
      </c>
      <c r="AE307" s="416" t="str">
        <f>IF(AND('Antal &amp; Längder (vikter)'!H$40&lt;&gt;"",ISNUMBER($AH307)),'Antal &amp; Längder (vikter)'!H$40,"")</f>
        <v/>
      </c>
      <c r="AF307" s="425" t="str">
        <f t="shared" si="10"/>
        <v/>
      </c>
      <c r="AG307" s="426" t="str">
        <f t="shared" si="11"/>
        <v/>
      </c>
      <c r="AH307" s="407" t="str">
        <f>IF('Antal &amp; Längder (vikter)'!H46&lt;&gt;"",'Antal &amp; Längder (vikter)'!H46,"XX")</f>
        <v>XX</v>
      </c>
      <c r="AI307" s="405">
        <f>IF('Antal &amp; Längder (vikter)'!I$41="Vikt (g)",IF('Antal &amp; Längder (vikter)'!I46&lt;&gt;"",'Antal &amp; Längder (vikter)'!I46,-9),-9)</f>
        <v>-9</v>
      </c>
    </row>
    <row r="308" spans="5:35" x14ac:dyDescent="0.25">
      <c r="E308" s="2"/>
      <c r="F308" s="199">
        <f>COUNTIF(J$113:J308,J308)</f>
        <v>9</v>
      </c>
      <c r="G308" t="s">
        <v>323</v>
      </c>
      <c r="H308" s="330">
        <v>2422</v>
      </c>
      <c r="I308" s="330">
        <v>24</v>
      </c>
      <c r="J308" t="s">
        <v>142</v>
      </c>
      <c r="K308" s="143"/>
      <c r="L308" s="220" t="str">
        <f>IF(Protokoll!I$1&lt;&gt;"",IF(N307=N$113,IF(AND(DMAX(F$113:J$403,F$113,O307:O308)&gt;COUNTA(L$111:L307)-2,DCOUNTA(F$113:J$403,G$113,N307:O308)=1),DGET(F$113:J$403,G$113,N307:O308),""),IF(AND(DMAX(F$113:J$403,F$113,Q307:Q308)&gt;COUNTA(L$111:L307)-2,DCOUNTA(F$113:J$403,G$113,P307:Q308)=1),DGET(F$113:J$403,G$113,P307:Q308),"")),G308)</f>
        <v/>
      </c>
      <c r="M308" s="143"/>
      <c r="N308" s="221" t="str">
        <f>IF(N307=N$113,IF(COUNT(N$113:Q307)&lt;DMAX(F$113:J$403,F$113,O307:O308),COUNT(N$113:Q307)+1,""),IF(COUNT(N$113:Q307)&lt;DMAX(F$113:J$403,F$113,Q307:Q308),N$113,""))</f>
        <v/>
      </c>
      <c r="O308" s="222" t="str">
        <f>IF(O307=O$113,IF(COUNTA(L$111:L307)-2&lt;DMAX(F$113:J$403,F$113,Q306:Q307),Protokoll!I$1,""),IF(O307&lt;&gt;"",IF(COUNTA(L$111:L307)-1&lt;DMAX(F$113:J$403,F$113,O306:O307),O$113,""),""))</f>
        <v/>
      </c>
      <c r="P308" s="223" t="str">
        <f>IF(N307=N$113,IF(COUNT(N$113:Q307)&lt;DMAX(F$113:J$403,F$113,O307:O308),N$113,""),IF(COUNT(N$113:Q307)&lt;DMAX(F$113:J$403,F$113,Q307:Q308),COUNT(N$113:Q307)+1,""))</f>
        <v/>
      </c>
      <c r="Q308" s="199" t="str">
        <f>IF(O307=O$113,IF(COUNTA(L$111:L307)-2&lt;DMAX(F$113:J$403,F$113,Q306:Q307),O$113,""),IF(Q307&lt;&gt;"",IF(COUNTA(L$111:L307)-2&lt;DMAX(F$113:J$403,F$113,O306:O307),Protokoll!I$1,""),""))</f>
        <v/>
      </c>
      <c r="T308" s="331" t="str">
        <f>IF(OR(Protokoll!$X$5&lt;&gt;"",Lokalbeskrivn!$M$4&lt;&gt;""),"",U308)</f>
        <v/>
      </c>
      <c r="U308" s="330" t="s">
        <v>1045</v>
      </c>
      <c r="Y308" s="572" t="s">
        <v>1915</v>
      </c>
      <c r="Z308" s="572" t="s">
        <v>1916</v>
      </c>
      <c r="AB308" s="471" t="str">
        <f>IF(COUNT(AB303:AB307)&gt;0,MAX(AB303:AB307)+1,"")</f>
        <v/>
      </c>
      <c r="AC308" s="433" t="str">
        <f>IF(AND(AH308&lt;&gt;"",AG308&lt;&gt;"",AI308&gt;0,AH308&gt;0),MAX(AC$2:AC307)+1,"XX")</f>
        <v>XX</v>
      </c>
      <c r="AD308" s="430" t="str">
        <f>IF('Antal &amp; Längder (vikter)'!$C$38&lt;&gt;"",'Antal &amp; Längder (vikter)'!$C$38,"XX")</f>
        <v>XX</v>
      </c>
      <c r="AE308" s="416" t="str">
        <f>IF(AND('Antal &amp; Längder (vikter)'!H$40&lt;&gt;"",ISNUMBER($AH308)),'Antal &amp; Längder (vikter)'!H$40,"")</f>
        <v/>
      </c>
      <c r="AF308" s="425" t="str">
        <f t="shared" si="10"/>
        <v/>
      </c>
      <c r="AG308" s="426" t="str">
        <f t="shared" si="11"/>
        <v/>
      </c>
      <c r="AH308" s="407" t="str">
        <f>IF('Antal &amp; Längder (vikter)'!H47&lt;&gt;"",'Antal &amp; Längder (vikter)'!H47,"XX")</f>
        <v>XX</v>
      </c>
      <c r="AI308" s="405">
        <f>IF('Antal &amp; Längder (vikter)'!I$41="Vikt (g)",IF('Antal &amp; Längder (vikter)'!I47&lt;&gt;"",'Antal &amp; Längder (vikter)'!I47,-9),-9)</f>
        <v>-9</v>
      </c>
    </row>
    <row r="309" spans="5:35" x14ac:dyDescent="0.25">
      <c r="E309" s="2"/>
      <c r="F309" s="199">
        <f>COUNTIF(J$113:J309,J309)</f>
        <v>32</v>
      </c>
      <c r="G309" t="s">
        <v>324</v>
      </c>
      <c r="H309" s="330">
        <v>1427</v>
      </c>
      <c r="I309" s="330">
        <v>14</v>
      </c>
      <c r="J309" t="s">
        <v>114</v>
      </c>
      <c r="K309" s="143"/>
      <c r="L309" s="220" t="str">
        <f>IF(Protokoll!I$1&lt;&gt;"",IF(N308=N$113,IF(AND(DMAX(F$113:J$403,F$113,O308:O309)&gt;COUNTA(L$111:L308)-2,DCOUNTA(F$113:J$403,G$113,N308:O309)=1),DGET(F$113:J$403,G$113,N308:O309),""),IF(AND(DMAX(F$113:J$403,F$113,Q308:Q309)&gt;COUNTA(L$111:L308)-2,DCOUNTA(F$113:J$403,G$113,P308:Q309)=1),DGET(F$113:J$403,G$113,P308:Q309),"")),G309)</f>
        <v/>
      </c>
      <c r="M309" s="143"/>
      <c r="N309" s="221" t="str">
        <f>IF(N308=N$113,IF(COUNT(N$113:Q308)&lt;DMAX(F$113:J$403,F$113,O308:O309),COUNT(N$113:Q308)+1,""),IF(COUNT(N$113:Q308)&lt;DMAX(F$113:J$403,F$113,Q308:Q309),N$113,""))</f>
        <v/>
      </c>
      <c r="O309" s="222" t="str">
        <f>IF(O308=O$113,IF(COUNTA(L$111:L308)-2&lt;DMAX(F$113:J$403,F$113,Q307:Q308),Protokoll!I$1,""),IF(O308&lt;&gt;"",IF(COUNTA(L$111:L308)-1&lt;DMAX(F$113:J$403,F$113,O307:O308),O$113,""),""))</f>
        <v/>
      </c>
      <c r="P309" s="223" t="str">
        <f>IF(N308=N$113,IF(COUNT(N$113:Q308)&lt;DMAX(F$113:J$403,F$113,O308:O309),N$113,""),IF(COUNT(N$113:Q308)&lt;DMAX(F$113:J$403,F$113,Q308:Q309),COUNT(N$113:Q308)+1,""))</f>
        <v/>
      </c>
      <c r="Q309" s="199" t="str">
        <f>IF(O308=O$113,IF(COUNTA(L$111:L308)-2&lt;DMAX(F$113:J$403,F$113,Q307:Q308),O$113,""),IF(Q308&lt;&gt;"",IF(COUNTA(L$111:L308)-2&lt;DMAX(F$113:J$403,F$113,O307:O308),Protokoll!I$1,""),""))</f>
        <v/>
      </c>
      <c r="T309" s="331" t="str">
        <f>IF(OR(Protokoll!$X$5&lt;&gt;"",Lokalbeskrivn!$M$4&lt;&gt;""),"",U309)</f>
        <v/>
      </c>
      <c r="U309" s="330" t="s">
        <v>1047</v>
      </c>
      <c r="Y309" s="572" t="s">
        <v>1980</v>
      </c>
      <c r="Z309" s="572" t="s">
        <v>1981</v>
      </c>
      <c r="AB309" s="474" t="str">
        <f>IF(COUNT(AB303:AB308)&gt;0,MAX(AB303:AB308)+1,"")</f>
        <v/>
      </c>
      <c r="AC309" s="433" t="str">
        <f>IF(AND(AH309&lt;&gt;"",AG309&lt;&gt;"",AI309&gt;0,AH309&gt;0),MAX(AC$2:AC308)+1,"XX")</f>
        <v>XX</v>
      </c>
      <c r="AD309" s="430" t="str">
        <f>IF('Antal &amp; Längder (vikter)'!$C$38&lt;&gt;"",'Antal &amp; Längder (vikter)'!$C$38,"XX")</f>
        <v>XX</v>
      </c>
      <c r="AE309" s="416" t="str">
        <f>IF(AND('Antal &amp; Längder (vikter)'!H$40&lt;&gt;"",ISNUMBER($AH309)),'Antal &amp; Längder (vikter)'!H$40,"")</f>
        <v/>
      </c>
      <c r="AF309" s="425" t="str">
        <f t="shared" si="10"/>
        <v/>
      </c>
      <c r="AG309" s="426" t="str">
        <f t="shared" si="11"/>
        <v/>
      </c>
      <c r="AH309" s="407" t="str">
        <f>IF('Antal &amp; Längder (vikter)'!H48&lt;&gt;"",'Antal &amp; Längder (vikter)'!H48,"XX")</f>
        <v>XX</v>
      </c>
      <c r="AI309" s="405">
        <f>IF('Antal &amp; Längder (vikter)'!I$41="Vikt (g)",IF('Antal &amp; Längder (vikter)'!I48&lt;&gt;"",'Antal &amp; Längder (vikter)'!I48,-9),-9)</f>
        <v>-9</v>
      </c>
    </row>
    <row r="310" spans="5:35" x14ac:dyDescent="0.25">
      <c r="E310" s="2"/>
      <c r="F310" s="199">
        <f>COUNTIF(J$113:J310,J310)</f>
        <v>23</v>
      </c>
      <c r="G310" t="s">
        <v>325</v>
      </c>
      <c r="H310" s="330">
        <v>1230</v>
      </c>
      <c r="I310" s="330">
        <v>12</v>
      </c>
      <c r="J310" t="s">
        <v>134</v>
      </c>
      <c r="K310" s="143"/>
      <c r="L310" s="220" t="str">
        <f>IF(Protokoll!I$1&lt;&gt;"",IF(N309=N$113,IF(AND(DMAX(F$113:J$403,F$113,O309:O310)&gt;COUNTA(L$111:L309)-2,DCOUNTA(F$113:J$403,G$113,N309:O310)=1),DGET(F$113:J$403,G$113,N309:O310),""),IF(AND(DMAX(F$113:J$403,F$113,Q309:Q310)&gt;COUNTA(L$111:L309)-2,DCOUNTA(F$113:J$403,G$113,P309:Q310)=1),DGET(F$113:J$403,G$113,P309:Q310),"")),G310)</f>
        <v/>
      </c>
      <c r="M310" s="143"/>
      <c r="N310" s="221" t="str">
        <f>IF(N309=N$113,IF(COUNT(N$113:Q309)&lt;DMAX(F$113:J$403,F$113,O309:O310),COUNT(N$113:Q309)+1,""),IF(COUNT(N$113:Q309)&lt;DMAX(F$113:J$403,F$113,Q309:Q310),N$113,""))</f>
        <v/>
      </c>
      <c r="O310" s="222" t="str">
        <f>IF(O309=O$113,IF(COUNTA(L$111:L309)-2&lt;DMAX(F$113:J$403,F$113,Q308:Q309),Protokoll!I$1,""),IF(O309&lt;&gt;"",IF(COUNTA(L$111:L309)-1&lt;DMAX(F$113:J$403,F$113,O308:O309),O$113,""),""))</f>
        <v/>
      </c>
      <c r="P310" s="223" t="str">
        <f>IF(N309=N$113,IF(COUNT(N$113:Q309)&lt;DMAX(F$113:J$403,F$113,O309:O310),N$113,""),IF(COUNT(N$113:Q309)&lt;DMAX(F$113:J$403,F$113,Q309:Q310),COUNT(N$113:Q309)+1,""))</f>
        <v/>
      </c>
      <c r="Q310" s="199" t="str">
        <f>IF(O309=O$113,IF(COUNTA(L$111:L309)-2&lt;DMAX(F$113:J$403,F$113,Q308:Q309),O$113,""),IF(Q309&lt;&gt;"",IF(COUNTA(L$111:L309)-2&lt;DMAX(F$113:J$403,F$113,O308:O309),Protokoll!I$1,""),""))</f>
        <v/>
      </c>
      <c r="T310" s="331" t="str">
        <f>IF(OR(Protokoll!$X$5&lt;&gt;"",Lokalbeskrivn!$M$4&lt;&gt;""),"",U310)</f>
        <v/>
      </c>
      <c r="U310" s="330" t="s">
        <v>1049</v>
      </c>
      <c r="Y310" s="572" t="s">
        <v>2468</v>
      </c>
      <c r="Z310" s="572" t="s">
        <v>2469</v>
      </c>
      <c r="AB310" s="478" t="str">
        <f>IF(COUNT(AB303:AB309)&gt;0,MAX(AB303:AB309)+1,"")</f>
        <v/>
      </c>
      <c r="AC310" s="433" t="str">
        <f>IF(AND(AH310&lt;&gt;"",AG310&lt;&gt;"",AI310&gt;0,AH310&gt;0),MAX(AC$2:AC309)+1,"XX")</f>
        <v>XX</v>
      </c>
      <c r="AD310" s="430" t="str">
        <f>IF('Antal &amp; Längder (vikter)'!$C$38&lt;&gt;"",'Antal &amp; Längder (vikter)'!$C$38,"XX")</f>
        <v>XX</v>
      </c>
      <c r="AE310" s="416" t="str">
        <f>IF(AND('Antal &amp; Längder (vikter)'!H$40&lt;&gt;"",ISNUMBER($AH310)),'Antal &amp; Längder (vikter)'!H$40,"")</f>
        <v/>
      </c>
      <c r="AF310" s="425" t="str">
        <f t="shared" si="10"/>
        <v/>
      </c>
      <c r="AG310" s="426" t="str">
        <f t="shared" si="11"/>
        <v/>
      </c>
      <c r="AH310" s="407" t="str">
        <f>IF('Antal &amp; Längder (vikter)'!H49&lt;&gt;"",'Antal &amp; Längder (vikter)'!H49,"XX")</f>
        <v>XX</v>
      </c>
      <c r="AI310" s="405">
        <f>IF('Antal &amp; Längder (vikter)'!I$41="Vikt (g)",IF('Antal &amp; Längder (vikter)'!I49&lt;&gt;"",'Antal &amp; Längder (vikter)'!I49,-9),-9)</f>
        <v>-9</v>
      </c>
    </row>
    <row r="311" spans="5:35" x14ac:dyDescent="0.25">
      <c r="E311" s="2"/>
      <c r="F311" s="199">
        <f>COUNTIF(J$113:J311,J311)</f>
        <v>33</v>
      </c>
      <c r="G311" t="s">
        <v>326</v>
      </c>
      <c r="H311" s="330">
        <v>1415</v>
      </c>
      <c r="I311" s="330">
        <v>14</v>
      </c>
      <c r="J311" t="s">
        <v>114</v>
      </c>
      <c r="K311" s="143"/>
      <c r="L311" s="220" t="str">
        <f>IF(Protokoll!I$1&lt;&gt;"",IF(N310=N$113,IF(AND(DMAX(F$113:J$403,F$113,O310:O311)&gt;COUNTA(L$111:L310)-2,DCOUNTA(F$113:J$403,G$113,N310:O311)=1),DGET(F$113:J$403,G$113,N310:O311),""),IF(AND(DMAX(F$113:J$403,F$113,Q310:Q311)&gt;COUNTA(L$111:L310)-2,DCOUNTA(F$113:J$403,G$113,P310:Q311)=1),DGET(F$113:J$403,G$113,P310:Q311),"")),G311)</f>
        <v/>
      </c>
      <c r="M311" s="143"/>
      <c r="N311" s="221" t="str">
        <f>IF(N310=N$113,IF(COUNT(N$113:Q310)&lt;DMAX(F$113:J$403,F$113,O310:O311),COUNT(N$113:Q310)+1,""),IF(COUNT(N$113:Q310)&lt;DMAX(F$113:J$403,F$113,Q310:Q311),N$113,""))</f>
        <v/>
      </c>
      <c r="O311" s="222" t="str">
        <f>IF(O310=O$113,IF(COUNTA(L$111:L310)-2&lt;DMAX(F$113:J$403,F$113,Q309:Q310),Protokoll!I$1,""),IF(O310&lt;&gt;"",IF(COUNTA(L$111:L310)-1&lt;DMAX(F$113:J$403,F$113,O309:O310),O$113,""),""))</f>
        <v/>
      </c>
      <c r="P311" s="223" t="str">
        <f>IF(N310=N$113,IF(COUNT(N$113:Q310)&lt;DMAX(F$113:J$403,F$113,O310:O311),N$113,""),IF(COUNT(N$113:Q310)&lt;DMAX(F$113:J$403,F$113,Q310:Q311),COUNT(N$113:Q310)+1,""))</f>
        <v/>
      </c>
      <c r="Q311" s="199" t="str">
        <f>IF(O310=O$113,IF(COUNTA(L$111:L310)-2&lt;DMAX(F$113:J$403,F$113,Q309:Q310),O$113,""),IF(Q310&lt;&gt;"",IF(COUNTA(L$111:L310)-2&lt;DMAX(F$113:J$403,F$113,O309:O310),Protokoll!I$1,""),""))</f>
        <v/>
      </c>
      <c r="T311" s="331" t="str">
        <f>IF(OR(Protokoll!$X$5&lt;&gt;"",Lokalbeskrivn!$M$4&lt;&gt;""),"",U311)</f>
        <v/>
      </c>
      <c r="U311" s="330" t="s">
        <v>1051</v>
      </c>
      <c r="Y311" s="572" t="s">
        <v>1879</v>
      </c>
      <c r="Z311" s="572" t="s">
        <v>1880</v>
      </c>
      <c r="AB311" s="472" t="str">
        <f>IF(COUNT(AB303:AB310)&gt;0,MAX(AB303:AB310)+1,"")</f>
        <v/>
      </c>
      <c r="AC311" s="433" t="str">
        <f>IF(AND(AH311&lt;&gt;"",AG311&lt;&gt;"",AI311&gt;0,AH311&gt;0),MAX(AC$2:AC310)+1,"XX")</f>
        <v>XX</v>
      </c>
      <c r="AD311" s="430" t="str">
        <f>IF('Antal &amp; Längder (vikter)'!$C$38&lt;&gt;"",'Antal &amp; Längder (vikter)'!$C$38,"XX")</f>
        <v>XX</v>
      </c>
      <c r="AE311" s="416" t="str">
        <f>IF(AND('Antal &amp; Längder (vikter)'!H$40&lt;&gt;"",ISNUMBER($AH311)),'Antal &amp; Längder (vikter)'!H$40,"")</f>
        <v/>
      </c>
      <c r="AF311" s="425" t="str">
        <f t="shared" si="10"/>
        <v/>
      </c>
      <c r="AG311" s="426" t="str">
        <f t="shared" si="11"/>
        <v/>
      </c>
      <c r="AH311" s="407" t="str">
        <f>IF('Antal &amp; Längder (vikter)'!H50&lt;&gt;"",'Antal &amp; Längder (vikter)'!H50,"XX")</f>
        <v>XX</v>
      </c>
      <c r="AI311" s="405">
        <f>IF('Antal &amp; Längder (vikter)'!I$41="Vikt (g)",IF('Antal &amp; Längder (vikter)'!I50&lt;&gt;"",'Antal &amp; Längder (vikter)'!I50,-9),-9)</f>
        <v>-9</v>
      </c>
    </row>
    <row r="312" spans="5:35" x14ac:dyDescent="0.25">
      <c r="E312" s="2"/>
      <c r="F312" s="199">
        <f>COUNTIF(J$113:J312,J312)</f>
        <v>16</v>
      </c>
      <c r="G312" t="s">
        <v>327</v>
      </c>
      <c r="H312" s="330">
        <v>180</v>
      </c>
      <c r="I312" s="330">
        <v>1</v>
      </c>
      <c r="J312" t="s">
        <v>136</v>
      </c>
      <c r="K312" s="143"/>
      <c r="L312" s="220" t="str">
        <f>IF(Protokoll!I$1&lt;&gt;"",IF(N311=N$113,IF(AND(DMAX(F$113:J$403,F$113,O311:O312)&gt;COUNTA(L$111:L311)-2,DCOUNTA(F$113:J$403,G$113,N311:O312)=1),DGET(F$113:J$403,G$113,N311:O312),""),IF(AND(DMAX(F$113:J$403,F$113,Q311:Q312)&gt;COUNTA(L$111:L311)-2,DCOUNTA(F$113:J$403,G$113,P311:Q312)=1),DGET(F$113:J$403,G$113,P311:Q312),"")),G312)</f>
        <v/>
      </c>
      <c r="M312" s="143"/>
      <c r="N312" s="221" t="str">
        <f>IF(N311=N$113,IF(COUNT(N$113:Q311)&lt;DMAX(F$113:J$403,F$113,O311:O312),COUNT(N$113:Q311)+1,""),IF(COUNT(N$113:Q311)&lt;DMAX(F$113:J$403,F$113,Q311:Q312),N$113,""))</f>
        <v/>
      </c>
      <c r="O312" s="222" t="str">
        <f>IF(O311=O$113,IF(COUNTA(L$111:L311)-2&lt;DMAX(F$113:J$403,F$113,Q310:Q311),Protokoll!I$1,""),IF(O311&lt;&gt;"",IF(COUNTA(L$111:L311)-1&lt;DMAX(F$113:J$403,F$113,O310:O311),O$113,""),""))</f>
        <v/>
      </c>
      <c r="P312" s="223" t="str">
        <f>IF(N311=N$113,IF(COUNT(N$113:Q311)&lt;DMAX(F$113:J$403,F$113,O311:O312),N$113,""),IF(COUNT(N$113:Q311)&lt;DMAX(F$113:J$403,F$113,Q311:Q312),COUNT(N$113:Q311)+1,""))</f>
        <v/>
      </c>
      <c r="Q312" s="199" t="str">
        <f>IF(O311=O$113,IF(COUNTA(L$111:L311)-2&lt;DMAX(F$113:J$403,F$113,Q310:Q311),O$113,""),IF(Q311&lt;&gt;"",IF(COUNTA(L$111:L311)-2&lt;DMAX(F$113:J$403,F$113,O310:O311),Protokoll!I$1,""),""))</f>
        <v/>
      </c>
      <c r="T312" s="331" t="str">
        <f>IF(OR(Protokoll!$X$5&lt;&gt;"",Lokalbeskrivn!$M$4&lt;&gt;""),"",U312)</f>
        <v/>
      </c>
      <c r="U312" s="330" t="s">
        <v>1053</v>
      </c>
      <c r="Y312" s="572" t="s">
        <v>2209</v>
      </c>
      <c r="Z312" s="572" t="s">
        <v>2210</v>
      </c>
      <c r="AB312" s="479" t="str">
        <f>IF(COUNT(AB303:AB311)&gt;0,MAX(AB303:AB311)+1,"")</f>
        <v/>
      </c>
      <c r="AC312" s="433" t="str">
        <f>IF(AND(AH312&lt;&gt;"",AG312&lt;&gt;"",AI312&gt;0,AH312&gt;0),MAX(AC$2:AC311)+1,"XX")</f>
        <v>XX</v>
      </c>
      <c r="AD312" s="430" t="str">
        <f>IF('Antal &amp; Längder (vikter)'!$C$38&lt;&gt;"",'Antal &amp; Längder (vikter)'!$C$38,"XX")</f>
        <v>XX</v>
      </c>
      <c r="AE312" s="416" t="str">
        <f>IF(AND('Antal &amp; Längder (vikter)'!H$40&lt;&gt;"",ISNUMBER($AH312)),'Antal &amp; Längder (vikter)'!H$40,"")</f>
        <v/>
      </c>
      <c r="AF312" s="425" t="str">
        <f t="shared" si="10"/>
        <v/>
      </c>
      <c r="AG312" s="426" t="str">
        <f t="shared" si="11"/>
        <v/>
      </c>
      <c r="AH312" s="407" t="str">
        <f>IF('Antal &amp; Längder (vikter)'!H51&lt;&gt;"",'Antal &amp; Längder (vikter)'!H51,"XX")</f>
        <v>XX</v>
      </c>
      <c r="AI312" s="405">
        <f>IF('Antal &amp; Längder (vikter)'!I$41="Vikt (g)",IF('Antal &amp; Längder (vikter)'!I51&lt;&gt;"",'Antal &amp; Längder (vikter)'!I51,-9),-9)</f>
        <v>-9</v>
      </c>
    </row>
    <row r="313" spans="5:35" x14ac:dyDescent="0.25">
      <c r="E313" s="2"/>
      <c r="F313" s="199">
        <f>COUNTIF(J$113:J313,J313)</f>
        <v>12</v>
      </c>
      <c r="G313" t="s">
        <v>328</v>
      </c>
      <c r="H313" s="330">
        <v>1760</v>
      </c>
      <c r="I313" s="330">
        <v>17</v>
      </c>
      <c r="J313" t="s">
        <v>131</v>
      </c>
      <c r="K313" s="143"/>
      <c r="L313" s="220" t="str">
        <f>IF(Protokoll!I$1&lt;&gt;"",IF(N312=N$113,IF(AND(DMAX(F$113:J$403,F$113,O312:O313)&gt;COUNTA(L$111:L312)-2,DCOUNTA(F$113:J$403,G$113,N312:O313)=1),DGET(F$113:J$403,G$113,N312:O313),""),IF(AND(DMAX(F$113:J$403,F$113,Q312:Q313)&gt;COUNTA(L$111:L312)-2,DCOUNTA(F$113:J$403,G$113,P312:Q313)=1),DGET(F$113:J$403,G$113,P312:Q313),"")),G313)</f>
        <v/>
      </c>
      <c r="M313" s="143"/>
      <c r="N313" s="221" t="str">
        <f>IF(N312=N$113,IF(COUNT(N$113:Q312)&lt;DMAX(F$113:J$403,F$113,O312:O313),COUNT(N$113:Q312)+1,""),IF(COUNT(N$113:Q312)&lt;DMAX(F$113:J$403,F$113,Q312:Q313),N$113,""))</f>
        <v/>
      </c>
      <c r="O313" s="222" t="str">
        <f>IF(O312=O$113,IF(COUNTA(L$111:L312)-2&lt;DMAX(F$113:J$403,F$113,Q311:Q312),Protokoll!I$1,""),IF(O312&lt;&gt;"",IF(COUNTA(L$111:L312)-1&lt;DMAX(F$113:J$403,F$113,O311:O312),O$113,""),""))</f>
        <v/>
      </c>
      <c r="P313" s="223" t="str">
        <f>IF(N312=N$113,IF(COUNT(N$113:Q312)&lt;DMAX(F$113:J$403,F$113,O312:O313),N$113,""),IF(COUNT(N$113:Q312)&lt;DMAX(F$113:J$403,F$113,Q312:Q313),COUNT(N$113:Q312)+1,""))</f>
        <v/>
      </c>
      <c r="Q313" s="199" t="str">
        <f>IF(O312=O$113,IF(COUNTA(L$111:L312)-2&lt;DMAX(F$113:J$403,F$113,Q311:Q312),O$113,""),IF(Q312&lt;&gt;"",IF(COUNTA(L$111:L312)-2&lt;DMAX(F$113:J$403,F$113,O311:O312),Protokoll!I$1,""),""))</f>
        <v/>
      </c>
      <c r="T313" s="331" t="str">
        <f>IF(OR(Protokoll!$X$5&lt;&gt;"",Lokalbeskrivn!$M$4&lt;&gt;""),"",U313)</f>
        <v/>
      </c>
      <c r="U313" s="330" t="s">
        <v>1055</v>
      </c>
      <c r="Y313" s="572" t="s">
        <v>1947</v>
      </c>
      <c r="Z313" s="572" t="s">
        <v>1948</v>
      </c>
      <c r="AB313" s="480" t="str">
        <f>IF(AND(ISNUMBER(AH313),AH313&gt;0),IF(MAX(AB$3:AB312)&gt;0,MAX(AB$3:AB312)+1,10+COUNTIF(F$38:F$49,"&gt;0")*10+1),"")</f>
        <v/>
      </c>
      <c r="AC313" s="433" t="str">
        <f>IF(AND(AH313&lt;&gt;"",AG313&lt;&gt;"",AI313&gt;0,AH313&gt;0),MAX(AC$2:AC312)+1,"XX")</f>
        <v>XX</v>
      </c>
      <c r="AD313" s="430" t="str">
        <f>IF('Antal &amp; Längder (vikter)'!$C$38&lt;&gt;"",'Antal &amp; Längder (vikter)'!$C$38,"XX")</f>
        <v>XX</v>
      </c>
      <c r="AE313" s="416" t="str">
        <f>IF(AND('Antal &amp; Längder (vikter)'!H$40&lt;&gt;"",ISNUMBER($AH313)),'Antal &amp; Längder (vikter)'!H$40,"")</f>
        <v/>
      </c>
      <c r="AF313" s="425" t="str">
        <f t="shared" si="10"/>
        <v/>
      </c>
      <c r="AG313" s="426" t="str">
        <f t="shared" si="11"/>
        <v/>
      </c>
      <c r="AH313" s="409" t="str">
        <f>IF('Antal &amp; Längder (vikter)'!I$41="Längd (mm)",IF('Antal &amp; Längder (vikter)'!I42&lt;&gt;"",'Antal &amp; Längder (vikter)'!I42,"XX"),"XX")</f>
        <v>XX</v>
      </c>
      <c r="AI313" s="7">
        <v>-9</v>
      </c>
    </row>
    <row r="314" spans="5:35" x14ac:dyDescent="0.25">
      <c r="E314" s="2"/>
      <c r="F314" s="199">
        <f>COUNTIF(J$113:J314,J314)</f>
        <v>10</v>
      </c>
      <c r="G314" t="s">
        <v>329</v>
      </c>
      <c r="H314" s="330">
        <v>2421</v>
      </c>
      <c r="I314" s="330">
        <v>24</v>
      </c>
      <c r="J314" t="s">
        <v>142</v>
      </c>
      <c r="K314" s="143"/>
      <c r="L314" s="220" t="str">
        <f>IF(Protokoll!I$1&lt;&gt;"",IF(N313=N$113,IF(AND(DMAX(F$113:J$403,F$113,O313:O314)&gt;COUNTA(L$111:L313)-2,DCOUNTA(F$113:J$403,G$113,N313:O314)=1),DGET(F$113:J$403,G$113,N313:O314),""),IF(AND(DMAX(F$113:J$403,F$113,Q313:Q314)&gt;COUNTA(L$111:L313)-2,DCOUNTA(F$113:J$403,G$113,P313:Q314)=1),DGET(F$113:J$403,G$113,P313:Q314),"")),G314)</f>
        <v/>
      </c>
      <c r="M314" s="143"/>
      <c r="N314" s="221" t="str">
        <f>IF(N313=N$113,IF(COUNT(N$113:Q313)&lt;DMAX(F$113:J$403,F$113,O313:O314),COUNT(N$113:Q313)+1,""),IF(COUNT(N$113:Q313)&lt;DMAX(F$113:J$403,F$113,Q313:Q314),N$113,""))</f>
        <v/>
      </c>
      <c r="O314" s="222" t="str">
        <f>IF(O313=O$113,IF(COUNTA(L$111:L313)-2&lt;DMAX(F$113:J$403,F$113,Q312:Q313),Protokoll!I$1,""),IF(O313&lt;&gt;"",IF(COUNTA(L$111:L313)-1&lt;DMAX(F$113:J$403,F$113,O312:O313),O$113,""),""))</f>
        <v/>
      </c>
      <c r="P314" s="223" t="str">
        <f>IF(N313=N$113,IF(COUNT(N$113:Q313)&lt;DMAX(F$113:J$403,F$113,O313:O314),N$113,""),IF(COUNT(N$113:Q313)&lt;DMAX(F$113:J$403,F$113,Q313:Q314),COUNT(N$113:Q313)+1,""))</f>
        <v/>
      </c>
      <c r="Q314" s="199" t="str">
        <f>IF(O313=O$113,IF(COUNTA(L$111:L313)-2&lt;DMAX(F$113:J$403,F$113,Q312:Q313),O$113,""),IF(Q313&lt;&gt;"",IF(COUNTA(L$111:L313)-2&lt;DMAX(F$113:J$403,F$113,O312:O313),Protokoll!I$1,""),""))</f>
        <v/>
      </c>
      <c r="T314" s="331" t="str">
        <f>IF(OR(Protokoll!$X$5&lt;&gt;"",Lokalbeskrivn!$M$4&lt;&gt;""),"",U314)</f>
        <v/>
      </c>
      <c r="U314" s="330" t="s">
        <v>1057</v>
      </c>
      <c r="Y314" s="572" t="s">
        <v>1903</v>
      </c>
      <c r="Z314" s="572" t="s">
        <v>1904</v>
      </c>
      <c r="AB314" s="476" t="str">
        <f>IF(COUNT(AB313:AB313)&gt;0,MAX(AB313:AB313)+1,"")</f>
        <v/>
      </c>
      <c r="AC314" s="433" t="str">
        <f>IF(AND(AH314&lt;&gt;"",AG314&lt;&gt;"",AI314&gt;0,AH314&gt;0),MAX(AC$2:AC313)+1,"XX")</f>
        <v>XX</v>
      </c>
      <c r="AD314" s="430" t="str">
        <f>IF('Antal &amp; Längder (vikter)'!$C$38&lt;&gt;"",'Antal &amp; Längder (vikter)'!$C$38,"XX")</f>
        <v>XX</v>
      </c>
      <c r="AE314" s="416" t="str">
        <f>IF(AND('Antal &amp; Längder (vikter)'!H$40&lt;&gt;"",ISNUMBER($AH314)),'Antal &amp; Längder (vikter)'!H$40,"")</f>
        <v/>
      </c>
      <c r="AF314" s="425" t="str">
        <f t="shared" si="10"/>
        <v/>
      </c>
      <c r="AG314" s="426" t="str">
        <f t="shared" si="11"/>
        <v/>
      </c>
      <c r="AH314" s="409" t="str">
        <f>IF('Antal &amp; Längder (vikter)'!I$41="Längd (mm)",IF('Antal &amp; Längder (vikter)'!I43&lt;&gt;"",'Antal &amp; Längder (vikter)'!I43,"XX"),"XX")</f>
        <v>XX</v>
      </c>
      <c r="AI314" s="7">
        <v>-9</v>
      </c>
    </row>
    <row r="315" spans="5:35" x14ac:dyDescent="0.25">
      <c r="E315" s="2"/>
      <c r="F315" s="199">
        <f>COUNTIF(J$113:J315,J315)</f>
        <v>7</v>
      </c>
      <c r="G315" t="s">
        <v>330</v>
      </c>
      <c r="H315" s="330">
        <v>486</v>
      </c>
      <c r="I315" s="330">
        <v>4</v>
      </c>
      <c r="J315" t="s">
        <v>138</v>
      </c>
      <c r="K315" s="143"/>
      <c r="L315" s="220" t="str">
        <f>IF(Protokoll!I$1&lt;&gt;"",IF(N314=N$113,IF(AND(DMAX(F$113:J$403,F$113,O314:O315)&gt;COUNTA(L$111:L314)-2,DCOUNTA(F$113:J$403,G$113,N314:O315)=1),DGET(F$113:J$403,G$113,N314:O315),""),IF(AND(DMAX(F$113:J$403,F$113,Q314:Q315)&gt;COUNTA(L$111:L314)-2,DCOUNTA(F$113:J$403,G$113,P314:Q315)=1),DGET(F$113:J$403,G$113,P314:Q315),"")),G315)</f>
        <v/>
      </c>
      <c r="M315" s="143"/>
      <c r="N315" s="221" t="str">
        <f>IF(N314=N$113,IF(COUNT(N$113:Q314)&lt;DMAX(F$113:J$403,F$113,O314:O315),COUNT(N$113:Q314)+1,""),IF(COUNT(N$113:Q314)&lt;DMAX(F$113:J$403,F$113,Q314:Q315),N$113,""))</f>
        <v/>
      </c>
      <c r="O315" s="222" t="str">
        <f>IF(O314=O$113,IF(COUNTA(L$111:L314)-2&lt;DMAX(F$113:J$403,F$113,Q313:Q314),Protokoll!I$1,""),IF(O314&lt;&gt;"",IF(COUNTA(L$111:L314)-1&lt;DMAX(F$113:J$403,F$113,O313:O314),O$113,""),""))</f>
        <v/>
      </c>
      <c r="P315" s="223" t="str">
        <f>IF(N314=N$113,IF(COUNT(N$113:Q314)&lt;DMAX(F$113:J$403,F$113,O314:O315),N$113,""),IF(COUNT(N$113:Q314)&lt;DMAX(F$113:J$403,F$113,Q314:Q315),COUNT(N$113:Q314)+1,""))</f>
        <v/>
      </c>
      <c r="Q315" s="199" t="str">
        <f>IF(O314=O$113,IF(COUNTA(L$111:L314)-2&lt;DMAX(F$113:J$403,F$113,Q313:Q314),O$113,""),IF(Q314&lt;&gt;"",IF(COUNTA(L$111:L314)-2&lt;DMAX(F$113:J$403,F$113,O313:O314),Protokoll!I$1,""),""))</f>
        <v/>
      </c>
      <c r="T315" s="331" t="str">
        <f>IF(OR(Protokoll!$X$5&lt;&gt;"",Lokalbeskrivn!$M$4&lt;&gt;""),"",U315)</f>
        <v/>
      </c>
      <c r="U315" s="330" t="s">
        <v>1059</v>
      </c>
      <c r="Y315" s="572" t="s">
        <v>1949</v>
      </c>
      <c r="Z315" s="572" t="s">
        <v>1950</v>
      </c>
      <c r="AB315" s="477" t="str">
        <f>IF(COUNT(AB313:AB314)&gt;0,MAX(AB313:AB314)+1,"")</f>
        <v/>
      </c>
      <c r="AC315" s="433" t="str">
        <f>IF(AND(AH315&lt;&gt;"",AG315&lt;&gt;"",AI315&gt;0,AH315&gt;0),MAX(AC$2:AC314)+1,"XX")</f>
        <v>XX</v>
      </c>
      <c r="AD315" s="430" t="str">
        <f>IF('Antal &amp; Längder (vikter)'!$C$38&lt;&gt;"",'Antal &amp; Längder (vikter)'!$C$38,"XX")</f>
        <v>XX</v>
      </c>
      <c r="AE315" s="416" t="str">
        <f>IF(AND('Antal &amp; Längder (vikter)'!H$40&lt;&gt;"",ISNUMBER($AH315)),'Antal &amp; Längder (vikter)'!H$40,"")</f>
        <v/>
      </c>
      <c r="AF315" s="425" t="str">
        <f t="shared" si="10"/>
        <v/>
      </c>
      <c r="AG315" s="426" t="str">
        <f t="shared" si="11"/>
        <v/>
      </c>
      <c r="AH315" s="409" t="str">
        <f>IF('Antal &amp; Längder (vikter)'!I$41="Längd (mm)",IF('Antal &amp; Längder (vikter)'!I44&lt;&gt;"",'Antal &amp; Längder (vikter)'!I44,"XX"),"XX")</f>
        <v>XX</v>
      </c>
      <c r="AI315" s="7">
        <v>-9</v>
      </c>
    </row>
    <row r="316" spans="5:35" x14ac:dyDescent="0.25">
      <c r="E316" s="2"/>
      <c r="F316" s="199">
        <f>COUNTIF(J$113:J316,J316)</f>
        <v>34</v>
      </c>
      <c r="G316" t="s">
        <v>331</v>
      </c>
      <c r="H316" s="330">
        <v>1486</v>
      </c>
      <c r="I316" s="330">
        <v>14</v>
      </c>
      <c r="J316" t="s">
        <v>114</v>
      </c>
      <c r="K316" s="143"/>
      <c r="L316" s="220" t="str">
        <f>IF(Protokoll!I$1&lt;&gt;"",IF(N315=N$113,IF(AND(DMAX(F$113:J$403,F$113,O315:O316)&gt;COUNTA(L$111:L315)-2,DCOUNTA(F$113:J$403,G$113,N315:O316)=1),DGET(F$113:J$403,G$113,N315:O316),""),IF(AND(DMAX(F$113:J$403,F$113,Q315:Q316)&gt;COUNTA(L$111:L315)-2,DCOUNTA(F$113:J$403,G$113,P315:Q316)=1),DGET(F$113:J$403,G$113,P315:Q316),"")),G316)</f>
        <v/>
      </c>
      <c r="M316" s="143"/>
      <c r="N316" s="221" t="str">
        <f>IF(N315=N$113,IF(COUNT(N$113:Q315)&lt;DMAX(F$113:J$403,F$113,O315:O316),COUNT(N$113:Q315)+1,""),IF(COUNT(N$113:Q315)&lt;DMAX(F$113:J$403,F$113,Q315:Q316),N$113,""))</f>
        <v/>
      </c>
      <c r="O316" s="222" t="str">
        <f>IF(O315=O$113,IF(COUNTA(L$111:L315)-2&lt;DMAX(F$113:J$403,F$113,Q314:Q315),Protokoll!I$1,""),IF(O315&lt;&gt;"",IF(COUNTA(L$111:L315)-1&lt;DMAX(F$113:J$403,F$113,O314:O315),O$113,""),""))</f>
        <v/>
      </c>
      <c r="P316" s="223" t="str">
        <f>IF(N315=N$113,IF(COUNT(N$113:Q315)&lt;DMAX(F$113:J$403,F$113,O315:O316),N$113,""),IF(COUNT(N$113:Q315)&lt;DMAX(F$113:J$403,F$113,Q315:Q316),COUNT(N$113:Q315)+1,""))</f>
        <v/>
      </c>
      <c r="Q316" s="199" t="str">
        <f>IF(O315=O$113,IF(COUNTA(L$111:L315)-2&lt;DMAX(F$113:J$403,F$113,Q314:Q315),O$113,""),IF(Q315&lt;&gt;"",IF(COUNTA(L$111:L315)-2&lt;DMAX(F$113:J$403,F$113,O314:O315),Protokoll!I$1,""),""))</f>
        <v/>
      </c>
      <c r="T316" s="331" t="str">
        <f>IF(OR(Protokoll!$X$5&lt;&gt;"",Lokalbeskrivn!$M$4&lt;&gt;""),"",U316)</f>
        <v/>
      </c>
      <c r="U316" s="330" t="s">
        <v>1061</v>
      </c>
      <c r="Y316" s="572" t="s">
        <v>2470</v>
      </c>
      <c r="Z316" s="572" t="s">
        <v>2471</v>
      </c>
      <c r="AB316" s="434" t="str">
        <f>IF(COUNT(AB313:AB315)&gt;0,MAX(AB313:AB315)+1,"")</f>
        <v/>
      </c>
      <c r="AC316" s="433" t="str">
        <f>IF(AND(AH316&lt;&gt;"",AG316&lt;&gt;"",AI316&gt;0,AH316&gt;0),MAX(AC$2:AC315)+1,"XX")</f>
        <v>XX</v>
      </c>
      <c r="AD316" s="430" t="str">
        <f>IF('Antal &amp; Längder (vikter)'!$C$38&lt;&gt;"",'Antal &amp; Längder (vikter)'!$C$38,"XX")</f>
        <v>XX</v>
      </c>
      <c r="AE316" s="416" t="str">
        <f>IF(AND('Antal &amp; Längder (vikter)'!H$40&lt;&gt;"",ISNUMBER($AH316)),'Antal &amp; Längder (vikter)'!H$40,"")</f>
        <v/>
      </c>
      <c r="AF316" s="425" t="str">
        <f t="shared" si="10"/>
        <v/>
      </c>
      <c r="AG316" s="426" t="str">
        <f t="shared" si="11"/>
        <v/>
      </c>
      <c r="AH316" s="409" t="str">
        <f>IF('Antal &amp; Längder (vikter)'!I$41="Längd (mm)",IF('Antal &amp; Längder (vikter)'!I45&lt;&gt;"",'Antal &amp; Längder (vikter)'!I45,"XX"),"XX")</f>
        <v>XX</v>
      </c>
      <c r="AI316" s="7">
        <v>-9</v>
      </c>
    </row>
    <row r="317" spans="5:35" x14ac:dyDescent="0.25">
      <c r="F317" s="199">
        <f>COUNTIF(J$113:J317,J317)</f>
        <v>6</v>
      </c>
      <c r="G317" t="s">
        <v>332</v>
      </c>
      <c r="H317" s="330">
        <v>2313</v>
      </c>
      <c r="I317" s="330">
        <v>23</v>
      </c>
      <c r="J317" t="s">
        <v>123</v>
      </c>
      <c r="K317" s="143"/>
      <c r="L317" s="220" t="str">
        <f>IF(Protokoll!I$1&lt;&gt;"",IF(N316=N$113,IF(AND(DMAX(F$113:J$403,F$113,O316:O317)&gt;COUNTA(L$111:L316)-2,DCOUNTA(F$113:J$403,G$113,N316:O317)=1),DGET(F$113:J$403,G$113,N316:O317),""),IF(AND(DMAX(F$113:J$403,F$113,Q316:Q317)&gt;COUNTA(L$111:L316)-2,DCOUNTA(F$113:J$403,G$113,P316:Q317)=1),DGET(F$113:J$403,G$113,P316:Q317),"")),G317)</f>
        <v/>
      </c>
      <c r="M317" s="143"/>
      <c r="N317" s="221" t="str">
        <f>IF(N316=N$113,IF(COUNT(N$113:Q316)&lt;DMAX(F$113:J$403,F$113,O316:O317),COUNT(N$113:Q316)+1,""),IF(COUNT(N$113:Q316)&lt;DMAX(F$113:J$403,F$113,Q316:Q317),N$113,""))</f>
        <v/>
      </c>
      <c r="O317" s="222" t="str">
        <f>IF(O316=O$113,IF(COUNTA(L$111:L316)-2&lt;DMAX(F$113:J$403,F$113,Q315:Q316),Protokoll!I$1,""),IF(O316&lt;&gt;"",IF(COUNTA(L$111:L316)-1&lt;DMAX(F$113:J$403,F$113,O315:O316),O$113,""),""))</f>
        <v/>
      </c>
      <c r="P317" s="223" t="str">
        <f>IF(N316=N$113,IF(COUNT(N$113:Q316)&lt;DMAX(F$113:J$403,F$113,O316:O317),N$113,""),IF(COUNT(N$113:Q316)&lt;DMAX(F$113:J$403,F$113,Q316:Q317),COUNT(N$113:Q316)+1,""))</f>
        <v/>
      </c>
      <c r="Q317" s="199" t="str">
        <f>IF(O316=O$113,IF(COUNTA(L$111:L316)-2&lt;DMAX(F$113:J$403,F$113,Q315:Q316),O$113,""),IF(Q316&lt;&gt;"",IF(COUNTA(L$111:L316)-2&lt;DMAX(F$113:J$403,F$113,O315:O316),Protokoll!I$1,""),""))</f>
        <v/>
      </c>
      <c r="T317" s="331" t="str">
        <f>IF(OR(Protokoll!$X$5&lt;&gt;"",Lokalbeskrivn!$M$4&lt;&gt;""),"",U317)</f>
        <v/>
      </c>
      <c r="U317" s="330" t="s">
        <v>1063</v>
      </c>
      <c r="Y317" s="572" t="s">
        <v>1901</v>
      </c>
      <c r="Z317" s="572" t="s">
        <v>1902</v>
      </c>
      <c r="AB317" s="475" t="str">
        <f>IF(COUNT(AB313:AB316)&gt;0,MAX(AB313:AB316)+1,"")</f>
        <v/>
      </c>
      <c r="AC317" s="433" t="str">
        <f>IF(AND(AH317&lt;&gt;"",AG317&lt;&gt;"",AI317&gt;0,AH317&gt;0),MAX(AC$2:AC316)+1,"XX")</f>
        <v>XX</v>
      </c>
      <c r="AD317" s="430" t="str">
        <f>IF('Antal &amp; Längder (vikter)'!$C$38&lt;&gt;"",'Antal &amp; Längder (vikter)'!$C$38,"XX")</f>
        <v>XX</v>
      </c>
      <c r="AE317" s="416" t="str">
        <f>IF(AND('Antal &amp; Längder (vikter)'!H$40&lt;&gt;"",ISNUMBER($AH317)),'Antal &amp; Längder (vikter)'!H$40,"")</f>
        <v/>
      </c>
      <c r="AF317" s="425" t="str">
        <f t="shared" si="10"/>
        <v/>
      </c>
      <c r="AG317" s="426" t="str">
        <f t="shared" si="11"/>
        <v/>
      </c>
      <c r="AH317" s="409" t="str">
        <f>IF('Antal &amp; Längder (vikter)'!I$41="Längd (mm)",IF('Antal &amp; Längder (vikter)'!I46&lt;&gt;"",'Antal &amp; Längder (vikter)'!I46,"XX"),"XX")</f>
        <v>XX</v>
      </c>
      <c r="AI317" s="7">
        <v>-9</v>
      </c>
    </row>
    <row r="318" spans="5:35" x14ac:dyDescent="0.25">
      <c r="F318" s="199">
        <f>COUNTIF(J$113:J318,J318)</f>
        <v>17</v>
      </c>
      <c r="G318" t="s">
        <v>333</v>
      </c>
      <c r="H318" s="330">
        <v>183</v>
      </c>
      <c r="I318" s="330">
        <v>1</v>
      </c>
      <c r="J318" t="s">
        <v>136</v>
      </c>
      <c r="K318" s="143"/>
      <c r="L318" s="220" t="str">
        <f>IF(Protokoll!I$1&lt;&gt;"",IF(N317=N$113,IF(AND(DMAX(F$113:J$403,F$113,O317:O318)&gt;COUNTA(L$111:L317)-2,DCOUNTA(F$113:J$403,G$113,N317:O318)=1),DGET(F$113:J$403,G$113,N317:O318),""),IF(AND(DMAX(F$113:J$403,F$113,Q317:Q318)&gt;COUNTA(L$111:L317)-2,DCOUNTA(F$113:J$403,G$113,P317:Q318)=1),DGET(F$113:J$403,G$113,P317:Q318),"")),G318)</f>
        <v/>
      </c>
      <c r="M318" s="143"/>
      <c r="N318" s="221" t="str">
        <f>IF(N317=N$113,IF(COUNT(N$113:Q317)&lt;DMAX(F$113:J$403,F$113,O317:O318),COUNT(N$113:Q317)+1,""),IF(COUNT(N$113:Q317)&lt;DMAX(F$113:J$403,F$113,Q317:Q318),N$113,""))</f>
        <v/>
      </c>
      <c r="O318" s="222" t="str">
        <f>IF(O317=O$113,IF(COUNTA(L$111:L317)-2&lt;DMAX(F$113:J$403,F$113,Q316:Q317),Protokoll!I$1,""),IF(O317&lt;&gt;"",IF(COUNTA(L$111:L317)-1&lt;DMAX(F$113:J$403,F$113,O316:O317),O$113,""),""))</f>
        <v/>
      </c>
      <c r="P318" s="223" t="str">
        <f>IF(N317=N$113,IF(COUNT(N$113:Q317)&lt;DMAX(F$113:J$403,F$113,O317:O318),N$113,""),IF(COUNT(N$113:Q317)&lt;DMAX(F$113:J$403,F$113,Q317:Q318),COUNT(N$113:Q317)+1,""))</f>
        <v/>
      </c>
      <c r="Q318" s="199" t="str">
        <f>IF(O317=O$113,IF(COUNTA(L$111:L317)-2&lt;DMAX(F$113:J$403,F$113,Q316:Q317),O$113,""),IF(Q317&lt;&gt;"",IF(COUNTA(L$111:L317)-2&lt;DMAX(F$113:J$403,F$113,O316:O317),Protokoll!I$1,""),""))</f>
        <v/>
      </c>
      <c r="T318" s="331" t="str">
        <f>IF(OR(Protokoll!$X$5&lt;&gt;"",Lokalbeskrivn!$M$4&lt;&gt;""),"",U318)</f>
        <v/>
      </c>
      <c r="U318" s="330" t="s">
        <v>1065</v>
      </c>
      <c r="Y318" s="572" t="s">
        <v>1747</v>
      </c>
      <c r="Z318" s="572" t="s">
        <v>1748</v>
      </c>
      <c r="AB318" s="471" t="str">
        <f>IF(COUNT(AB313:AB317)&gt;0,MAX(AB313:AB317)+1,"")</f>
        <v/>
      </c>
      <c r="AC318" s="433" t="str">
        <f>IF(AND(AH318&lt;&gt;"",AG318&lt;&gt;"",AI318&gt;0,AH318&gt;0),MAX(AC$2:AC317)+1,"XX")</f>
        <v>XX</v>
      </c>
      <c r="AD318" s="430" t="str">
        <f>IF('Antal &amp; Längder (vikter)'!$C$38&lt;&gt;"",'Antal &amp; Längder (vikter)'!$C$38,"XX")</f>
        <v>XX</v>
      </c>
      <c r="AE318" s="416" t="str">
        <f>IF(AND('Antal &amp; Längder (vikter)'!H$40&lt;&gt;"",ISNUMBER($AH318)),'Antal &amp; Längder (vikter)'!H$40,"")</f>
        <v/>
      </c>
      <c r="AF318" s="425" t="str">
        <f t="shared" si="10"/>
        <v/>
      </c>
      <c r="AG318" s="426" t="str">
        <f t="shared" si="11"/>
        <v/>
      </c>
      <c r="AH318" s="409" t="str">
        <f>IF('Antal &amp; Längder (vikter)'!I$41="Längd (mm)",IF('Antal &amp; Längder (vikter)'!I47&lt;&gt;"",'Antal &amp; Längder (vikter)'!I47,"XX"),"XX")</f>
        <v>XX</v>
      </c>
      <c r="AI318" s="7">
        <v>-9</v>
      </c>
    </row>
    <row r="319" spans="5:35" x14ac:dyDescent="0.25">
      <c r="F319" s="199">
        <f>COUNTIF(J$113:J319,J319)</f>
        <v>4</v>
      </c>
      <c r="G319" t="s">
        <v>334</v>
      </c>
      <c r="H319" s="330">
        <v>2281</v>
      </c>
      <c r="I319" s="330">
        <v>22</v>
      </c>
      <c r="J319" t="s">
        <v>145</v>
      </c>
      <c r="K319" s="143"/>
      <c r="L319" s="220" t="str">
        <f>IF(Protokoll!I$1&lt;&gt;"",IF(N318=N$113,IF(AND(DMAX(F$113:J$403,F$113,O318:O319)&gt;COUNTA(L$111:L318)-2,DCOUNTA(F$113:J$403,G$113,N318:O319)=1),DGET(F$113:J$403,G$113,N318:O319),""),IF(AND(DMAX(F$113:J$403,F$113,Q318:Q319)&gt;COUNTA(L$111:L318)-2,DCOUNTA(F$113:J$403,G$113,P318:Q319)=1),DGET(F$113:J$403,G$113,P318:Q319),"")),G319)</f>
        <v/>
      </c>
      <c r="M319" s="143"/>
      <c r="N319" s="221" t="str">
        <f>IF(N318=N$113,IF(COUNT(N$113:Q318)&lt;DMAX(F$113:J$403,F$113,O318:O319),COUNT(N$113:Q318)+1,""),IF(COUNT(N$113:Q318)&lt;DMAX(F$113:J$403,F$113,Q318:Q319),N$113,""))</f>
        <v/>
      </c>
      <c r="O319" s="222" t="str">
        <f>IF(O318=O$113,IF(COUNTA(L$111:L318)-2&lt;DMAX(F$113:J$403,F$113,Q317:Q318),Protokoll!I$1,""),IF(O318&lt;&gt;"",IF(COUNTA(L$111:L318)-1&lt;DMAX(F$113:J$403,F$113,O317:O318),O$113,""),""))</f>
        <v/>
      </c>
      <c r="P319" s="223" t="str">
        <f>IF(N318=N$113,IF(COUNT(N$113:Q318)&lt;DMAX(F$113:J$403,F$113,O318:O319),N$113,""),IF(COUNT(N$113:Q318)&lt;DMAX(F$113:J$403,F$113,Q318:Q319),COUNT(N$113:Q318)+1,""))</f>
        <v/>
      </c>
      <c r="Q319" s="199" t="str">
        <f>IF(O318=O$113,IF(COUNTA(L$111:L318)-2&lt;DMAX(F$113:J$403,F$113,Q317:Q318),O$113,""),IF(Q318&lt;&gt;"",IF(COUNTA(L$111:L318)-2&lt;DMAX(F$113:J$403,F$113,O317:O318),Protokoll!I$1,""),""))</f>
        <v/>
      </c>
      <c r="T319" s="331" t="str">
        <f>IF(OR(Protokoll!$X$5&lt;&gt;"",Lokalbeskrivn!$M$4&lt;&gt;""),"",U319)</f>
        <v/>
      </c>
      <c r="U319" s="330" t="s">
        <v>1067</v>
      </c>
      <c r="Y319" s="572" t="s">
        <v>2472</v>
      </c>
      <c r="Z319" s="572" t="s">
        <v>2473</v>
      </c>
      <c r="AB319" s="474" t="str">
        <f>IF(COUNT(AB313:AB318)&gt;0,MAX(AB313:AB318)+1,"")</f>
        <v/>
      </c>
      <c r="AC319" s="433" t="str">
        <f>IF(AND(AH319&lt;&gt;"",AG319&lt;&gt;"",AI319&gt;0,AH319&gt;0),MAX(AC$2:AC318)+1,"XX")</f>
        <v>XX</v>
      </c>
      <c r="AD319" s="430" t="str">
        <f>IF('Antal &amp; Längder (vikter)'!$C$38&lt;&gt;"",'Antal &amp; Längder (vikter)'!$C$38,"XX")</f>
        <v>XX</v>
      </c>
      <c r="AE319" s="416" t="str">
        <f>IF(AND('Antal &amp; Längder (vikter)'!H$40&lt;&gt;"",ISNUMBER($AH319)),'Antal &amp; Längder (vikter)'!H$40,"")</f>
        <v/>
      </c>
      <c r="AF319" s="425" t="str">
        <f t="shared" si="10"/>
        <v/>
      </c>
      <c r="AG319" s="426" t="str">
        <f t="shared" si="11"/>
        <v/>
      </c>
      <c r="AH319" s="409" t="str">
        <f>IF('Antal &amp; Längder (vikter)'!I$41="Längd (mm)",IF('Antal &amp; Längder (vikter)'!I48&lt;&gt;"",'Antal &amp; Längder (vikter)'!I48,"XX"),"XX")</f>
        <v>XX</v>
      </c>
      <c r="AI319" s="7">
        <v>-9</v>
      </c>
    </row>
    <row r="320" spans="5:35" x14ac:dyDescent="0.25">
      <c r="F320" s="199">
        <f>COUNTIF(J$113:J320,J320)</f>
        <v>13</v>
      </c>
      <c r="G320" t="s">
        <v>335</v>
      </c>
      <c r="H320" s="330">
        <v>1766</v>
      </c>
      <c r="I320" s="330">
        <v>17</v>
      </c>
      <c r="J320" t="s">
        <v>131</v>
      </c>
      <c r="K320" s="143"/>
      <c r="L320" s="220" t="str">
        <f>IF(Protokoll!I$1&lt;&gt;"",IF(N319=N$113,IF(AND(DMAX(F$113:J$403,F$113,O319:O320)&gt;COUNTA(L$111:L319)-2,DCOUNTA(F$113:J$403,G$113,N319:O320)=1),DGET(F$113:J$403,G$113,N319:O320),""),IF(AND(DMAX(F$113:J$403,F$113,Q319:Q320)&gt;COUNTA(L$111:L319)-2,DCOUNTA(F$113:J$403,G$113,P319:Q320)=1),DGET(F$113:J$403,G$113,P319:Q320),"")),G320)</f>
        <v/>
      </c>
      <c r="M320" s="143"/>
      <c r="N320" s="221" t="str">
        <f>IF(N319=N$113,IF(COUNT(N$113:Q319)&lt;DMAX(F$113:J$403,F$113,O319:O320),COUNT(N$113:Q319)+1,""),IF(COUNT(N$113:Q319)&lt;DMAX(F$113:J$403,F$113,Q319:Q320),N$113,""))</f>
        <v/>
      </c>
      <c r="O320" s="222" t="str">
        <f>IF(O319=O$113,IF(COUNTA(L$111:L319)-2&lt;DMAX(F$113:J$403,F$113,Q318:Q319),Protokoll!I$1,""),IF(O319&lt;&gt;"",IF(COUNTA(L$111:L319)-1&lt;DMAX(F$113:J$403,F$113,O318:O319),O$113,""),""))</f>
        <v/>
      </c>
      <c r="P320" s="223" t="str">
        <f>IF(N319=N$113,IF(COUNT(N$113:Q319)&lt;DMAX(F$113:J$403,F$113,O319:O320),N$113,""),IF(COUNT(N$113:Q319)&lt;DMAX(F$113:J$403,F$113,Q319:Q320),COUNT(N$113:Q319)+1,""))</f>
        <v/>
      </c>
      <c r="Q320" s="199" t="str">
        <f>IF(O319=O$113,IF(COUNTA(L$111:L319)-2&lt;DMAX(F$113:J$403,F$113,Q318:Q319),O$113,""),IF(Q319&lt;&gt;"",IF(COUNTA(L$111:L319)-2&lt;DMAX(F$113:J$403,F$113,O318:O319),Protokoll!I$1,""),""))</f>
        <v/>
      </c>
      <c r="T320" s="331" t="str">
        <f>IF(OR(Protokoll!$X$5&lt;&gt;"",Lokalbeskrivn!$M$4&lt;&gt;""),"",U320)</f>
        <v/>
      </c>
      <c r="U320" s="330" t="s">
        <v>1069</v>
      </c>
      <c r="X320" s="353"/>
      <c r="Y320" s="572" t="s">
        <v>1909</v>
      </c>
      <c r="Z320" s="572" t="s">
        <v>1910</v>
      </c>
      <c r="AB320" s="478" t="str">
        <f>IF(COUNT(AB313:AB319)&gt;0,MAX(AB313:AB319)+1,"")</f>
        <v/>
      </c>
      <c r="AC320" s="433" t="str">
        <f>IF(AND(AH320&lt;&gt;"",AG320&lt;&gt;"",AI320&gt;0,AH320&gt;0),MAX(AC$2:AC319)+1,"XX")</f>
        <v>XX</v>
      </c>
      <c r="AD320" s="430" t="str">
        <f>IF('Antal &amp; Längder (vikter)'!$C$38&lt;&gt;"",'Antal &amp; Längder (vikter)'!$C$38,"XX")</f>
        <v>XX</v>
      </c>
      <c r="AE320" s="416" t="str">
        <f>IF(AND('Antal &amp; Längder (vikter)'!H$40&lt;&gt;"",ISNUMBER($AH320)),'Antal &amp; Längder (vikter)'!H$40,"")</f>
        <v/>
      </c>
      <c r="AF320" s="425" t="str">
        <f t="shared" si="10"/>
        <v/>
      </c>
      <c r="AG320" s="426" t="str">
        <f t="shared" si="11"/>
        <v/>
      </c>
      <c r="AH320" s="409" t="str">
        <f>IF('Antal &amp; Längder (vikter)'!I$41="Längd (mm)",IF('Antal &amp; Längder (vikter)'!I49&lt;&gt;"",'Antal &amp; Längder (vikter)'!I49,"XX"),"XX")</f>
        <v>XX</v>
      </c>
      <c r="AI320" s="7">
        <v>-9</v>
      </c>
    </row>
    <row r="321" spans="6:35" x14ac:dyDescent="0.25">
      <c r="F321" s="199">
        <f>COUNTIF(J$113:J321,J321)</f>
        <v>10</v>
      </c>
      <c r="G321" t="s">
        <v>336</v>
      </c>
      <c r="H321" s="330">
        <v>1907</v>
      </c>
      <c r="I321" s="330">
        <v>19</v>
      </c>
      <c r="J321" t="s">
        <v>125</v>
      </c>
      <c r="K321" s="143"/>
      <c r="L321" s="220" t="str">
        <f>IF(Protokoll!I$1&lt;&gt;"",IF(N320=N$113,IF(AND(DMAX(F$113:J$403,F$113,O320:O321)&gt;COUNTA(L$111:L320)-2,DCOUNTA(F$113:J$403,G$113,N320:O321)=1),DGET(F$113:J$403,G$113,N320:O321),""),IF(AND(DMAX(F$113:J$403,F$113,Q320:Q321)&gt;COUNTA(L$111:L320)-2,DCOUNTA(F$113:J$403,G$113,P320:Q321)=1),DGET(F$113:J$403,G$113,P320:Q321),"")),G321)</f>
        <v/>
      </c>
      <c r="M321" s="143"/>
      <c r="N321" s="221" t="str">
        <f>IF(N320=N$113,IF(COUNT(N$113:Q320)&lt;DMAX(F$113:J$403,F$113,O320:O321),COUNT(N$113:Q320)+1,""),IF(COUNT(N$113:Q320)&lt;DMAX(F$113:J$403,F$113,Q320:Q321),N$113,""))</f>
        <v/>
      </c>
      <c r="O321" s="222" t="str">
        <f>IF(O320=O$113,IF(COUNTA(L$111:L320)-2&lt;DMAX(F$113:J$403,F$113,Q319:Q320),Protokoll!I$1,""),IF(O320&lt;&gt;"",IF(COUNTA(L$111:L320)-1&lt;DMAX(F$113:J$403,F$113,O319:O320),O$113,""),""))</f>
        <v/>
      </c>
      <c r="P321" s="223" t="str">
        <f>IF(N320=N$113,IF(COUNT(N$113:Q320)&lt;DMAX(F$113:J$403,F$113,O320:O321),N$113,""),IF(COUNT(N$113:Q320)&lt;DMAX(F$113:J$403,F$113,Q320:Q321),COUNT(N$113:Q320)+1,""))</f>
        <v/>
      </c>
      <c r="Q321" s="199" t="str">
        <f>IF(O320=O$113,IF(COUNTA(L$111:L320)-2&lt;DMAX(F$113:J$403,F$113,Q319:Q320),O$113,""),IF(Q320&lt;&gt;"",IF(COUNTA(L$111:L320)-2&lt;DMAX(F$113:J$403,F$113,O319:O320),Protokoll!I$1,""),""))</f>
        <v/>
      </c>
      <c r="T321" s="331" t="str">
        <f>IF(OR(Protokoll!$X$5&lt;&gt;"",Lokalbeskrivn!$M$4&lt;&gt;""),"",U321)</f>
        <v/>
      </c>
      <c r="U321" s="330" t="s">
        <v>1071</v>
      </c>
      <c r="Y321" s="572" t="s">
        <v>1907</v>
      </c>
      <c r="Z321" s="572" t="s">
        <v>1908</v>
      </c>
      <c r="AB321" s="472" t="str">
        <f>IF(COUNT(AB313:AB320)&gt;0,MAX(AB313:AB320)+1,"")</f>
        <v/>
      </c>
      <c r="AC321" s="433" t="str">
        <f>IF(AND(AH321&lt;&gt;"",AG321&lt;&gt;"",AI321&gt;0,AH321&gt;0),MAX(AC$2:AC320)+1,"XX")</f>
        <v>XX</v>
      </c>
      <c r="AD321" s="430" t="str">
        <f>IF('Antal &amp; Längder (vikter)'!$C$38&lt;&gt;"",'Antal &amp; Längder (vikter)'!$C$38,"XX")</f>
        <v>XX</v>
      </c>
      <c r="AE321" s="416" t="str">
        <f>IF(AND('Antal &amp; Längder (vikter)'!H$40&lt;&gt;"",ISNUMBER($AH321)),'Antal &amp; Längder (vikter)'!H$40,"")</f>
        <v/>
      </c>
      <c r="AF321" s="425" t="str">
        <f t="shared" si="10"/>
        <v/>
      </c>
      <c r="AG321" s="426" t="str">
        <f t="shared" si="11"/>
        <v/>
      </c>
      <c r="AH321" s="409" t="str">
        <f>IF('Antal &amp; Längder (vikter)'!I$41="Längd (mm)",IF('Antal &amp; Längder (vikter)'!I50&lt;&gt;"",'Antal &amp; Längder (vikter)'!I50,"XX"),"XX")</f>
        <v>XX</v>
      </c>
      <c r="AI321" s="7">
        <v>-9</v>
      </c>
    </row>
    <row r="322" spans="6:35" x14ac:dyDescent="0.25">
      <c r="F322" s="199">
        <f>COUNTIF(J$113:J322,J322)</f>
        <v>24</v>
      </c>
      <c r="G322" t="s">
        <v>337</v>
      </c>
      <c r="H322" s="330">
        <v>1214</v>
      </c>
      <c r="I322" s="330">
        <v>12</v>
      </c>
      <c r="J322" t="s">
        <v>134</v>
      </c>
      <c r="K322" s="143"/>
      <c r="L322" s="220" t="str">
        <f>IF(Protokoll!I$1&lt;&gt;"",IF(N321=N$113,IF(AND(DMAX(F$113:J$403,F$113,O321:O322)&gt;COUNTA(L$111:L321)-2,DCOUNTA(F$113:J$403,G$113,N321:O322)=1),DGET(F$113:J$403,G$113,N321:O322),""),IF(AND(DMAX(F$113:J$403,F$113,Q321:Q322)&gt;COUNTA(L$111:L321)-2,DCOUNTA(F$113:J$403,G$113,P321:Q322)=1),DGET(F$113:J$403,G$113,P321:Q322),"")),G322)</f>
        <v/>
      </c>
      <c r="M322" s="143"/>
      <c r="N322" s="221" t="str">
        <f>IF(N321=N$113,IF(COUNT(N$113:Q321)&lt;DMAX(F$113:J$403,F$113,O321:O322),COUNT(N$113:Q321)+1,""),IF(COUNT(N$113:Q321)&lt;DMAX(F$113:J$403,F$113,Q321:Q322),N$113,""))</f>
        <v/>
      </c>
      <c r="O322" s="222" t="str">
        <f>IF(O321=O$113,IF(COUNTA(L$111:L321)-2&lt;DMAX(F$113:J$403,F$113,Q320:Q321),Protokoll!I$1,""),IF(O321&lt;&gt;"",IF(COUNTA(L$111:L321)-1&lt;DMAX(F$113:J$403,F$113,O320:O321),O$113,""),""))</f>
        <v/>
      </c>
      <c r="P322" s="223" t="str">
        <f>IF(N321=N$113,IF(COUNT(N$113:Q321)&lt;DMAX(F$113:J$403,F$113,O321:O322),N$113,""),IF(COUNT(N$113:Q321)&lt;DMAX(F$113:J$403,F$113,Q321:Q322),COUNT(N$113:Q321)+1,""))</f>
        <v/>
      </c>
      <c r="Q322" s="199" t="str">
        <f>IF(O321=O$113,IF(COUNTA(L$111:L321)-2&lt;DMAX(F$113:J$403,F$113,Q320:Q321),O$113,""),IF(Q321&lt;&gt;"",IF(COUNTA(L$111:L321)-2&lt;DMAX(F$113:J$403,F$113,O320:O321),Protokoll!I$1,""),""))</f>
        <v/>
      </c>
      <c r="T322" s="331" t="str">
        <f>IF(OR(Protokoll!$X$5&lt;&gt;"",Lokalbeskrivn!$M$4&lt;&gt;""),"",U322)</f>
        <v/>
      </c>
      <c r="U322" s="330" t="s">
        <v>1073</v>
      </c>
      <c r="Y322" s="572" t="s">
        <v>2474</v>
      </c>
      <c r="Z322" s="572" t="s">
        <v>2475</v>
      </c>
      <c r="AB322" s="479" t="str">
        <f>IF(COUNT(AB313:AB321)&gt;0,MAX(AB313:AB321)+1,"")</f>
        <v/>
      </c>
      <c r="AC322" s="433" t="str">
        <f>IF(AND(AH322&lt;&gt;"",AG322&lt;&gt;"",AI322&gt;0,AH322&gt;0),MAX(AC$2:AC321)+1,"XX")</f>
        <v>XX</v>
      </c>
      <c r="AD322" s="430" t="str">
        <f>IF('Antal &amp; Längder (vikter)'!$C$38&lt;&gt;"",'Antal &amp; Längder (vikter)'!$C$38,"XX")</f>
        <v>XX</v>
      </c>
      <c r="AE322" s="416" t="str">
        <f>IF(AND('Antal &amp; Längder (vikter)'!H$40&lt;&gt;"",ISNUMBER($AH322)),'Antal &amp; Längder (vikter)'!H$40,"")</f>
        <v/>
      </c>
      <c r="AF322" s="425" t="str">
        <f t="shared" si="10"/>
        <v/>
      </c>
      <c r="AG322" s="426" t="str">
        <f t="shared" si="11"/>
        <v/>
      </c>
      <c r="AH322" s="409" t="str">
        <f>IF('Antal &amp; Längder (vikter)'!I$41="Längd (mm)",IF('Antal &amp; Längder (vikter)'!I51&lt;&gt;"",'Antal &amp; Längder (vikter)'!I51,"XX"),"XX")</f>
        <v>XX</v>
      </c>
      <c r="AI322" s="7">
        <v>-9</v>
      </c>
    </row>
    <row r="323" spans="6:35" x14ac:dyDescent="0.25">
      <c r="F323" s="199">
        <f>COUNTIF(J$113:J323,J323)</f>
        <v>25</v>
      </c>
      <c r="G323" t="s">
        <v>338</v>
      </c>
      <c r="H323" s="330">
        <v>1263</v>
      </c>
      <c r="I323" s="330">
        <v>12</v>
      </c>
      <c r="J323" t="s">
        <v>134</v>
      </c>
      <c r="K323" s="143"/>
      <c r="L323" s="220" t="str">
        <f>IF(Protokoll!I$1&lt;&gt;"",IF(N322=N$113,IF(AND(DMAX(F$113:J$403,F$113,O322:O323)&gt;COUNTA(L$111:L322)-2,DCOUNTA(F$113:J$403,G$113,N322:O323)=1),DGET(F$113:J$403,G$113,N322:O323),""),IF(AND(DMAX(F$113:J$403,F$113,Q322:Q323)&gt;COUNTA(L$111:L322)-2,DCOUNTA(F$113:J$403,G$113,P322:Q323)=1),DGET(F$113:J$403,G$113,P322:Q323),"")),G323)</f>
        <v/>
      </c>
      <c r="M323" s="143"/>
      <c r="N323" s="221" t="str">
        <f>IF(N322=N$113,IF(COUNT(N$113:Q322)&lt;DMAX(F$113:J$403,F$113,O322:O323),COUNT(N$113:Q322)+1,""),IF(COUNT(N$113:Q322)&lt;DMAX(F$113:J$403,F$113,Q322:Q323),N$113,""))</f>
        <v/>
      </c>
      <c r="O323" s="222" t="str">
        <f>IF(O322=O$113,IF(COUNTA(L$111:L322)-2&lt;DMAX(F$113:J$403,F$113,Q321:Q322),Protokoll!I$1,""),IF(O322&lt;&gt;"",IF(COUNTA(L$111:L322)-1&lt;DMAX(F$113:J$403,F$113,O321:O322),O$113,""),""))</f>
        <v/>
      </c>
      <c r="P323" s="223" t="str">
        <f>IF(N322=N$113,IF(COUNT(N$113:Q322)&lt;DMAX(F$113:J$403,F$113,O322:O323),N$113,""),IF(COUNT(N$113:Q322)&lt;DMAX(F$113:J$403,F$113,Q322:Q323),COUNT(N$113:Q322)+1,""))</f>
        <v/>
      </c>
      <c r="Q323" s="199" t="str">
        <f>IF(O322=O$113,IF(COUNTA(L$111:L322)-2&lt;DMAX(F$113:J$403,F$113,Q321:Q322),O$113,""),IF(Q322&lt;&gt;"",IF(COUNTA(L$111:L322)-2&lt;DMAX(F$113:J$403,F$113,O321:O322),Protokoll!I$1,""),""))</f>
        <v/>
      </c>
      <c r="T323" s="331" t="str">
        <f>IF(OR(Protokoll!$X$5&lt;&gt;"",Lokalbeskrivn!$M$4&lt;&gt;""),"",U323)</f>
        <v/>
      </c>
      <c r="U323" s="330" t="s">
        <v>1075</v>
      </c>
      <c r="Y323" s="572" t="s">
        <v>2476</v>
      </c>
      <c r="Z323" s="572" t="s">
        <v>2477</v>
      </c>
      <c r="AB323" s="480" t="str">
        <f>IF(AND(ISNUMBER(AH323),AH323&gt;0),IF(MAX(AB$3:AB322)&gt;0,MAX(AB$3:AB322)+1,10+COUNTIF(F$38:F$49,"&gt;0")*10+1),"")</f>
        <v/>
      </c>
      <c r="AC323" s="433" t="str">
        <f>IF(AND(AH323&lt;&gt;"",AG323&lt;&gt;"",AI323&gt;0,AH323&gt;0),MAX(AC$2:AC322)+1,"XX")</f>
        <v>XX</v>
      </c>
      <c r="AD323" s="430" t="str">
        <f>IF('Antal &amp; Längder (vikter)'!$C$38&lt;&gt;"",'Antal &amp; Längder (vikter)'!$C$38,"XX")</f>
        <v>XX</v>
      </c>
      <c r="AE323" s="408" t="str">
        <f>IF(AND('Antal &amp; Längder (vikter)'!J$40&lt;&gt;"",ISNUMBER($AH323)),'Antal &amp; Längder (vikter)'!J$40,"")</f>
        <v/>
      </c>
      <c r="AF323" s="425" t="str">
        <f t="shared" ref="AF323:AF386" si="12">IF(AND(ISNUMBER(AH323),AE323&lt;&gt;""),VLOOKUP(AE323,$N$2:$O$60,2,FALSE),"")</f>
        <v/>
      </c>
      <c r="AG323" s="426" t="str">
        <f t="shared" ref="AG323:AG386" si="13">IF(AF323&lt;&gt;"",VLOOKUP(AF323,O$2:U$60,7,FALSE),"")</f>
        <v/>
      </c>
      <c r="AH323" s="407" t="str">
        <f>IF('Antal &amp; Längder (vikter)'!J42&lt;&gt;"",'Antal &amp; Längder (vikter)'!J42,"XX")</f>
        <v>XX</v>
      </c>
      <c r="AI323" s="405">
        <f>IF('Antal &amp; Längder (vikter)'!K$41="Vikt (g)",IF('Antal &amp; Längder (vikter)'!K42&lt;&gt;"",'Antal &amp; Längder (vikter)'!K42,-9),-9)</f>
        <v>-9</v>
      </c>
    </row>
    <row r="324" spans="6:35" x14ac:dyDescent="0.25">
      <c r="F324" s="199">
        <f>COUNTIF(J$113:J324,J324)</f>
        <v>35</v>
      </c>
      <c r="G324" t="s">
        <v>339</v>
      </c>
      <c r="H324" s="330">
        <v>1465</v>
      </c>
      <c r="I324" s="330">
        <v>14</v>
      </c>
      <c r="J324" t="s">
        <v>114</v>
      </c>
      <c r="K324" s="143"/>
      <c r="L324" s="220" t="str">
        <f>IF(Protokoll!I$1&lt;&gt;"",IF(N323=N$113,IF(AND(DMAX(F$113:J$403,F$113,O323:O324)&gt;COUNTA(L$111:L323)-2,DCOUNTA(F$113:J$403,G$113,N323:O324)=1),DGET(F$113:J$403,G$113,N323:O324),""),IF(AND(DMAX(F$113:J$403,F$113,Q323:Q324)&gt;COUNTA(L$111:L323)-2,DCOUNTA(F$113:J$403,G$113,P323:Q324)=1),DGET(F$113:J$403,G$113,P323:Q324),"")),G324)</f>
        <v/>
      </c>
      <c r="M324" s="143"/>
      <c r="N324" s="221" t="str">
        <f>IF(N323=N$113,IF(COUNT(N$113:Q323)&lt;DMAX(F$113:J$403,F$113,O323:O324),COUNT(N$113:Q323)+1,""),IF(COUNT(N$113:Q323)&lt;DMAX(F$113:J$403,F$113,Q323:Q324),N$113,""))</f>
        <v/>
      </c>
      <c r="O324" s="222" t="str">
        <f>IF(O323=O$113,IF(COUNTA(L$111:L323)-2&lt;DMAX(F$113:J$403,F$113,Q322:Q323),Protokoll!I$1,""),IF(O323&lt;&gt;"",IF(COUNTA(L$111:L323)-1&lt;DMAX(F$113:J$403,F$113,O322:O323),O$113,""),""))</f>
        <v/>
      </c>
      <c r="P324" s="223" t="str">
        <f>IF(N323=N$113,IF(COUNT(N$113:Q323)&lt;DMAX(F$113:J$403,F$113,O323:O324),N$113,""),IF(COUNT(N$113:Q323)&lt;DMAX(F$113:J$403,F$113,Q323:Q324),COUNT(N$113:Q323)+1,""))</f>
        <v/>
      </c>
      <c r="Q324" s="199" t="str">
        <f>IF(O323=O$113,IF(COUNTA(L$111:L323)-2&lt;DMAX(F$113:J$403,F$113,Q322:Q323),O$113,""),IF(Q323&lt;&gt;"",IF(COUNTA(L$111:L323)-2&lt;DMAX(F$113:J$403,F$113,O322:O323),Protokoll!I$1,""),""))</f>
        <v/>
      </c>
      <c r="T324" s="331" t="str">
        <f>IF(OR(Protokoll!$X$5&lt;&gt;"",Lokalbeskrivn!$M$4&lt;&gt;""),"",U324)</f>
        <v/>
      </c>
      <c r="U324" s="330" t="s">
        <v>1077</v>
      </c>
      <c r="Y324" s="572" t="s">
        <v>1919</v>
      </c>
      <c r="Z324" s="572" t="s">
        <v>1920</v>
      </c>
      <c r="AB324" s="476" t="str">
        <f>IF(COUNT(AB323:AB323)&gt;0,MAX(AB323:AB323)+1,"")</f>
        <v/>
      </c>
      <c r="AC324" s="433" t="str">
        <f>IF(AND(AH324&lt;&gt;"",AG324&lt;&gt;"",AI324&gt;0,AH324&gt;0),MAX(AC$2:AC323)+1,"XX")</f>
        <v>XX</v>
      </c>
      <c r="AD324" s="430" t="str">
        <f>IF('Antal &amp; Längder (vikter)'!$C$38&lt;&gt;"",'Antal &amp; Längder (vikter)'!$C$38,"XX")</f>
        <v>XX</v>
      </c>
      <c r="AE324" s="408" t="str">
        <f>IF(AND('Antal &amp; Längder (vikter)'!J$40&lt;&gt;"",ISNUMBER($AH324)),'Antal &amp; Längder (vikter)'!J$40,"")</f>
        <v/>
      </c>
      <c r="AF324" s="425" t="str">
        <f t="shared" si="12"/>
        <v/>
      </c>
      <c r="AG324" s="426" t="str">
        <f t="shared" si="13"/>
        <v/>
      </c>
      <c r="AH324" s="407" t="str">
        <f>IF('Antal &amp; Längder (vikter)'!J43&lt;&gt;"",'Antal &amp; Längder (vikter)'!J43,"XX")</f>
        <v>XX</v>
      </c>
      <c r="AI324" s="405">
        <f>IF('Antal &amp; Längder (vikter)'!K$41="Vikt (g)",IF('Antal &amp; Längder (vikter)'!K43&lt;&gt;"",'Antal &amp; Längder (vikter)'!K43,-9),-9)</f>
        <v>-9</v>
      </c>
    </row>
    <row r="325" spans="6:35" x14ac:dyDescent="0.25">
      <c r="F325" s="199">
        <f>COUNTIF(J$113:J325,J325)</f>
        <v>14</v>
      </c>
      <c r="G325" t="s">
        <v>340</v>
      </c>
      <c r="H325" s="330">
        <v>1785</v>
      </c>
      <c r="I325" s="330">
        <v>17</v>
      </c>
      <c r="J325" t="s">
        <v>131</v>
      </c>
      <c r="K325" s="143"/>
      <c r="L325" s="220" t="str">
        <f>IF(Protokoll!I$1&lt;&gt;"",IF(N324=N$113,IF(AND(DMAX(F$113:J$403,F$113,O324:O325)&gt;COUNTA(L$111:L324)-2,DCOUNTA(F$113:J$403,G$113,N324:O325)=1),DGET(F$113:J$403,G$113,N324:O325),""),IF(AND(DMAX(F$113:J$403,F$113,Q324:Q325)&gt;COUNTA(L$111:L324)-2,DCOUNTA(F$113:J$403,G$113,P324:Q325)=1),DGET(F$113:J$403,G$113,P324:Q325),"")),G325)</f>
        <v/>
      </c>
      <c r="M325" s="143"/>
      <c r="N325" s="221" t="str">
        <f>IF(N324=N$113,IF(COUNT(N$113:Q324)&lt;DMAX(F$113:J$403,F$113,O324:O325),COUNT(N$113:Q324)+1,""),IF(COUNT(N$113:Q324)&lt;DMAX(F$113:J$403,F$113,Q324:Q325),N$113,""))</f>
        <v/>
      </c>
      <c r="O325" s="222" t="str">
        <f>IF(O324=O$113,IF(COUNTA(L$111:L324)-2&lt;DMAX(F$113:J$403,F$113,Q323:Q324),Protokoll!I$1,""),IF(O324&lt;&gt;"",IF(COUNTA(L$111:L324)-1&lt;DMAX(F$113:J$403,F$113,O323:O324),O$113,""),""))</f>
        <v/>
      </c>
      <c r="P325" s="223" t="str">
        <f>IF(N324=N$113,IF(COUNT(N$113:Q324)&lt;DMAX(F$113:J$403,F$113,O324:O325),N$113,""),IF(COUNT(N$113:Q324)&lt;DMAX(F$113:J$403,F$113,Q324:Q325),COUNT(N$113:Q324)+1,""))</f>
        <v/>
      </c>
      <c r="Q325" s="199" t="str">
        <f>IF(O324=O$113,IF(COUNTA(L$111:L324)-2&lt;DMAX(F$113:J$403,F$113,Q323:Q324),O$113,""),IF(Q324&lt;&gt;"",IF(COUNTA(L$111:L324)-2&lt;DMAX(F$113:J$403,F$113,O323:O324),Protokoll!I$1,""),""))</f>
        <v/>
      </c>
      <c r="T325" s="331" t="str">
        <f>IF(OR(Protokoll!$X$5&lt;&gt;"",Lokalbeskrivn!$M$4&lt;&gt;""),"",U325)</f>
        <v/>
      </c>
      <c r="U325" s="330" t="s">
        <v>1079</v>
      </c>
      <c r="Y325" s="572" t="s">
        <v>1921</v>
      </c>
      <c r="Z325" s="572" t="s">
        <v>1922</v>
      </c>
      <c r="AB325" s="477" t="str">
        <f>IF(COUNT(AB323:AB324)&gt;0,MAX(AB323:AB324)+1,"")</f>
        <v/>
      </c>
      <c r="AC325" s="433" t="str">
        <f>IF(AND(AH325&lt;&gt;"",AG325&lt;&gt;"",AI325&gt;0,AH325&gt;0),MAX(AC$2:AC324)+1,"XX")</f>
        <v>XX</v>
      </c>
      <c r="AD325" s="430" t="str">
        <f>IF('Antal &amp; Längder (vikter)'!$C$38&lt;&gt;"",'Antal &amp; Längder (vikter)'!$C$38,"XX")</f>
        <v>XX</v>
      </c>
      <c r="AE325" s="408" t="str">
        <f>IF(AND('Antal &amp; Längder (vikter)'!J$40&lt;&gt;"",ISNUMBER($AH325)),'Antal &amp; Längder (vikter)'!J$40,"")</f>
        <v/>
      </c>
      <c r="AF325" s="425" t="str">
        <f t="shared" si="12"/>
        <v/>
      </c>
      <c r="AG325" s="426" t="str">
        <f t="shared" si="13"/>
        <v/>
      </c>
      <c r="AH325" s="407" t="str">
        <f>IF('Antal &amp; Längder (vikter)'!J44&lt;&gt;"",'Antal &amp; Längder (vikter)'!J44,"XX")</f>
        <v>XX</v>
      </c>
      <c r="AI325" s="405">
        <f>IF('Antal &amp; Längder (vikter)'!K$41="Vikt (g)",IF('Antal &amp; Längder (vikter)'!K44&lt;&gt;"",'Antal &amp; Längder (vikter)'!K44,-9),-9)</f>
        <v>-9</v>
      </c>
    </row>
    <row r="326" spans="6:35" x14ac:dyDescent="0.25">
      <c r="F326" s="199">
        <f>COUNTIF(J$113:J326,J326)</f>
        <v>13</v>
      </c>
      <c r="G326" t="s">
        <v>341</v>
      </c>
      <c r="H326" s="330">
        <v>2082</v>
      </c>
      <c r="I326" s="330">
        <v>20</v>
      </c>
      <c r="J326" t="s">
        <v>112</v>
      </c>
      <c r="K326" s="143"/>
      <c r="L326" s="220" t="str">
        <f>IF(Protokoll!I$1&lt;&gt;"",IF(N325=N$113,IF(AND(DMAX(F$113:J$403,F$113,O325:O326)&gt;COUNTA(L$111:L325)-2,DCOUNTA(F$113:J$403,G$113,N325:O326)=1),DGET(F$113:J$403,G$113,N325:O326),""),IF(AND(DMAX(F$113:J$403,F$113,Q325:Q326)&gt;COUNTA(L$111:L325)-2,DCOUNTA(F$113:J$403,G$113,P325:Q326)=1),DGET(F$113:J$403,G$113,P325:Q326),"")),G326)</f>
        <v/>
      </c>
      <c r="M326" s="143"/>
      <c r="N326" s="221" t="str">
        <f>IF(N325=N$113,IF(COUNT(N$113:Q325)&lt;DMAX(F$113:J$403,F$113,O325:O326),COUNT(N$113:Q325)+1,""),IF(COUNT(N$113:Q325)&lt;DMAX(F$113:J$403,F$113,Q325:Q326),N$113,""))</f>
        <v/>
      </c>
      <c r="O326" s="222" t="str">
        <f>IF(O325=O$113,IF(COUNTA(L$111:L325)-2&lt;DMAX(F$113:J$403,F$113,Q324:Q325),Protokoll!I$1,""),IF(O325&lt;&gt;"",IF(COUNTA(L$111:L325)-1&lt;DMAX(F$113:J$403,F$113,O324:O325),O$113,""),""))</f>
        <v/>
      </c>
      <c r="P326" s="223" t="str">
        <f>IF(N325=N$113,IF(COUNT(N$113:Q325)&lt;DMAX(F$113:J$403,F$113,O325:O326),N$113,""),IF(COUNT(N$113:Q325)&lt;DMAX(F$113:J$403,F$113,Q325:Q326),COUNT(N$113:Q325)+1,""))</f>
        <v/>
      </c>
      <c r="Q326" s="199" t="str">
        <f>IF(O325=O$113,IF(COUNTA(L$111:L325)-2&lt;DMAX(F$113:J$403,F$113,Q324:Q325),O$113,""),IF(Q325&lt;&gt;"",IF(COUNTA(L$111:L325)-2&lt;DMAX(F$113:J$403,F$113,O324:O325),Protokoll!I$1,""),""))</f>
        <v/>
      </c>
      <c r="T326" s="331" t="str">
        <f>IF(OR(Protokoll!$X$5&lt;&gt;"",Lokalbeskrivn!$M$4&lt;&gt;""),"",U326)</f>
        <v/>
      </c>
      <c r="U326" s="330" t="s">
        <v>1081</v>
      </c>
      <c r="Y326" s="572" t="s">
        <v>1846</v>
      </c>
      <c r="Z326" s="572" t="s">
        <v>1847</v>
      </c>
      <c r="AB326" s="434" t="str">
        <f>IF(COUNT(AB323:AB325)&gt;0,MAX(AB323:AB325)+1,"")</f>
        <v/>
      </c>
      <c r="AC326" s="433" t="str">
        <f>IF(AND(AH326&lt;&gt;"",AG326&lt;&gt;"",AI326&gt;0,AH326&gt;0),MAX(AC$2:AC325)+1,"XX")</f>
        <v>XX</v>
      </c>
      <c r="AD326" s="430" t="str">
        <f>IF('Antal &amp; Längder (vikter)'!$C$38&lt;&gt;"",'Antal &amp; Längder (vikter)'!$C$38,"XX")</f>
        <v>XX</v>
      </c>
      <c r="AE326" s="408" t="str">
        <f>IF(AND('Antal &amp; Längder (vikter)'!J$40&lt;&gt;"",ISNUMBER($AH326)),'Antal &amp; Längder (vikter)'!J$40,"")</f>
        <v/>
      </c>
      <c r="AF326" s="425" t="str">
        <f t="shared" si="12"/>
        <v/>
      </c>
      <c r="AG326" s="426" t="str">
        <f t="shared" si="13"/>
        <v/>
      </c>
      <c r="AH326" s="407" t="str">
        <f>IF('Antal &amp; Längder (vikter)'!J45&lt;&gt;"",'Antal &amp; Längder (vikter)'!J45,"XX")</f>
        <v>XX</v>
      </c>
      <c r="AI326" s="405">
        <f>IF('Antal &amp; Längder (vikter)'!K$41="Vikt (g)",IF('Antal &amp; Längder (vikter)'!K45&lt;&gt;"",'Antal &amp; Längder (vikter)'!K45,-9),-9)</f>
        <v>-9</v>
      </c>
    </row>
    <row r="327" spans="6:35" x14ac:dyDescent="0.25">
      <c r="F327" s="199">
        <f>COUNTIF(J$113:J327,J327)</f>
        <v>9</v>
      </c>
      <c r="G327" t="s">
        <v>342</v>
      </c>
      <c r="H327" s="330">
        <v>684</v>
      </c>
      <c r="I327" s="330">
        <v>6</v>
      </c>
      <c r="J327" t="s">
        <v>122</v>
      </c>
      <c r="K327" s="143"/>
      <c r="L327" s="220" t="str">
        <f>IF(Protokoll!I$1&lt;&gt;"",IF(N326=N$113,IF(AND(DMAX(F$113:J$403,F$113,O326:O327)&gt;COUNTA(L$111:L326)-2,DCOUNTA(F$113:J$403,G$113,N326:O327)=1),DGET(F$113:J$403,G$113,N326:O327),""),IF(AND(DMAX(F$113:J$403,F$113,Q326:Q327)&gt;COUNTA(L$111:L326)-2,DCOUNTA(F$113:J$403,G$113,P326:Q327)=1),DGET(F$113:J$403,G$113,P326:Q327),"")),G327)</f>
        <v/>
      </c>
      <c r="M327" s="143"/>
      <c r="N327" s="221" t="str">
        <f>IF(N326=N$113,IF(COUNT(N$113:Q326)&lt;DMAX(F$113:J$403,F$113,O326:O327),COUNT(N$113:Q326)+1,""),IF(COUNT(N$113:Q326)&lt;DMAX(F$113:J$403,F$113,Q326:Q327),N$113,""))</f>
        <v/>
      </c>
      <c r="O327" s="222" t="str">
        <f>IF(O326=O$113,IF(COUNTA(L$111:L326)-2&lt;DMAX(F$113:J$403,F$113,Q325:Q326),Protokoll!I$1,""),IF(O326&lt;&gt;"",IF(COUNTA(L$111:L326)-1&lt;DMAX(F$113:J$403,F$113,O325:O326),O$113,""),""))</f>
        <v/>
      </c>
      <c r="P327" s="223" t="str">
        <f>IF(N326=N$113,IF(COUNT(N$113:Q326)&lt;DMAX(F$113:J$403,F$113,O326:O327),N$113,""),IF(COUNT(N$113:Q326)&lt;DMAX(F$113:J$403,F$113,Q326:Q327),COUNT(N$113:Q326)+1,""))</f>
        <v/>
      </c>
      <c r="Q327" s="199" t="str">
        <f>IF(O326=O$113,IF(COUNTA(L$111:L326)-2&lt;DMAX(F$113:J$403,F$113,Q325:Q326),O$113,""),IF(Q326&lt;&gt;"",IF(COUNTA(L$111:L326)-2&lt;DMAX(F$113:J$403,F$113,O325:O326),Protokoll!I$1,""),""))</f>
        <v/>
      </c>
      <c r="T327" s="331" t="str">
        <f>IF(OR(Protokoll!$X$5&lt;&gt;"",Lokalbeskrivn!$M$4&lt;&gt;""),"",U327)</f>
        <v/>
      </c>
      <c r="U327" s="330" t="s">
        <v>1083</v>
      </c>
      <c r="Y327" s="572" t="s">
        <v>2157</v>
      </c>
      <c r="Z327" s="572" t="s">
        <v>2158</v>
      </c>
      <c r="AB327" s="475" t="str">
        <f>IF(COUNT(AB323:AB326)&gt;0,MAX(AB323:AB326)+1,"")</f>
        <v/>
      </c>
      <c r="AC327" s="433" t="str">
        <f>IF(AND(AH327&lt;&gt;"",AG327&lt;&gt;"",AI327&gt;0,AH327&gt;0),MAX(AC$2:AC326)+1,"XX")</f>
        <v>XX</v>
      </c>
      <c r="AD327" s="430" t="str">
        <f>IF('Antal &amp; Längder (vikter)'!$C$38&lt;&gt;"",'Antal &amp; Längder (vikter)'!$C$38,"XX")</f>
        <v>XX</v>
      </c>
      <c r="AE327" s="408" t="str">
        <f>IF(AND('Antal &amp; Längder (vikter)'!J$40&lt;&gt;"",ISNUMBER($AH327)),'Antal &amp; Längder (vikter)'!J$40,"")</f>
        <v/>
      </c>
      <c r="AF327" s="425" t="str">
        <f t="shared" si="12"/>
        <v/>
      </c>
      <c r="AG327" s="426" t="str">
        <f t="shared" si="13"/>
        <v/>
      </c>
      <c r="AH327" s="407" t="str">
        <f>IF('Antal &amp; Längder (vikter)'!J46&lt;&gt;"",'Antal &amp; Längder (vikter)'!J46,"XX")</f>
        <v>XX</v>
      </c>
      <c r="AI327" s="405">
        <f>IF('Antal &amp; Längder (vikter)'!K$41="Vikt (g)",IF('Antal &amp; Längder (vikter)'!K46&lt;&gt;"",'Antal &amp; Längder (vikter)'!K46,-9),-9)</f>
        <v>-9</v>
      </c>
    </row>
    <row r="328" spans="6:35" x14ac:dyDescent="0.25">
      <c r="F328" s="199">
        <f>COUNTIF(J$113:J328,J328)</f>
        <v>10</v>
      </c>
      <c r="G328" t="s">
        <v>343</v>
      </c>
      <c r="H328" s="330">
        <v>2182</v>
      </c>
      <c r="I328" s="330">
        <v>21</v>
      </c>
      <c r="J328" t="s">
        <v>117</v>
      </c>
      <c r="K328" s="143"/>
      <c r="L328" s="220" t="str">
        <f>IF(Protokoll!I$1&lt;&gt;"",IF(N327=N$113,IF(AND(DMAX(F$113:J$403,F$113,O327:O328)&gt;COUNTA(L$111:L327)-2,DCOUNTA(F$113:J$403,G$113,N327:O328)=1),DGET(F$113:J$403,G$113,N327:O328),""),IF(AND(DMAX(F$113:J$403,F$113,Q327:Q328)&gt;COUNTA(L$111:L327)-2,DCOUNTA(F$113:J$403,G$113,P327:Q328)=1),DGET(F$113:J$403,G$113,P327:Q328),"")),G328)</f>
        <v/>
      </c>
      <c r="M328" s="143"/>
      <c r="N328" s="221" t="str">
        <f>IF(N327=N$113,IF(COUNT(N$113:Q327)&lt;DMAX(F$113:J$403,F$113,O327:O328),COUNT(N$113:Q327)+1,""),IF(COUNT(N$113:Q327)&lt;DMAX(F$113:J$403,F$113,Q327:Q328),N$113,""))</f>
        <v/>
      </c>
      <c r="O328" s="222" t="str">
        <f>IF(O327=O$113,IF(COUNTA(L$111:L327)-2&lt;DMAX(F$113:J$403,F$113,Q326:Q327),Protokoll!I$1,""),IF(O327&lt;&gt;"",IF(COUNTA(L$111:L327)-1&lt;DMAX(F$113:J$403,F$113,O326:O327),O$113,""),""))</f>
        <v/>
      </c>
      <c r="P328" s="223" t="str">
        <f>IF(N327=N$113,IF(COUNT(N$113:Q327)&lt;DMAX(F$113:J$403,F$113,O327:O328),N$113,""),IF(COUNT(N$113:Q327)&lt;DMAX(F$113:J$403,F$113,Q327:Q328),COUNT(N$113:Q327)+1,""))</f>
        <v/>
      </c>
      <c r="Q328" s="199" t="str">
        <f>IF(O327=O$113,IF(COUNTA(L$111:L327)-2&lt;DMAX(F$113:J$403,F$113,Q326:Q327),O$113,""),IF(Q327&lt;&gt;"",IF(COUNTA(L$111:L327)-2&lt;DMAX(F$113:J$403,F$113,O326:O327),Protokoll!I$1,""),""))</f>
        <v/>
      </c>
      <c r="T328" s="331" t="str">
        <f>IF(OR(Protokoll!$X$5&lt;&gt;"",Lokalbeskrivn!$M$4&lt;&gt;""),"",U328)</f>
        <v/>
      </c>
      <c r="U328" s="330" t="s">
        <v>1085</v>
      </c>
      <c r="Y328" s="572" t="s">
        <v>2215</v>
      </c>
      <c r="Z328" s="572" t="s">
        <v>2216</v>
      </c>
      <c r="AB328" s="471" t="str">
        <f>IF(COUNT(AB323:AB327)&gt;0,MAX(AB323:AB327)+1,"")</f>
        <v/>
      </c>
      <c r="AC328" s="433" t="str">
        <f>IF(AND(AH328&lt;&gt;"",AG328&lt;&gt;"",AI328&gt;0,AH328&gt;0),MAX(AC$2:AC327)+1,"XX")</f>
        <v>XX</v>
      </c>
      <c r="AD328" s="430" t="str">
        <f>IF('Antal &amp; Längder (vikter)'!$C$38&lt;&gt;"",'Antal &amp; Längder (vikter)'!$C$38,"XX")</f>
        <v>XX</v>
      </c>
      <c r="AE328" s="408" t="str">
        <f>IF(AND('Antal &amp; Längder (vikter)'!J$40&lt;&gt;"",ISNUMBER($AH328)),'Antal &amp; Längder (vikter)'!J$40,"")</f>
        <v/>
      </c>
      <c r="AF328" s="425" t="str">
        <f t="shared" si="12"/>
        <v/>
      </c>
      <c r="AG328" s="426" t="str">
        <f t="shared" si="13"/>
        <v/>
      </c>
      <c r="AH328" s="407" t="str">
        <f>IF('Antal &amp; Längder (vikter)'!J47&lt;&gt;"",'Antal &amp; Längder (vikter)'!J47,"XX")</f>
        <v>XX</v>
      </c>
      <c r="AI328" s="405">
        <f>IF('Antal &amp; Längder (vikter)'!K$41="Vikt (g)",IF('Antal &amp; Längder (vikter)'!K47&lt;&gt;"",'Antal &amp; Längder (vikter)'!K47,-9),-9)</f>
        <v>-9</v>
      </c>
    </row>
    <row r="329" spans="6:35" x14ac:dyDescent="0.25">
      <c r="F329" s="199">
        <f>COUNTIF(J$113:J329,J329)</f>
        <v>8</v>
      </c>
      <c r="G329" t="s">
        <v>344</v>
      </c>
      <c r="H329" s="330">
        <v>582</v>
      </c>
      <c r="I329" s="330">
        <v>5</v>
      </c>
      <c r="J329" t="s">
        <v>150</v>
      </c>
      <c r="K329" s="143"/>
      <c r="L329" s="220" t="str">
        <f>IF(Protokoll!I$1&lt;&gt;"",IF(N328=N$113,IF(AND(DMAX(F$113:J$403,F$113,O328:O329)&gt;COUNTA(L$111:L328)-2,DCOUNTA(F$113:J$403,G$113,N328:O329)=1),DGET(F$113:J$403,G$113,N328:O329),""),IF(AND(DMAX(F$113:J$403,F$113,Q328:Q329)&gt;COUNTA(L$111:L328)-2,DCOUNTA(F$113:J$403,G$113,P328:Q329)=1),DGET(F$113:J$403,G$113,P328:Q329),"")),G329)</f>
        <v/>
      </c>
      <c r="M329" s="143"/>
      <c r="N329" s="221" t="str">
        <f>IF(N328=N$113,IF(COUNT(N$113:Q328)&lt;DMAX(F$113:J$403,F$113,O328:O329),COUNT(N$113:Q328)+1,""),IF(COUNT(N$113:Q328)&lt;DMAX(F$113:J$403,F$113,Q328:Q329),N$113,""))</f>
        <v/>
      </c>
      <c r="O329" s="222" t="str">
        <f>IF(O328=O$113,IF(COUNTA(L$111:L328)-2&lt;DMAX(F$113:J$403,F$113,Q327:Q328),Protokoll!I$1,""),IF(O328&lt;&gt;"",IF(COUNTA(L$111:L328)-1&lt;DMAX(F$113:J$403,F$113,O327:O328),O$113,""),""))</f>
        <v/>
      </c>
      <c r="P329" s="223" t="str">
        <f>IF(N328=N$113,IF(COUNT(N$113:Q328)&lt;DMAX(F$113:J$403,F$113,O328:O329),N$113,""),IF(COUNT(N$113:Q328)&lt;DMAX(F$113:J$403,F$113,Q328:Q329),COUNT(N$113:Q328)+1,""))</f>
        <v/>
      </c>
      <c r="Q329" s="199" t="str">
        <f>IF(O328=O$113,IF(COUNTA(L$111:L328)-2&lt;DMAX(F$113:J$403,F$113,Q327:Q328),O$113,""),IF(Q328&lt;&gt;"",IF(COUNTA(L$111:L328)-2&lt;DMAX(F$113:J$403,F$113,O327:O328),Protokoll!I$1,""),""))</f>
        <v/>
      </c>
      <c r="T329" s="331" t="str">
        <f>IF(OR(Protokoll!$X$5&lt;&gt;"",Lokalbeskrivn!$M$4&lt;&gt;""),"",U329)</f>
        <v/>
      </c>
      <c r="U329" s="330" t="s">
        <v>1087</v>
      </c>
      <c r="Y329" s="572" t="s">
        <v>2173</v>
      </c>
      <c r="Z329" s="572" t="s">
        <v>2174</v>
      </c>
      <c r="AB329" s="474" t="str">
        <f>IF(COUNT(AB323:AB328)&gt;0,MAX(AB323:AB328)+1,"")</f>
        <v/>
      </c>
      <c r="AC329" s="433" t="str">
        <f>IF(AND(AH329&lt;&gt;"",AG329&lt;&gt;"",AI329&gt;0,AH329&gt;0),MAX(AC$2:AC328)+1,"XX")</f>
        <v>XX</v>
      </c>
      <c r="AD329" s="430" t="str">
        <f>IF('Antal &amp; Längder (vikter)'!$C$38&lt;&gt;"",'Antal &amp; Längder (vikter)'!$C$38,"XX")</f>
        <v>XX</v>
      </c>
      <c r="AE329" s="408" t="str">
        <f>IF(AND('Antal &amp; Längder (vikter)'!J$40&lt;&gt;"",ISNUMBER($AH329)),'Antal &amp; Längder (vikter)'!J$40,"")</f>
        <v/>
      </c>
      <c r="AF329" s="425" t="str">
        <f t="shared" si="12"/>
        <v/>
      </c>
      <c r="AG329" s="426" t="str">
        <f t="shared" si="13"/>
        <v/>
      </c>
      <c r="AH329" s="407" t="str">
        <f>IF('Antal &amp; Längder (vikter)'!J48&lt;&gt;"",'Antal &amp; Längder (vikter)'!J48,"XX")</f>
        <v>XX</v>
      </c>
      <c r="AI329" s="405">
        <f>IF('Antal &amp; Längder (vikter)'!K$41="Vikt (g)",IF('Antal &amp; Längder (vikter)'!K48&lt;&gt;"",'Antal &amp; Längder (vikter)'!K48,-9),-9)</f>
        <v>-9</v>
      </c>
    </row>
    <row r="330" spans="6:35" x14ac:dyDescent="0.25">
      <c r="F330" s="199">
        <f>COUNTIF(J$113:J330,J330)</f>
        <v>18</v>
      </c>
      <c r="G330" t="s">
        <v>345</v>
      </c>
      <c r="H330" s="330">
        <v>181</v>
      </c>
      <c r="I330" s="330">
        <v>1</v>
      </c>
      <c r="J330" t="s">
        <v>136</v>
      </c>
      <c r="K330" s="143"/>
      <c r="L330" s="220" t="str">
        <f>IF(Protokoll!I$1&lt;&gt;"",IF(N329=N$113,IF(AND(DMAX(F$113:J$403,F$113,O329:O330)&gt;COUNTA(L$111:L329)-2,DCOUNTA(F$113:J$403,G$113,N329:O330)=1),DGET(F$113:J$403,G$113,N329:O330),""),IF(AND(DMAX(F$113:J$403,F$113,Q329:Q330)&gt;COUNTA(L$111:L329)-2,DCOUNTA(F$113:J$403,G$113,P329:Q330)=1),DGET(F$113:J$403,G$113,P329:Q330),"")),G330)</f>
        <v/>
      </c>
      <c r="M330" s="143"/>
      <c r="N330" s="221" t="str">
        <f>IF(N329=N$113,IF(COUNT(N$113:Q329)&lt;DMAX(F$113:J$403,F$113,O329:O330),COUNT(N$113:Q329)+1,""),IF(COUNT(N$113:Q329)&lt;DMAX(F$113:J$403,F$113,Q329:Q330),N$113,""))</f>
        <v/>
      </c>
      <c r="O330" s="222" t="str">
        <f>IF(O329=O$113,IF(COUNTA(L$111:L329)-2&lt;DMAX(F$113:J$403,F$113,Q328:Q329),Protokoll!I$1,""),IF(O329&lt;&gt;"",IF(COUNTA(L$111:L329)-1&lt;DMAX(F$113:J$403,F$113,O328:O329),O$113,""),""))</f>
        <v/>
      </c>
      <c r="P330" s="223" t="str">
        <f>IF(N329=N$113,IF(COUNT(N$113:Q329)&lt;DMAX(F$113:J$403,F$113,O329:O330),N$113,""),IF(COUNT(N$113:Q329)&lt;DMAX(F$113:J$403,F$113,Q329:Q330),COUNT(N$113:Q329)+1,""))</f>
        <v/>
      </c>
      <c r="Q330" s="199" t="str">
        <f>IF(O329=O$113,IF(COUNTA(L$111:L329)-2&lt;DMAX(F$113:J$403,F$113,Q328:Q329),O$113,""),IF(Q329&lt;&gt;"",IF(COUNTA(L$111:L329)-2&lt;DMAX(F$113:J$403,F$113,O328:O329),Protokoll!I$1,""),""))</f>
        <v/>
      </c>
      <c r="T330" s="331" t="str">
        <f>IF(OR(Protokoll!$X$5&lt;&gt;"",Lokalbeskrivn!$M$4&lt;&gt;""),"",U330)</f>
        <v/>
      </c>
      <c r="U330" s="330" t="s">
        <v>1089</v>
      </c>
      <c r="Y330" s="572" t="s">
        <v>1705</v>
      </c>
      <c r="Z330" s="572" t="s">
        <v>1706</v>
      </c>
      <c r="AB330" s="478" t="str">
        <f>IF(COUNT(AB323:AB329)&gt;0,MAX(AB323:AB329)+1,"")</f>
        <v/>
      </c>
      <c r="AC330" s="433" t="str">
        <f>IF(AND(AH330&lt;&gt;"",AG330&lt;&gt;"",AI330&gt;0,AH330&gt;0),MAX(AC$2:AC329)+1,"XX")</f>
        <v>XX</v>
      </c>
      <c r="AD330" s="430" t="str">
        <f>IF('Antal &amp; Längder (vikter)'!$C$38&lt;&gt;"",'Antal &amp; Längder (vikter)'!$C$38,"XX")</f>
        <v>XX</v>
      </c>
      <c r="AE330" s="408" t="str">
        <f>IF(AND('Antal &amp; Längder (vikter)'!J$40&lt;&gt;"",ISNUMBER($AH330)),'Antal &amp; Längder (vikter)'!J$40,"")</f>
        <v/>
      </c>
      <c r="AF330" s="425" t="str">
        <f t="shared" si="12"/>
        <v/>
      </c>
      <c r="AG330" s="426" t="str">
        <f t="shared" si="13"/>
        <v/>
      </c>
      <c r="AH330" s="407" t="str">
        <f>IF('Antal &amp; Längder (vikter)'!J49&lt;&gt;"",'Antal &amp; Längder (vikter)'!J49,"XX")</f>
        <v>XX</v>
      </c>
      <c r="AI330" s="405">
        <f>IF('Antal &amp; Längder (vikter)'!K$41="Vikt (g)",IF('Antal &amp; Längder (vikter)'!K49&lt;&gt;"",'Antal &amp; Längder (vikter)'!K49,-9),-9)</f>
        <v>-9</v>
      </c>
    </row>
    <row r="331" spans="6:35" x14ac:dyDescent="0.25">
      <c r="F331" s="199">
        <f>COUNTIF(J$113:J331,J331)</f>
        <v>5</v>
      </c>
      <c r="G331" t="s">
        <v>346</v>
      </c>
      <c r="H331" s="330">
        <v>1083</v>
      </c>
      <c r="I331" s="330">
        <v>10</v>
      </c>
      <c r="J331" t="s">
        <v>110</v>
      </c>
      <c r="K331" s="143"/>
      <c r="L331" s="220" t="str">
        <f>IF(Protokoll!I$1&lt;&gt;"",IF(N330=N$113,IF(AND(DMAX(F$113:J$403,F$113,O330:O331)&gt;COUNTA(L$111:L330)-2,DCOUNTA(F$113:J$403,G$113,N330:O331)=1),DGET(F$113:J$403,G$113,N330:O331),""),IF(AND(DMAX(F$113:J$403,F$113,Q330:Q331)&gt;COUNTA(L$111:L330)-2,DCOUNTA(F$113:J$403,G$113,P330:Q331)=1),DGET(F$113:J$403,G$113,P330:Q331),"")),G331)</f>
        <v/>
      </c>
      <c r="M331" s="143"/>
      <c r="N331" s="221" t="str">
        <f>IF(N330=N$113,IF(COUNT(N$113:Q330)&lt;DMAX(F$113:J$403,F$113,O330:O331),COUNT(N$113:Q330)+1,""),IF(COUNT(N$113:Q330)&lt;DMAX(F$113:J$403,F$113,Q330:Q331),N$113,""))</f>
        <v/>
      </c>
      <c r="O331" s="222" t="str">
        <f>IF(O330=O$113,IF(COUNTA(L$111:L330)-2&lt;DMAX(F$113:J$403,F$113,Q329:Q330),Protokoll!I$1,""),IF(O330&lt;&gt;"",IF(COUNTA(L$111:L330)-1&lt;DMAX(F$113:J$403,F$113,O329:O330),O$113,""),""))</f>
        <v/>
      </c>
      <c r="P331" s="223" t="str">
        <f>IF(N330=N$113,IF(COUNT(N$113:Q330)&lt;DMAX(F$113:J$403,F$113,O330:O331),N$113,""),IF(COUNT(N$113:Q330)&lt;DMAX(F$113:J$403,F$113,Q330:Q331),COUNT(N$113:Q330)+1,""))</f>
        <v/>
      </c>
      <c r="Q331" s="199" t="str">
        <f>IF(O330=O$113,IF(COUNTA(L$111:L330)-2&lt;DMAX(F$113:J$403,F$113,Q329:Q330),O$113,""),IF(Q330&lt;&gt;"",IF(COUNTA(L$111:L330)-2&lt;DMAX(F$113:J$403,F$113,O329:O330),Protokoll!I$1,""),""))</f>
        <v/>
      </c>
      <c r="T331" s="331" t="str">
        <f>IF(OR(Protokoll!$X$5&lt;&gt;"",Lokalbeskrivn!$M$4&lt;&gt;""),"",U331)</f>
        <v/>
      </c>
      <c r="U331" s="330" t="s">
        <v>1091</v>
      </c>
      <c r="Y331" s="572" t="s">
        <v>1923</v>
      </c>
      <c r="Z331" s="572" t="s">
        <v>1924</v>
      </c>
      <c r="AB331" s="472" t="str">
        <f>IF(COUNT(AB323:AB330)&gt;0,MAX(AB323:AB330)+1,"")</f>
        <v/>
      </c>
      <c r="AC331" s="433" t="str">
        <f>IF(AND(AH331&lt;&gt;"",AG331&lt;&gt;"",AI331&gt;0,AH331&gt;0),MAX(AC$2:AC330)+1,"XX")</f>
        <v>XX</v>
      </c>
      <c r="AD331" s="430" t="str">
        <f>IF('Antal &amp; Längder (vikter)'!$C$38&lt;&gt;"",'Antal &amp; Längder (vikter)'!$C$38,"XX")</f>
        <v>XX</v>
      </c>
      <c r="AE331" s="408" t="str">
        <f>IF(AND('Antal &amp; Längder (vikter)'!J$40&lt;&gt;"",ISNUMBER($AH331)),'Antal &amp; Längder (vikter)'!J$40,"")</f>
        <v/>
      </c>
      <c r="AF331" s="425" t="str">
        <f t="shared" si="12"/>
        <v/>
      </c>
      <c r="AG331" s="426" t="str">
        <f t="shared" si="13"/>
        <v/>
      </c>
      <c r="AH331" s="407" t="str">
        <f>IF('Antal &amp; Längder (vikter)'!J50&lt;&gt;"",'Antal &amp; Längder (vikter)'!J50,"XX")</f>
        <v>XX</v>
      </c>
      <c r="AI331" s="405">
        <f>IF('Antal &amp; Längder (vikter)'!K$41="Vikt (g)",IF('Antal &amp; Längder (vikter)'!K50&lt;&gt;"",'Antal &amp; Längder (vikter)'!K50,-9),-9)</f>
        <v>-9</v>
      </c>
    </row>
    <row r="332" spans="6:35" x14ac:dyDescent="0.25">
      <c r="F332" s="199">
        <f>COUNTIF(J$113:J332,J332)</f>
        <v>36</v>
      </c>
      <c r="G332" t="s">
        <v>347</v>
      </c>
      <c r="H332" s="330">
        <v>1435</v>
      </c>
      <c r="I332" s="330">
        <v>14</v>
      </c>
      <c r="J332" t="s">
        <v>114</v>
      </c>
      <c r="K332" s="143"/>
      <c r="L332" s="220" t="str">
        <f>IF(Protokoll!I$1&lt;&gt;"",IF(N331=N$113,IF(AND(DMAX(F$113:J$403,F$113,O331:O332)&gt;COUNTA(L$111:L331)-2,DCOUNTA(F$113:J$403,G$113,N331:O332)=1),DGET(F$113:J$403,G$113,N331:O332),""),IF(AND(DMAX(F$113:J$403,F$113,Q331:Q332)&gt;COUNTA(L$111:L331)-2,DCOUNTA(F$113:J$403,G$113,P331:Q332)=1),DGET(F$113:J$403,G$113,P331:Q332),"")),G332)</f>
        <v/>
      </c>
      <c r="M332" s="143"/>
      <c r="N332" s="221" t="str">
        <f>IF(N331=N$113,IF(COUNT(N$113:Q331)&lt;DMAX(F$113:J$403,F$113,O331:O332),COUNT(N$113:Q331)+1,""),IF(COUNT(N$113:Q331)&lt;DMAX(F$113:J$403,F$113,Q331:Q332),N$113,""))</f>
        <v/>
      </c>
      <c r="O332" s="222" t="str">
        <f>IF(O331=O$113,IF(COUNTA(L$111:L331)-2&lt;DMAX(F$113:J$403,F$113,Q330:Q331),Protokoll!I$1,""),IF(O331&lt;&gt;"",IF(COUNTA(L$111:L331)-1&lt;DMAX(F$113:J$403,F$113,O330:O331),O$113,""),""))</f>
        <v/>
      </c>
      <c r="P332" s="223" t="str">
        <f>IF(N331=N$113,IF(COUNT(N$113:Q331)&lt;DMAX(F$113:J$403,F$113,O331:O332),N$113,""),IF(COUNT(N$113:Q331)&lt;DMAX(F$113:J$403,F$113,Q331:Q332),COUNT(N$113:Q331)+1,""))</f>
        <v/>
      </c>
      <c r="Q332" s="199" t="str">
        <f>IF(O331=O$113,IF(COUNTA(L$111:L331)-2&lt;DMAX(F$113:J$403,F$113,Q330:Q331),O$113,""),IF(Q331&lt;&gt;"",IF(COUNTA(L$111:L331)-2&lt;DMAX(F$113:J$403,F$113,O330:O331),Protokoll!I$1,""),""))</f>
        <v/>
      </c>
      <c r="T332" s="331" t="str">
        <f>IF(OR(Protokoll!$X$5&lt;&gt;"",Lokalbeskrivn!$M$4&lt;&gt;""),"",U332)</f>
        <v/>
      </c>
      <c r="U332" s="330" t="s">
        <v>1093</v>
      </c>
      <c r="Y332" s="572" t="s">
        <v>2478</v>
      </c>
      <c r="Z332" s="572" t="s">
        <v>2479</v>
      </c>
      <c r="AB332" s="479" t="str">
        <f>IF(COUNT(AB323:AB331)&gt;0,MAX(AB323:AB331)+1,"")</f>
        <v/>
      </c>
      <c r="AC332" s="433" t="str">
        <f>IF(AND(AH332&lt;&gt;"",AG332&lt;&gt;"",AI332&gt;0,AH332&gt;0),MAX(AC$2:AC331)+1,"XX")</f>
        <v>XX</v>
      </c>
      <c r="AD332" s="430" t="str">
        <f>IF('Antal &amp; Längder (vikter)'!$C$38&lt;&gt;"",'Antal &amp; Längder (vikter)'!$C$38,"XX")</f>
        <v>XX</v>
      </c>
      <c r="AE332" s="408" t="str">
        <f>IF(AND('Antal &amp; Längder (vikter)'!J$40&lt;&gt;"",ISNUMBER($AH332)),'Antal &amp; Längder (vikter)'!J$40,"")</f>
        <v/>
      </c>
      <c r="AF332" s="425" t="str">
        <f t="shared" si="12"/>
        <v/>
      </c>
      <c r="AG332" s="426" t="str">
        <f t="shared" si="13"/>
        <v/>
      </c>
      <c r="AH332" s="407" t="str">
        <f>IF('Antal &amp; Längder (vikter)'!J51&lt;&gt;"",'Antal &amp; Längder (vikter)'!J51,"XX")</f>
        <v>XX</v>
      </c>
      <c r="AI332" s="405">
        <f>IF('Antal &amp; Längder (vikter)'!K$41="Vikt (g)",IF('Antal &amp; Längder (vikter)'!K51&lt;&gt;"",'Antal &amp; Längder (vikter)'!K51,-9),-9)</f>
        <v>-9</v>
      </c>
    </row>
    <row r="333" spans="6:35" x14ac:dyDescent="0.25">
      <c r="F333" s="199">
        <f>COUNTIF(J$113:J333,J333)</f>
        <v>37</v>
      </c>
      <c r="G333" t="s">
        <v>348</v>
      </c>
      <c r="H333" s="330">
        <v>1472</v>
      </c>
      <c r="I333" s="330">
        <v>14</v>
      </c>
      <c r="J333" t="s">
        <v>114</v>
      </c>
      <c r="K333" s="143"/>
      <c r="L333" s="220" t="str">
        <f>IF(Protokoll!I$1&lt;&gt;"",IF(N332=N$113,IF(AND(DMAX(F$113:J$403,F$113,O332:O333)&gt;COUNTA(L$111:L332)-2,DCOUNTA(F$113:J$403,G$113,N332:O333)=1),DGET(F$113:J$403,G$113,N332:O333),""),IF(AND(DMAX(F$113:J$403,F$113,Q332:Q333)&gt;COUNTA(L$111:L332)-2,DCOUNTA(F$113:J$403,G$113,P332:Q333)=1),DGET(F$113:J$403,G$113,P332:Q333),"")),G333)</f>
        <v/>
      </c>
      <c r="M333" s="143"/>
      <c r="N333" s="221" t="str">
        <f>IF(N332=N$113,IF(COUNT(N$113:Q332)&lt;DMAX(F$113:J$403,F$113,O332:O333),COUNT(N$113:Q332)+1,""),IF(COUNT(N$113:Q332)&lt;DMAX(F$113:J$403,F$113,Q332:Q333),N$113,""))</f>
        <v/>
      </c>
      <c r="O333" s="222" t="str">
        <f>IF(O332=O$113,IF(COUNTA(L$111:L332)-2&lt;DMAX(F$113:J$403,F$113,Q331:Q332),Protokoll!I$1,""),IF(O332&lt;&gt;"",IF(COUNTA(L$111:L332)-1&lt;DMAX(F$113:J$403,F$113,O331:O332),O$113,""),""))</f>
        <v/>
      </c>
      <c r="P333" s="223" t="str">
        <f>IF(N332=N$113,IF(COUNT(N$113:Q332)&lt;DMAX(F$113:J$403,F$113,O332:O333),N$113,""),IF(COUNT(N$113:Q332)&lt;DMAX(F$113:J$403,F$113,Q332:Q333),COUNT(N$113:Q332)+1,""))</f>
        <v/>
      </c>
      <c r="Q333" s="199" t="str">
        <f>IF(O332=O$113,IF(COUNTA(L$111:L332)-2&lt;DMAX(F$113:J$403,F$113,Q331:Q332),O$113,""),IF(Q332&lt;&gt;"",IF(COUNTA(L$111:L332)-2&lt;DMAX(F$113:J$403,F$113,O331:O332),Protokoll!I$1,""),""))</f>
        <v/>
      </c>
      <c r="T333" s="331" t="str">
        <f>IF(OR(Protokoll!$X$5&lt;&gt;"",Lokalbeskrivn!$M$4&lt;&gt;""),"",U333)</f>
        <v/>
      </c>
      <c r="U333" s="330" t="s">
        <v>1095</v>
      </c>
      <c r="Y333" s="572" t="s">
        <v>1697</v>
      </c>
      <c r="Z333" s="572" t="s">
        <v>1698</v>
      </c>
      <c r="AB333" s="480" t="str">
        <f>IF(AND(ISNUMBER(AH333),AH333&gt;0),IF(MAX(AB$3:AB332)&gt;0,MAX(AB$3:AB332)+1,10+COUNTIF(F$38:F$49,"&gt;0")*10+1),"")</f>
        <v/>
      </c>
      <c r="AC333" s="433" t="str">
        <f>IF(AND(AH333&lt;&gt;"",AG333&lt;&gt;"",AI333&gt;0,AH333&gt;0),MAX(AC$2:AC332)+1,"XX")</f>
        <v>XX</v>
      </c>
      <c r="AD333" s="430" t="str">
        <f>IF('Antal &amp; Längder (vikter)'!$C$38&lt;&gt;"",'Antal &amp; Längder (vikter)'!$C$38,"XX")</f>
        <v>XX</v>
      </c>
      <c r="AE333" s="408" t="str">
        <f>IF(AND('Antal &amp; Längder (vikter)'!J$40&lt;&gt;"",ISNUMBER($AH333)),'Antal &amp; Längder (vikter)'!J$40,"")</f>
        <v/>
      </c>
      <c r="AF333" s="425" t="str">
        <f t="shared" si="12"/>
        <v/>
      </c>
      <c r="AG333" s="426" t="str">
        <f t="shared" si="13"/>
        <v/>
      </c>
      <c r="AH333" s="409" t="str">
        <f>IF('Antal &amp; Längder (vikter)'!K$41="Längd (mm)",IF('Antal &amp; Längder (vikter)'!K42&lt;&gt;"",'Antal &amp; Längder (vikter)'!K42,"XX"),"XX")</f>
        <v>XX</v>
      </c>
      <c r="AI333" s="7">
        <v>-9</v>
      </c>
    </row>
    <row r="334" spans="6:35" x14ac:dyDescent="0.25">
      <c r="F334" s="199">
        <f>COUNTIF(J$113:J334,J334)</f>
        <v>38</v>
      </c>
      <c r="G334" t="s">
        <v>349</v>
      </c>
      <c r="H334" s="330">
        <v>1498</v>
      </c>
      <c r="I334" s="330">
        <v>14</v>
      </c>
      <c r="J334" t="s">
        <v>114</v>
      </c>
      <c r="K334" s="143"/>
      <c r="L334" s="220" t="str">
        <f>IF(Protokoll!I$1&lt;&gt;"",IF(N333=N$113,IF(AND(DMAX(F$113:J$403,F$113,O333:O334)&gt;COUNTA(L$111:L333)-2,DCOUNTA(F$113:J$403,G$113,N333:O334)=1),DGET(F$113:J$403,G$113,N333:O334),""),IF(AND(DMAX(F$113:J$403,F$113,Q333:Q334)&gt;COUNTA(L$111:L333)-2,DCOUNTA(F$113:J$403,G$113,P333:Q334)=1),DGET(F$113:J$403,G$113,P333:Q334),"")),G334)</f>
        <v/>
      </c>
      <c r="M334" s="143"/>
      <c r="N334" s="221" t="str">
        <f>IF(N333=N$113,IF(COUNT(N$113:Q333)&lt;DMAX(F$113:J$403,F$113,O333:O334),COUNT(N$113:Q333)+1,""),IF(COUNT(N$113:Q333)&lt;DMAX(F$113:J$403,F$113,Q333:Q334),N$113,""))</f>
        <v/>
      </c>
      <c r="O334" s="222" t="str">
        <f>IF(O333=O$113,IF(COUNTA(L$111:L333)-2&lt;DMAX(F$113:J$403,F$113,Q332:Q333),Protokoll!I$1,""),IF(O333&lt;&gt;"",IF(COUNTA(L$111:L333)-1&lt;DMAX(F$113:J$403,F$113,O332:O333),O$113,""),""))</f>
        <v/>
      </c>
      <c r="P334" s="223" t="str">
        <f>IF(N333=N$113,IF(COUNT(N$113:Q333)&lt;DMAX(F$113:J$403,F$113,O333:O334),N$113,""),IF(COUNT(N$113:Q333)&lt;DMAX(F$113:J$403,F$113,Q333:Q334),COUNT(N$113:Q333)+1,""))</f>
        <v/>
      </c>
      <c r="Q334" s="199" t="str">
        <f>IF(O333=O$113,IF(COUNTA(L$111:L333)-2&lt;DMAX(F$113:J$403,F$113,Q332:Q333),O$113,""),IF(Q333&lt;&gt;"",IF(COUNTA(L$111:L333)-2&lt;DMAX(F$113:J$403,F$113,O332:O333),Protokoll!I$1,""),""))</f>
        <v/>
      </c>
      <c r="T334" s="331" t="str">
        <f>IF(OR(Protokoll!$X$5&lt;&gt;"",Lokalbeskrivn!$M$4&lt;&gt;""),"",U334)</f>
        <v/>
      </c>
      <c r="U334" s="330" t="s">
        <v>1097</v>
      </c>
      <c r="Y334" s="572" t="s">
        <v>2480</v>
      </c>
      <c r="Z334" s="572" t="s">
        <v>2481</v>
      </c>
      <c r="AB334" s="476" t="str">
        <f>IF(COUNT(AB333:AB333)&gt;0,MAX(AB333:AB333)+1,"")</f>
        <v/>
      </c>
      <c r="AC334" s="433" t="str">
        <f>IF(AND(AH334&lt;&gt;"",AG334&lt;&gt;"",AI334&gt;0,AH334&gt;0),MAX(AC$2:AC333)+1,"XX")</f>
        <v>XX</v>
      </c>
      <c r="AD334" s="430" t="str">
        <f>IF('Antal &amp; Längder (vikter)'!$C$38&lt;&gt;"",'Antal &amp; Längder (vikter)'!$C$38,"XX")</f>
        <v>XX</v>
      </c>
      <c r="AE334" s="408" t="str">
        <f>IF(AND('Antal &amp; Längder (vikter)'!J$40&lt;&gt;"",ISNUMBER($AH334)),'Antal &amp; Längder (vikter)'!J$40,"")</f>
        <v/>
      </c>
      <c r="AF334" s="425" t="str">
        <f t="shared" si="12"/>
        <v/>
      </c>
      <c r="AG334" s="426" t="str">
        <f t="shared" si="13"/>
        <v/>
      </c>
      <c r="AH334" s="409" t="str">
        <f>IF('Antal &amp; Längder (vikter)'!K$41="Längd (mm)",IF('Antal &amp; Längder (vikter)'!K43&lt;&gt;"",'Antal &amp; Längder (vikter)'!K43,"XX"),"XX")</f>
        <v>XX</v>
      </c>
      <c r="AI334" s="7">
        <v>-9</v>
      </c>
    </row>
    <row r="335" spans="6:35" x14ac:dyDescent="0.25">
      <c r="F335" s="199">
        <f>COUNTIF(J$113:J335,J335)</f>
        <v>4</v>
      </c>
      <c r="G335" t="s">
        <v>350</v>
      </c>
      <c r="H335" s="330">
        <v>360</v>
      </c>
      <c r="I335" s="330">
        <v>3</v>
      </c>
      <c r="J335" t="s">
        <v>140</v>
      </c>
      <c r="K335" s="143"/>
      <c r="L335" s="220" t="str">
        <f>IF(Protokoll!I$1&lt;&gt;"",IF(N334=N$113,IF(AND(DMAX(F$113:J$403,F$113,O334:O335)&gt;COUNTA(L$111:L334)-2,DCOUNTA(F$113:J$403,G$113,N334:O335)=1),DGET(F$113:J$403,G$113,N334:O335),""),IF(AND(DMAX(F$113:J$403,F$113,Q334:Q335)&gt;COUNTA(L$111:L334)-2,DCOUNTA(F$113:J$403,G$113,P334:Q335)=1),DGET(F$113:J$403,G$113,P334:Q335),"")),G335)</f>
        <v/>
      </c>
      <c r="M335" s="143"/>
      <c r="N335" s="221" t="str">
        <f>IF(N334=N$113,IF(COUNT(N$113:Q334)&lt;DMAX(F$113:J$403,F$113,O334:O335),COUNT(N$113:Q334)+1,""),IF(COUNT(N$113:Q334)&lt;DMAX(F$113:J$403,F$113,Q334:Q335),N$113,""))</f>
        <v/>
      </c>
      <c r="O335" s="222" t="str">
        <f>IF(O334=O$113,IF(COUNTA(L$111:L334)-2&lt;DMAX(F$113:J$403,F$113,Q333:Q334),Protokoll!I$1,""),IF(O334&lt;&gt;"",IF(COUNTA(L$111:L334)-1&lt;DMAX(F$113:J$403,F$113,O333:O334),O$113,""),""))</f>
        <v/>
      </c>
      <c r="P335" s="223" t="str">
        <f>IF(N334=N$113,IF(COUNT(N$113:Q334)&lt;DMAX(F$113:J$403,F$113,O334:O335),N$113,""),IF(COUNT(N$113:Q334)&lt;DMAX(F$113:J$403,F$113,Q334:Q335),COUNT(N$113:Q334)+1,""))</f>
        <v/>
      </c>
      <c r="Q335" s="199" t="str">
        <f>IF(O334=O$113,IF(COUNTA(L$111:L334)-2&lt;DMAX(F$113:J$403,F$113,Q333:Q334),O$113,""),IF(Q334&lt;&gt;"",IF(COUNTA(L$111:L334)-2&lt;DMAX(F$113:J$403,F$113,O333:O334),Protokoll!I$1,""),""))</f>
        <v/>
      </c>
      <c r="T335" s="331" t="str">
        <f>IF(OR(Protokoll!$X$5&lt;&gt;"",Lokalbeskrivn!$M$4&lt;&gt;""),"",U335)</f>
        <v/>
      </c>
      <c r="U335" s="330" t="s">
        <v>1099</v>
      </c>
      <c r="Y335" s="572" t="s">
        <v>2482</v>
      </c>
      <c r="Z335" s="572" t="s">
        <v>2483</v>
      </c>
      <c r="AB335" s="477" t="str">
        <f>IF(COUNT(AB333:AB334)&gt;0,MAX(AB333:AB334)+1,"")</f>
        <v/>
      </c>
      <c r="AC335" s="433" t="str">
        <f>IF(AND(AH335&lt;&gt;"",AG335&lt;&gt;"",AI335&gt;0,AH335&gt;0),MAX(AC$2:AC334)+1,"XX")</f>
        <v>XX</v>
      </c>
      <c r="AD335" s="430" t="str">
        <f>IF('Antal &amp; Längder (vikter)'!$C$38&lt;&gt;"",'Antal &amp; Längder (vikter)'!$C$38,"XX")</f>
        <v>XX</v>
      </c>
      <c r="AE335" s="408" t="str">
        <f>IF(AND('Antal &amp; Längder (vikter)'!J$40&lt;&gt;"",ISNUMBER($AH335)),'Antal &amp; Längder (vikter)'!J$40,"")</f>
        <v/>
      </c>
      <c r="AF335" s="425" t="str">
        <f t="shared" si="12"/>
        <v/>
      </c>
      <c r="AG335" s="426" t="str">
        <f t="shared" si="13"/>
        <v/>
      </c>
      <c r="AH335" s="409" t="str">
        <f>IF('Antal &amp; Längder (vikter)'!K$41="Längd (mm)",IF('Antal &amp; Längder (vikter)'!K44&lt;&gt;"",'Antal &amp; Längder (vikter)'!K44,"XX"),"XX")</f>
        <v>XX</v>
      </c>
      <c r="AI335" s="7">
        <v>-9</v>
      </c>
    </row>
    <row r="336" spans="6:35" x14ac:dyDescent="0.25">
      <c r="F336" s="199">
        <f>COUNTIF(J$113:J336,J336)</f>
        <v>5</v>
      </c>
      <c r="G336" t="s">
        <v>351</v>
      </c>
      <c r="H336" s="330">
        <v>2262</v>
      </c>
      <c r="I336" s="330">
        <v>22</v>
      </c>
      <c r="J336" t="s">
        <v>145</v>
      </c>
      <c r="K336" s="143"/>
      <c r="L336" s="220" t="str">
        <f>IF(Protokoll!I$1&lt;&gt;"",IF(N335=N$113,IF(AND(DMAX(F$113:J$403,F$113,O335:O336)&gt;COUNTA(L$111:L335)-2,DCOUNTA(F$113:J$403,G$113,N335:O336)=1),DGET(F$113:J$403,G$113,N335:O336),""),IF(AND(DMAX(F$113:J$403,F$113,Q335:Q336)&gt;COUNTA(L$111:L335)-2,DCOUNTA(F$113:J$403,G$113,P335:Q336)=1),DGET(F$113:J$403,G$113,P335:Q336),"")),G336)</f>
        <v/>
      </c>
      <c r="M336" s="143"/>
      <c r="N336" s="221" t="str">
        <f>IF(N335=N$113,IF(COUNT(N$113:Q335)&lt;DMAX(F$113:J$403,F$113,O335:O336),COUNT(N$113:Q335)+1,""),IF(COUNT(N$113:Q335)&lt;DMAX(F$113:J$403,F$113,Q335:Q336),N$113,""))</f>
        <v/>
      </c>
      <c r="O336" s="222" t="str">
        <f>IF(O335=O$113,IF(COUNTA(L$111:L335)-2&lt;DMAX(F$113:J$403,F$113,Q334:Q335),Protokoll!I$1,""),IF(O335&lt;&gt;"",IF(COUNTA(L$111:L335)-1&lt;DMAX(F$113:J$403,F$113,O334:O335),O$113,""),""))</f>
        <v/>
      </c>
      <c r="P336" s="223" t="str">
        <f>IF(N335=N$113,IF(COUNT(N$113:Q335)&lt;DMAX(F$113:J$403,F$113,O335:O336),N$113,""),IF(COUNT(N$113:Q335)&lt;DMAX(F$113:J$403,F$113,Q335:Q336),COUNT(N$113:Q335)+1,""))</f>
        <v/>
      </c>
      <c r="Q336" s="199" t="str">
        <f>IF(O335=O$113,IF(COUNTA(L$111:L335)-2&lt;DMAX(F$113:J$403,F$113,Q334:Q335),O$113,""),IF(Q335&lt;&gt;"",IF(COUNTA(L$111:L335)-2&lt;DMAX(F$113:J$403,F$113,O334:O335),Protokoll!I$1,""),""))</f>
        <v/>
      </c>
      <c r="T336" s="331" t="str">
        <f>IF(OR(Protokoll!$X$5&lt;&gt;"",Lokalbeskrivn!$M$4&lt;&gt;""),"",U336)</f>
        <v/>
      </c>
      <c r="U336" s="330" t="s">
        <v>1101</v>
      </c>
      <c r="Y336" s="572" t="s">
        <v>1657</v>
      </c>
      <c r="Z336" s="572" t="s">
        <v>1658</v>
      </c>
      <c r="AB336" s="434" t="str">
        <f>IF(COUNT(AB333:AB335)&gt;0,MAX(AB333:AB335)+1,"")</f>
        <v/>
      </c>
      <c r="AC336" s="433" t="str">
        <f>IF(AND(AH336&lt;&gt;"",AG336&lt;&gt;"",AI336&gt;0,AH336&gt;0),MAX(AC$2:AC335)+1,"XX")</f>
        <v>XX</v>
      </c>
      <c r="AD336" s="430" t="str">
        <f>IF('Antal &amp; Längder (vikter)'!$C$38&lt;&gt;"",'Antal &amp; Längder (vikter)'!$C$38,"XX")</f>
        <v>XX</v>
      </c>
      <c r="AE336" s="408" t="str">
        <f>IF(AND('Antal &amp; Längder (vikter)'!J$40&lt;&gt;"",ISNUMBER($AH336)),'Antal &amp; Längder (vikter)'!J$40,"")</f>
        <v/>
      </c>
      <c r="AF336" s="425" t="str">
        <f t="shared" si="12"/>
        <v/>
      </c>
      <c r="AG336" s="426" t="str">
        <f t="shared" si="13"/>
        <v/>
      </c>
      <c r="AH336" s="409" t="str">
        <f>IF('Antal &amp; Längder (vikter)'!K$41="Längd (mm)",IF('Antal &amp; Längder (vikter)'!K45&lt;&gt;"",'Antal &amp; Längder (vikter)'!K45,"XX"),"XX")</f>
        <v>XX</v>
      </c>
      <c r="AI336" s="7">
        <v>-9</v>
      </c>
    </row>
    <row r="337" spans="6:35" x14ac:dyDescent="0.25">
      <c r="F337" s="199">
        <f>COUNTIF(J$113:J337,J337)</f>
        <v>5</v>
      </c>
      <c r="G337" t="s">
        <v>352</v>
      </c>
      <c r="H337" s="330">
        <v>763</v>
      </c>
      <c r="I337" s="330">
        <v>7</v>
      </c>
      <c r="J337" t="s">
        <v>119</v>
      </c>
      <c r="K337" s="143"/>
      <c r="L337" s="220" t="str">
        <f>IF(Protokoll!I$1&lt;&gt;"",IF(N336=N$113,IF(AND(DMAX(F$113:J$403,F$113,O336:O337)&gt;COUNTA(L$111:L336)-2,DCOUNTA(F$113:J$403,G$113,N336:O337)=1),DGET(F$113:J$403,G$113,N336:O337),""),IF(AND(DMAX(F$113:J$403,F$113,Q336:Q337)&gt;COUNTA(L$111:L336)-2,DCOUNTA(F$113:J$403,G$113,P336:Q337)=1),DGET(F$113:J$403,G$113,P336:Q337),"")),G337)</f>
        <v/>
      </c>
      <c r="M337" s="143"/>
      <c r="N337" s="221" t="str">
        <f>IF(N336=N$113,IF(COUNT(N$113:Q336)&lt;DMAX(F$113:J$403,F$113,O336:O337),COUNT(N$113:Q336)+1,""),IF(COUNT(N$113:Q336)&lt;DMAX(F$113:J$403,F$113,Q336:Q337),N$113,""))</f>
        <v/>
      </c>
      <c r="O337" s="222" t="str">
        <f>IF(O336=O$113,IF(COUNTA(L$111:L336)-2&lt;DMAX(F$113:J$403,F$113,Q335:Q336),Protokoll!I$1,""),IF(O336&lt;&gt;"",IF(COUNTA(L$111:L336)-1&lt;DMAX(F$113:J$403,F$113,O335:O336),O$113,""),""))</f>
        <v/>
      </c>
      <c r="P337" s="223" t="str">
        <f>IF(N336=N$113,IF(COUNT(N$113:Q336)&lt;DMAX(F$113:J$403,F$113,O336:O337),N$113,""),IF(COUNT(N$113:Q336)&lt;DMAX(F$113:J$403,F$113,Q336:Q337),COUNT(N$113:Q336)+1,""))</f>
        <v/>
      </c>
      <c r="Q337" s="199" t="str">
        <f>IF(O336=O$113,IF(COUNTA(L$111:L336)-2&lt;DMAX(F$113:J$403,F$113,Q335:Q336),O$113,""),IF(Q336&lt;&gt;"",IF(COUNTA(L$111:L336)-2&lt;DMAX(F$113:J$403,F$113,O335:O336),Protokoll!I$1,""),""))</f>
        <v/>
      </c>
      <c r="T337" s="331" t="str">
        <f>IF(OR(Protokoll!$X$5&lt;&gt;"",Lokalbeskrivn!$M$4&lt;&gt;""),"",U337)</f>
        <v/>
      </c>
      <c r="U337" s="330" t="s">
        <v>1103</v>
      </c>
      <c r="Y337" s="572" t="s">
        <v>1917</v>
      </c>
      <c r="Z337" s="572" t="s">
        <v>1918</v>
      </c>
      <c r="AB337" s="475" t="str">
        <f>IF(COUNT(AB333:AB336)&gt;0,MAX(AB333:AB336)+1,"")</f>
        <v/>
      </c>
      <c r="AC337" s="433" t="str">
        <f>IF(AND(AH337&lt;&gt;"",AG337&lt;&gt;"",AI337&gt;0,AH337&gt;0),MAX(AC$2:AC336)+1,"XX")</f>
        <v>XX</v>
      </c>
      <c r="AD337" s="430" t="str">
        <f>IF('Antal &amp; Längder (vikter)'!$C$38&lt;&gt;"",'Antal &amp; Längder (vikter)'!$C$38,"XX")</f>
        <v>XX</v>
      </c>
      <c r="AE337" s="408" t="str">
        <f>IF(AND('Antal &amp; Längder (vikter)'!J$40&lt;&gt;"",ISNUMBER($AH337)),'Antal &amp; Längder (vikter)'!J$40,"")</f>
        <v/>
      </c>
      <c r="AF337" s="425" t="str">
        <f t="shared" si="12"/>
        <v/>
      </c>
      <c r="AG337" s="426" t="str">
        <f t="shared" si="13"/>
        <v/>
      </c>
      <c r="AH337" s="409" t="str">
        <f>IF('Antal &amp; Längder (vikter)'!K$41="Längd (mm)",IF('Antal &amp; Längder (vikter)'!K46&lt;&gt;"",'Antal &amp; Längder (vikter)'!K46,"XX"),"XX")</f>
        <v>XX</v>
      </c>
      <c r="AI337" s="7">
        <v>-9</v>
      </c>
    </row>
    <row r="338" spans="6:35" x14ac:dyDescent="0.25">
      <c r="F338" s="199">
        <f>COUNTIF(J$113:J338,J338)</f>
        <v>39</v>
      </c>
      <c r="G338" t="s">
        <v>353</v>
      </c>
      <c r="H338" s="330">
        <v>1419</v>
      </c>
      <c r="I338" s="330">
        <v>14</v>
      </c>
      <c r="J338" t="s">
        <v>114</v>
      </c>
      <c r="K338" s="143"/>
      <c r="L338" s="220" t="str">
        <f>IF(Protokoll!I$1&lt;&gt;"",IF(N337=N$113,IF(AND(DMAX(F$113:J$403,F$113,O337:O338)&gt;COUNTA(L$111:L337)-2,DCOUNTA(F$113:J$403,G$113,N337:O338)=1),DGET(F$113:J$403,G$113,N337:O338),""),IF(AND(DMAX(F$113:J$403,F$113,Q337:Q338)&gt;COUNTA(L$111:L337)-2,DCOUNTA(F$113:J$403,G$113,P337:Q338)=1),DGET(F$113:J$403,G$113,P337:Q338),"")),G338)</f>
        <v/>
      </c>
      <c r="M338" s="143"/>
      <c r="N338" s="221" t="str">
        <f>IF(N337=N$113,IF(COUNT(N$113:Q337)&lt;DMAX(F$113:J$403,F$113,O337:O338),COUNT(N$113:Q337)+1,""),IF(COUNT(N$113:Q337)&lt;DMAX(F$113:J$403,F$113,Q337:Q338),N$113,""))</f>
        <v/>
      </c>
      <c r="O338" s="222" t="str">
        <f>IF(O337=O$113,IF(COUNTA(L$111:L337)-2&lt;DMAX(F$113:J$403,F$113,Q336:Q337),Protokoll!I$1,""),IF(O337&lt;&gt;"",IF(COUNTA(L$111:L337)-1&lt;DMAX(F$113:J$403,F$113,O336:O337),O$113,""),""))</f>
        <v/>
      </c>
      <c r="P338" s="223" t="str">
        <f>IF(N337=N$113,IF(COUNT(N$113:Q337)&lt;DMAX(F$113:J$403,F$113,O337:O338),N$113,""),IF(COUNT(N$113:Q337)&lt;DMAX(F$113:J$403,F$113,Q337:Q338),COUNT(N$113:Q337)+1,""))</f>
        <v/>
      </c>
      <c r="Q338" s="199" t="str">
        <f>IF(O337=O$113,IF(COUNTA(L$111:L337)-2&lt;DMAX(F$113:J$403,F$113,Q336:Q337),O$113,""),IF(Q337&lt;&gt;"",IF(COUNTA(L$111:L337)-2&lt;DMAX(F$113:J$403,F$113,O336:O337),Protokoll!I$1,""),""))</f>
        <v/>
      </c>
      <c r="T338" s="331" t="str">
        <f>IF(OR(Protokoll!$X$5&lt;&gt;"",Lokalbeskrivn!$M$4&lt;&gt;""),"",U338)</f>
        <v/>
      </c>
      <c r="U338" s="330" t="s">
        <v>1105</v>
      </c>
      <c r="Y338" s="572" t="s">
        <v>2484</v>
      </c>
      <c r="Z338" s="572" t="s">
        <v>2485</v>
      </c>
      <c r="AB338" s="471" t="str">
        <f>IF(COUNT(AB333:AB337)&gt;0,MAX(AB333:AB337)+1,"")</f>
        <v/>
      </c>
      <c r="AC338" s="433" t="str">
        <f>IF(AND(AH338&lt;&gt;"",AG338&lt;&gt;"",AI338&gt;0,AH338&gt;0),MAX(AC$2:AC337)+1,"XX")</f>
        <v>XX</v>
      </c>
      <c r="AD338" s="430" t="str">
        <f>IF('Antal &amp; Längder (vikter)'!$C$38&lt;&gt;"",'Antal &amp; Längder (vikter)'!$C$38,"XX")</f>
        <v>XX</v>
      </c>
      <c r="AE338" s="408" t="str">
        <f>IF(AND('Antal &amp; Längder (vikter)'!J$40&lt;&gt;"",ISNUMBER($AH338)),'Antal &amp; Längder (vikter)'!J$40,"")</f>
        <v/>
      </c>
      <c r="AF338" s="425" t="str">
        <f t="shared" si="12"/>
        <v/>
      </c>
      <c r="AG338" s="426" t="str">
        <f t="shared" si="13"/>
        <v/>
      </c>
      <c r="AH338" s="409" t="str">
        <f>IF('Antal &amp; Längder (vikter)'!K$41="Längd (mm)",IF('Antal &amp; Längder (vikter)'!K47&lt;&gt;"",'Antal &amp; Längder (vikter)'!K47,"XX"),"XX")</f>
        <v>XX</v>
      </c>
      <c r="AI338" s="7">
        <v>-9</v>
      </c>
    </row>
    <row r="339" spans="6:35" x14ac:dyDescent="0.25">
      <c r="F339" s="199">
        <f>COUNTIF(J$113:J339,J339)</f>
        <v>26</v>
      </c>
      <c r="G339" t="s">
        <v>354</v>
      </c>
      <c r="H339" s="330">
        <v>1270</v>
      </c>
      <c r="I339" s="330">
        <v>12</v>
      </c>
      <c r="J339" t="s">
        <v>134</v>
      </c>
      <c r="K339" s="143"/>
      <c r="L339" s="220" t="str">
        <f>IF(Protokoll!I$1&lt;&gt;"",IF(N338=N$113,IF(AND(DMAX(F$113:J$403,F$113,O338:O339)&gt;COUNTA(L$111:L338)-2,DCOUNTA(F$113:J$403,G$113,N338:O339)=1),DGET(F$113:J$403,G$113,N338:O339),""),IF(AND(DMAX(F$113:J$403,F$113,Q338:Q339)&gt;COUNTA(L$111:L338)-2,DCOUNTA(F$113:J$403,G$113,P338:Q339)=1),DGET(F$113:J$403,G$113,P338:Q339),"")),G339)</f>
        <v/>
      </c>
      <c r="M339" s="143"/>
      <c r="N339" s="221" t="str">
        <f>IF(N338=N$113,IF(COUNT(N$113:Q338)&lt;DMAX(F$113:J$403,F$113,O338:O339),COUNT(N$113:Q338)+1,""),IF(COUNT(N$113:Q338)&lt;DMAX(F$113:J$403,F$113,Q338:Q339),N$113,""))</f>
        <v/>
      </c>
      <c r="O339" s="222" t="str">
        <f>IF(O338=O$113,IF(COUNTA(L$111:L338)-2&lt;DMAX(F$113:J$403,F$113,Q337:Q338),Protokoll!I$1,""),IF(O338&lt;&gt;"",IF(COUNTA(L$111:L338)-1&lt;DMAX(F$113:J$403,F$113,O337:O338),O$113,""),""))</f>
        <v/>
      </c>
      <c r="P339" s="223" t="str">
        <f>IF(N338=N$113,IF(COUNT(N$113:Q338)&lt;DMAX(F$113:J$403,F$113,O338:O339),N$113,""),IF(COUNT(N$113:Q338)&lt;DMAX(F$113:J$403,F$113,Q338:Q339),COUNT(N$113:Q338)+1,""))</f>
        <v/>
      </c>
      <c r="Q339" s="199" t="str">
        <f>IF(O338=O$113,IF(COUNTA(L$111:L338)-2&lt;DMAX(F$113:J$403,F$113,Q337:Q338),O$113,""),IF(Q338&lt;&gt;"",IF(COUNTA(L$111:L338)-2&lt;DMAX(F$113:J$403,F$113,O337:O338),Protokoll!I$1,""),""))</f>
        <v/>
      </c>
      <c r="T339" s="331" t="str">
        <f>IF(OR(Protokoll!$X$5&lt;&gt;"",Lokalbeskrivn!$M$4&lt;&gt;""),"",U339)</f>
        <v/>
      </c>
      <c r="U339" s="330" t="s">
        <v>1107</v>
      </c>
      <c r="Y339" s="572" t="s">
        <v>1759</v>
      </c>
      <c r="Z339" s="572" t="s">
        <v>1760</v>
      </c>
      <c r="AB339" s="474" t="str">
        <f>IF(COUNT(AB333:AB338)&gt;0,MAX(AB333:AB338)+1,"")</f>
        <v/>
      </c>
      <c r="AC339" s="433" t="str">
        <f>IF(AND(AH339&lt;&gt;"",AG339&lt;&gt;"",AI339&gt;0,AH339&gt;0),MAX(AC$2:AC338)+1,"XX")</f>
        <v>XX</v>
      </c>
      <c r="AD339" s="430" t="str">
        <f>IF('Antal &amp; Längder (vikter)'!$C$38&lt;&gt;"",'Antal &amp; Längder (vikter)'!$C$38,"XX")</f>
        <v>XX</v>
      </c>
      <c r="AE339" s="408" t="str">
        <f>IF(AND('Antal &amp; Längder (vikter)'!J$40&lt;&gt;"",ISNUMBER($AH339)),'Antal &amp; Längder (vikter)'!J$40,"")</f>
        <v/>
      </c>
      <c r="AF339" s="425" t="str">
        <f t="shared" si="12"/>
        <v/>
      </c>
      <c r="AG339" s="426" t="str">
        <f t="shared" si="13"/>
        <v/>
      </c>
      <c r="AH339" s="409" t="str">
        <f>IF('Antal &amp; Längder (vikter)'!K$41="Längd (mm)",IF('Antal &amp; Längder (vikter)'!K48&lt;&gt;"",'Antal &amp; Längder (vikter)'!K48,"XX"),"XX")</f>
        <v>XX</v>
      </c>
      <c r="AI339" s="7">
        <v>-9</v>
      </c>
    </row>
    <row r="340" spans="6:35" x14ac:dyDescent="0.25">
      <c r="F340" s="199">
        <f>COUNTIF(J$113:J340,J340)</f>
        <v>15</v>
      </c>
      <c r="G340" t="s">
        <v>355</v>
      </c>
      <c r="H340" s="330">
        <v>1737</v>
      </c>
      <c r="I340" s="330">
        <v>17</v>
      </c>
      <c r="J340" t="s">
        <v>131</v>
      </c>
      <c r="K340" s="143"/>
      <c r="L340" s="220" t="str">
        <f>IF(Protokoll!I$1&lt;&gt;"",IF(N339=N$113,IF(AND(DMAX(F$113:J$403,F$113,O339:O340)&gt;COUNTA(L$111:L339)-2,DCOUNTA(F$113:J$403,G$113,N339:O340)=1),DGET(F$113:J$403,G$113,N339:O340),""),IF(AND(DMAX(F$113:J$403,F$113,Q339:Q340)&gt;COUNTA(L$111:L339)-2,DCOUNTA(F$113:J$403,G$113,P339:Q340)=1),DGET(F$113:J$403,G$113,P339:Q340),"")),G340)</f>
        <v/>
      </c>
      <c r="M340" s="143"/>
      <c r="N340" s="221" t="str">
        <f>IF(N339=N$113,IF(COUNT(N$113:Q339)&lt;DMAX(F$113:J$403,F$113,O339:O340),COUNT(N$113:Q339)+1,""),IF(COUNT(N$113:Q339)&lt;DMAX(F$113:J$403,F$113,Q339:Q340),N$113,""))</f>
        <v/>
      </c>
      <c r="O340" s="222" t="str">
        <f>IF(O339=O$113,IF(COUNTA(L$111:L339)-2&lt;DMAX(F$113:J$403,F$113,Q338:Q339),Protokoll!I$1,""),IF(O339&lt;&gt;"",IF(COUNTA(L$111:L339)-1&lt;DMAX(F$113:J$403,F$113,O338:O339),O$113,""),""))</f>
        <v/>
      </c>
      <c r="P340" s="223" t="str">
        <f>IF(N339=N$113,IF(COUNT(N$113:Q339)&lt;DMAX(F$113:J$403,F$113,O339:O340),N$113,""),IF(COUNT(N$113:Q339)&lt;DMAX(F$113:J$403,F$113,Q339:Q340),COUNT(N$113:Q339)+1,""))</f>
        <v/>
      </c>
      <c r="Q340" s="199" t="str">
        <f>IF(O339=O$113,IF(COUNTA(L$111:L339)-2&lt;DMAX(F$113:J$403,F$113,Q338:Q339),O$113,""),IF(Q339&lt;&gt;"",IF(COUNTA(L$111:L339)-2&lt;DMAX(F$113:J$403,F$113,O338:O339),Protokoll!I$1,""),""))</f>
        <v/>
      </c>
      <c r="T340" s="331" t="str">
        <f>IF(OR(Protokoll!$X$5&lt;&gt;"",Lokalbeskrivn!$M$4&lt;&gt;""),"",U340)</f>
        <v/>
      </c>
      <c r="U340" s="330" t="s">
        <v>1109</v>
      </c>
      <c r="Y340" s="572" t="s">
        <v>2223</v>
      </c>
      <c r="Z340" s="572" t="s">
        <v>1942</v>
      </c>
      <c r="AB340" s="478" t="str">
        <f>IF(COUNT(AB333:AB339)&gt;0,MAX(AB333:AB339)+1,"")</f>
        <v/>
      </c>
      <c r="AC340" s="433" t="str">
        <f>IF(AND(AH340&lt;&gt;"",AG340&lt;&gt;"",AI340&gt;0,AH340&gt;0),MAX(AC$2:AC339)+1,"XX")</f>
        <v>XX</v>
      </c>
      <c r="AD340" s="430" t="str">
        <f>IF('Antal &amp; Längder (vikter)'!$C$38&lt;&gt;"",'Antal &amp; Längder (vikter)'!$C$38,"XX")</f>
        <v>XX</v>
      </c>
      <c r="AE340" s="408" t="str">
        <f>IF(AND('Antal &amp; Längder (vikter)'!J$40&lt;&gt;"",ISNUMBER($AH340)),'Antal &amp; Längder (vikter)'!J$40,"")</f>
        <v/>
      </c>
      <c r="AF340" s="425" t="str">
        <f t="shared" si="12"/>
        <v/>
      </c>
      <c r="AG340" s="426" t="str">
        <f t="shared" si="13"/>
        <v/>
      </c>
      <c r="AH340" s="409" t="str">
        <f>IF('Antal &amp; Längder (vikter)'!K$41="Längd (mm)",IF('Antal &amp; Längder (vikter)'!K49&lt;&gt;"",'Antal &amp; Längder (vikter)'!K49,"XX"),"XX")</f>
        <v>XX</v>
      </c>
      <c r="AI340" s="7">
        <v>-9</v>
      </c>
    </row>
    <row r="341" spans="6:35" x14ac:dyDescent="0.25">
      <c r="F341" s="199">
        <f>COUNTIF(J$113:J341,J341)</f>
        <v>10</v>
      </c>
      <c r="G341" t="s">
        <v>356</v>
      </c>
      <c r="H341" s="330">
        <v>834</v>
      </c>
      <c r="I341" s="330">
        <v>8</v>
      </c>
      <c r="J341" t="s">
        <v>128</v>
      </c>
      <c r="K341" s="143"/>
      <c r="L341" s="220" t="str">
        <f>IF(Protokoll!I$1&lt;&gt;"",IF(N340=N$113,IF(AND(DMAX(F$113:J$403,F$113,O340:O341)&gt;COUNTA(L$111:L340)-2,DCOUNTA(F$113:J$403,G$113,N340:O341)=1),DGET(F$113:J$403,G$113,N340:O341),""),IF(AND(DMAX(F$113:J$403,F$113,Q340:Q341)&gt;COUNTA(L$111:L340)-2,DCOUNTA(F$113:J$403,G$113,P340:Q341)=1),DGET(F$113:J$403,G$113,P340:Q341),"")),G341)</f>
        <v/>
      </c>
      <c r="M341" s="143"/>
      <c r="N341" s="221" t="str">
        <f>IF(N340=N$113,IF(COUNT(N$113:Q340)&lt;DMAX(F$113:J$403,F$113,O340:O341),COUNT(N$113:Q340)+1,""),IF(COUNT(N$113:Q340)&lt;DMAX(F$113:J$403,F$113,Q340:Q341),N$113,""))</f>
        <v/>
      </c>
      <c r="O341" s="222" t="str">
        <f>IF(O340=O$113,IF(COUNTA(L$111:L340)-2&lt;DMAX(F$113:J$403,F$113,Q339:Q340),Protokoll!I$1,""),IF(O340&lt;&gt;"",IF(COUNTA(L$111:L340)-1&lt;DMAX(F$113:J$403,F$113,O339:O340),O$113,""),""))</f>
        <v/>
      </c>
      <c r="P341" s="223" t="str">
        <f>IF(N340=N$113,IF(COUNT(N$113:Q340)&lt;DMAX(F$113:J$403,F$113,O340:O341),N$113,""),IF(COUNT(N$113:Q340)&lt;DMAX(F$113:J$403,F$113,Q340:Q341),COUNT(N$113:Q340)+1,""))</f>
        <v/>
      </c>
      <c r="Q341" s="199" t="str">
        <f>IF(O340=O$113,IF(COUNTA(L$111:L340)-2&lt;DMAX(F$113:J$403,F$113,Q339:Q340),O$113,""),IF(Q340&lt;&gt;"",IF(COUNTA(L$111:L340)-2&lt;DMAX(F$113:J$403,F$113,O339:O340),Protokoll!I$1,""),""))</f>
        <v/>
      </c>
      <c r="T341" s="331" t="str">
        <f>IF(OR(Protokoll!$X$5&lt;&gt;"",Lokalbeskrivn!$M$4&lt;&gt;""),"",U341)</f>
        <v/>
      </c>
      <c r="U341" s="330" t="s">
        <v>1111</v>
      </c>
      <c r="Y341" s="572" t="s">
        <v>1935</v>
      </c>
      <c r="Z341" s="572" t="s">
        <v>1936</v>
      </c>
      <c r="AB341" s="472" t="str">
        <f>IF(COUNT(AB333:AB340)&gt;0,MAX(AB333:AB340)+1,"")</f>
        <v/>
      </c>
      <c r="AC341" s="433" t="str">
        <f>IF(AND(AH341&lt;&gt;"",AG341&lt;&gt;"",AI341&gt;0,AH341&gt;0),MAX(AC$2:AC340)+1,"XX")</f>
        <v>XX</v>
      </c>
      <c r="AD341" s="430" t="str">
        <f>IF('Antal &amp; Längder (vikter)'!$C$38&lt;&gt;"",'Antal &amp; Längder (vikter)'!$C$38,"XX")</f>
        <v>XX</v>
      </c>
      <c r="AE341" s="408" t="str">
        <f>IF(AND('Antal &amp; Längder (vikter)'!J$40&lt;&gt;"",ISNUMBER($AH341)),'Antal &amp; Längder (vikter)'!J$40,"")</f>
        <v/>
      </c>
      <c r="AF341" s="425" t="str">
        <f t="shared" si="12"/>
        <v/>
      </c>
      <c r="AG341" s="426" t="str">
        <f t="shared" si="13"/>
        <v/>
      </c>
      <c r="AH341" s="409" t="str">
        <f>IF('Antal &amp; Längder (vikter)'!K$41="Längd (mm)",IF('Antal &amp; Längder (vikter)'!K50&lt;&gt;"",'Antal &amp; Längder (vikter)'!K50,"XX"),"XX")</f>
        <v>XX</v>
      </c>
      <c r="AI341" s="7">
        <v>-9</v>
      </c>
    </row>
    <row r="342" spans="6:35" x14ac:dyDescent="0.25">
      <c r="F342" s="199">
        <f>COUNTIF(J$113:J342,J342)</f>
        <v>40</v>
      </c>
      <c r="G342" t="s">
        <v>357</v>
      </c>
      <c r="H342" s="330">
        <v>1452</v>
      </c>
      <c r="I342" s="330">
        <v>14</v>
      </c>
      <c r="J342" t="s">
        <v>114</v>
      </c>
      <c r="K342" s="143"/>
      <c r="L342" s="220" t="str">
        <f>IF(Protokoll!I$1&lt;&gt;"",IF(N341=N$113,IF(AND(DMAX(F$113:J$403,F$113,O341:O342)&gt;COUNTA(L$111:L341)-2,DCOUNTA(F$113:J$403,G$113,N341:O342)=1),DGET(F$113:J$403,G$113,N341:O342),""),IF(AND(DMAX(F$113:J$403,F$113,Q341:Q342)&gt;COUNTA(L$111:L341)-2,DCOUNTA(F$113:J$403,G$113,P341:Q342)=1),DGET(F$113:J$403,G$113,P341:Q342),"")),G342)</f>
        <v/>
      </c>
      <c r="M342" s="143"/>
      <c r="N342" s="221" t="str">
        <f>IF(N341=N$113,IF(COUNT(N$113:Q341)&lt;DMAX(F$113:J$403,F$113,O341:O342),COUNT(N$113:Q341)+1,""),IF(COUNT(N$113:Q341)&lt;DMAX(F$113:J$403,F$113,Q341:Q342),N$113,""))</f>
        <v/>
      </c>
      <c r="O342" s="222" t="str">
        <f>IF(O341=O$113,IF(COUNTA(L$111:L341)-2&lt;DMAX(F$113:J$403,F$113,Q340:Q341),Protokoll!I$1,""),IF(O341&lt;&gt;"",IF(COUNTA(L$111:L341)-1&lt;DMAX(F$113:J$403,F$113,O340:O341),O$113,""),""))</f>
        <v/>
      </c>
      <c r="P342" s="223" t="str">
        <f>IF(N341=N$113,IF(COUNT(N$113:Q341)&lt;DMAX(F$113:J$403,F$113,O341:O342),N$113,""),IF(COUNT(N$113:Q341)&lt;DMAX(F$113:J$403,F$113,Q341:Q342),COUNT(N$113:Q341)+1,""))</f>
        <v/>
      </c>
      <c r="Q342" s="199" t="str">
        <f>IF(O341=O$113,IF(COUNTA(L$111:L341)-2&lt;DMAX(F$113:J$403,F$113,Q340:Q341),O$113,""),IF(Q341&lt;&gt;"",IF(COUNTA(L$111:L341)-2&lt;DMAX(F$113:J$403,F$113,O340:O341),Protokoll!I$1,""),""))</f>
        <v/>
      </c>
      <c r="T342" s="331" t="str">
        <f>IF(OR(Protokoll!$X$5&lt;&gt;"",Lokalbeskrivn!$M$4&lt;&gt;""),"",U342)</f>
        <v/>
      </c>
      <c r="U342" s="330" t="s">
        <v>1113</v>
      </c>
      <c r="Y342" s="572" t="s">
        <v>1655</v>
      </c>
      <c r="Z342" s="572" t="s">
        <v>1656</v>
      </c>
      <c r="AB342" s="479" t="str">
        <f>IF(COUNT(AB333:AB341)&gt;0,MAX(AB333:AB341)+1,"")</f>
        <v/>
      </c>
      <c r="AC342" s="433" t="str">
        <f>IF(AND(AH342&lt;&gt;"",AG342&lt;&gt;"",AI342&gt;0,AH342&gt;0),MAX(AC$2:AC341)+1,"XX")</f>
        <v>XX</v>
      </c>
      <c r="AD342" s="430" t="str">
        <f>IF('Antal &amp; Längder (vikter)'!$C$38&lt;&gt;"",'Antal &amp; Längder (vikter)'!$C$38,"XX")</f>
        <v>XX</v>
      </c>
      <c r="AE342" s="408" t="str">
        <f>IF(AND('Antal &amp; Längder (vikter)'!J$40&lt;&gt;"",ISNUMBER($AH342)),'Antal &amp; Längder (vikter)'!J$40,"")</f>
        <v/>
      </c>
      <c r="AF342" s="425" t="str">
        <f t="shared" si="12"/>
        <v/>
      </c>
      <c r="AG342" s="426" t="str">
        <f t="shared" si="13"/>
        <v/>
      </c>
      <c r="AH342" s="409" t="str">
        <f>IF('Antal &amp; Längder (vikter)'!K$41="Längd (mm)",IF('Antal &amp; Längder (vikter)'!K51&lt;&gt;"",'Antal &amp; Längder (vikter)'!K51,"XX"),"XX")</f>
        <v>XX</v>
      </c>
      <c r="AI342" s="7">
        <v>-9</v>
      </c>
    </row>
    <row r="343" spans="6:35" x14ac:dyDescent="0.25">
      <c r="F343" s="199">
        <f>COUNTIF(J$113:J343,J343)</f>
        <v>10</v>
      </c>
      <c r="G343" t="s">
        <v>358</v>
      </c>
      <c r="H343" s="330">
        <v>687</v>
      </c>
      <c r="I343" s="330">
        <v>6</v>
      </c>
      <c r="J343" t="s">
        <v>122</v>
      </c>
      <c r="K343" s="143"/>
      <c r="L343" s="220" t="str">
        <f>IF(Protokoll!I$1&lt;&gt;"",IF(N342=N$113,IF(AND(DMAX(F$113:J$403,F$113,O342:O343)&gt;COUNTA(L$111:L342)-2,DCOUNTA(F$113:J$403,G$113,N342:O343)=1),DGET(F$113:J$403,G$113,N342:O343),""),IF(AND(DMAX(F$113:J$403,F$113,Q342:Q343)&gt;COUNTA(L$111:L342)-2,DCOUNTA(F$113:J$403,G$113,P342:Q343)=1),DGET(F$113:J$403,G$113,P342:Q343),"")),G343)</f>
        <v/>
      </c>
      <c r="M343" s="143"/>
      <c r="N343" s="221" t="str">
        <f>IF(N342=N$113,IF(COUNT(N$113:Q342)&lt;DMAX(F$113:J$403,F$113,O342:O343),COUNT(N$113:Q342)+1,""),IF(COUNT(N$113:Q342)&lt;DMAX(F$113:J$403,F$113,Q342:Q343),N$113,""))</f>
        <v/>
      </c>
      <c r="O343" s="222" t="str">
        <f>IF(O342=O$113,IF(COUNTA(L$111:L342)-2&lt;DMAX(F$113:J$403,F$113,Q341:Q342),Protokoll!I$1,""),IF(O342&lt;&gt;"",IF(COUNTA(L$111:L342)-1&lt;DMAX(F$113:J$403,F$113,O341:O342),O$113,""),""))</f>
        <v/>
      </c>
      <c r="P343" s="223" t="str">
        <f>IF(N342=N$113,IF(COUNT(N$113:Q342)&lt;DMAX(F$113:J$403,F$113,O342:O343),N$113,""),IF(COUNT(N$113:Q342)&lt;DMAX(F$113:J$403,F$113,Q342:Q343),COUNT(N$113:Q342)+1,""))</f>
        <v/>
      </c>
      <c r="Q343" s="199" t="str">
        <f>IF(O342=O$113,IF(COUNTA(L$111:L342)-2&lt;DMAX(F$113:J$403,F$113,Q341:Q342),O$113,""),IF(Q342&lt;&gt;"",IF(COUNTA(L$111:L342)-2&lt;DMAX(F$113:J$403,F$113,O341:O342),Protokoll!I$1,""),""))</f>
        <v/>
      </c>
      <c r="T343" s="331" t="str">
        <f>IF(OR(Protokoll!$X$5&lt;&gt;"",Lokalbeskrivn!$M$4&lt;&gt;""),"",U343)</f>
        <v/>
      </c>
      <c r="U343" s="330" t="s">
        <v>1115</v>
      </c>
      <c r="Y343" s="572" t="s">
        <v>1945</v>
      </c>
      <c r="Z343" s="572" t="s">
        <v>1946</v>
      </c>
      <c r="AB343" s="480" t="str">
        <f>IF(AND(ISNUMBER(AH343),AH343&gt;0),IF(MAX(AB$3:AB342)&gt;0,MAX(AB$3:AB342)+1,10+COUNTIF(F$38:F$49,"&gt;0")*10+1),"")</f>
        <v/>
      </c>
      <c r="AC343" s="433" t="str">
        <f>IF(AND(AH343&lt;&gt;"",AG343&lt;&gt;"",AI343&gt;0,AH343&gt;0),MAX(AC$2:AC342)+1,"XX")</f>
        <v>XX</v>
      </c>
      <c r="AD343" s="430" t="str">
        <f>IF('Antal &amp; Längder (vikter)'!$C$38&lt;&gt;"",'Antal &amp; Längder (vikter)'!$C$38,"XX")</f>
        <v>XX</v>
      </c>
      <c r="AE343" s="411" t="str">
        <f>IF(AND('Antal &amp; Längder (vikter)'!L$40&lt;&gt;"",ISNUMBER($AH343)),'Antal &amp; Längder (vikter)'!L$40,"")</f>
        <v/>
      </c>
      <c r="AF343" s="425" t="str">
        <f t="shared" si="12"/>
        <v/>
      </c>
      <c r="AG343" s="426" t="str">
        <f t="shared" si="13"/>
        <v/>
      </c>
      <c r="AH343" s="407" t="str">
        <f>IF('Antal &amp; Längder (vikter)'!L42&lt;&gt;"",'Antal &amp; Längder (vikter)'!L42,"XX")</f>
        <v>XX</v>
      </c>
      <c r="AI343" s="405">
        <f>IF('Antal &amp; Längder (vikter)'!M$41="Vikt (g)",IF('Antal &amp; Längder (vikter)'!M42&lt;&gt;"",'Antal &amp; Längder (vikter)'!M42,-9),-9)</f>
        <v>-9</v>
      </c>
    </row>
    <row r="344" spans="6:35" x14ac:dyDescent="0.25">
      <c r="F344" s="199">
        <f>COUNTIF(J$113:J344,J344)</f>
        <v>27</v>
      </c>
      <c r="G344" t="s">
        <v>359</v>
      </c>
      <c r="H344" s="330">
        <v>1287</v>
      </c>
      <c r="I344" s="330">
        <v>12</v>
      </c>
      <c r="J344" t="s">
        <v>134</v>
      </c>
      <c r="K344" s="143"/>
      <c r="L344" s="220" t="str">
        <f>IF(Protokoll!I$1&lt;&gt;"",IF(N343=N$113,IF(AND(DMAX(F$113:J$403,F$113,O343:O344)&gt;COUNTA(L$111:L343)-2,DCOUNTA(F$113:J$403,G$113,N343:O344)=1),DGET(F$113:J$403,G$113,N343:O344),""),IF(AND(DMAX(F$113:J$403,F$113,Q343:Q344)&gt;COUNTA(L$111:L343)-2,DCOUNTA(F$113:J$403,G$113,P343:Q344)=1),DGET(F$113:J$403,G$113,P343:Q344),"")),G344)</f>
        <v/>
      </c>
      <c r="M344" s="143"/>
      <c r="N344" s="221" t="str">
        <f>IF(N343=N$113,IF(COUNT(N$113:Q343)&lt;DMAX(F$113:J$403,F$113,O343:O344),COUNT(N$113:Q343)+1,""),IF(COUNT(N$113:Q343)&lt;DMAX(F$113:J$403,F$113,Q343:Q344),N$113,""))</f>
        <v/>
      </c>
      <c r="O344" s="222" t="str">
        <f>IF(O343=O$113,IF(COUNTA(L$111:L343)-2&lt;DMAX(F$113:J$403,F$113,Q342:Q343),Protokoll!I$1,""),IF(O343&lt;&gt;"",IF(COUNTA(L$111:L343)-1&lt;DMAX(F$113:J$403,F$113,O342:O343),O$113,""),""))</f>
        <v/>
      </c>
      <c r="P344" s="223" t="str">
        <f>IF(N343=N$113,IF(COUNT(N$113:Q343)&lt;DMAX(F$113:J$403,F$113,O343:O344),N$113,""),IF(COUNT(N$113:Q343)&lt;DMAX(F$113:J$403,F$113,Q343:Q344),COUNT(N$113:Q343)+1,""))</f>
        <v/>
      </c>
      <c r="Q344" s="199" t="str">
        <f>IF(O343=O$113,IF(COUNTA(L$111:L343)-2&lt;DMAX(F$113:J$403,F$113,Q342:Q343),O$113,""),IF(Q343&lt;&gt;"",IF(COUNTA(L$111:L343)-2&lt;DMAX(F$113:J$403,F$113,O342:O343),Protokoll!I$1,""),""))</f>
        <v/>
      </c>
      <c r="T344" s="331" t="str">
        <f>IF(OR(Protokoll!$X$5&lt;&gt;"",Lokalbeskrivn!$M$4&lt;&gt;""),"",U344)</f>
        <v/>
      </c>
      <c r="U344" s="330" t="s">
        <v>1117</v>
      </c>
      <c r="Y344" s="572" t="s">
        <v>2486</v>
      </c>
      <c r="Z344" s="572" t="s">
        <v>2487</v>
      </c>
      <c r="AB344" s="476" t="str">
        <f>IF(COUNT(AB343:AB343)&gt;0,MAX(AB343:AB343)+1,"")</f>
        <v/>
      </c>
      <c r="AC344" s="433" t="str">
        <f>IF(AND(AH344&lt;&gt;"",AG344&lt;&gt;"",AI344&gt;0,AH344&gt;0),MAX(AC$2:AC343)+1,"XX")</f>
        <v>XX</v>
      </c>
      <c r="AD344" s="430" t="str">
        <f>IF('Antal &amp; Längder (vikter)'!$C$38&lt;&gt;"",'Antal &amp; Längder (vikter)'!$C$38,"XX")</f>
        <v>XX</v>
      </c>
      <c r="AE344" s="411" t="str">
        <f>IF(AND('Antal &amp; Längder (vikter)'!L$40&lt;&gt;"",ISNUMBER($AH344)),'Antal &amp; Längder (vikter)'!L$40,"")</f>
        <v/>
      </c>
      <c r="AF344" s="425" t="str">
        <f t="shared" si="12"/>
        <v/>
      </c>
      <c r="AG344" s="426" t="str">
        <f t="shared" si="13"/>
        <v/>
      </c>
      <c r="AH344" s="407" t="str">
        <f>IF('Antal &amp; Längder (vikter)'!L43&lt;&gt;"",'Antal &amp; Längder (vikter)'!L43,"XX")</f>
        <v>XX</v>
      </c>
      <c r="AI344" s="405">
        <f>IF('Antal &amp; Längder (vikter)'!M$41="Vikt (g)",IF('Antal &amp; Längder (vikter)'!M43&lt;&gt;"",'Antal &amp; Längder (vikter)'!M43,-9),-9)</f>
        <v>-9</v>
      </c>
    </row>
    <row r="345" spans="6:35" x14ac:dyDescent="0.25">
      <c r="F345" s="199">
        <f>COUNTIF(J$113:J345,J345)</f>
        <v>41</v>
      </c>
      <c r="G345" t="s">
        <v>392</v>
      </c>
      <c r="H345" s="330">
        <v>1488</v>
      </c>
      <c r="I345" s="330">
        <v>14</v>
      </c>
      <c r="J345" t="s">
        <v>114</v>
      </c>
      <c r="K345" s="143"/>
      <c r="L345" s="220" t="str">
        <f>IF(Protokoll!I$1&lt;&gt;"",IF(N344=N$113,IF(AND(DMAX(F$113:J$403,F$113,O344:O345)&gt;COUNTA(L$111:L344)-2,DCOUNTA(F$113:J$403,G$113,N344:O345)=1),DGET(F$113:J$403,G$113,N344:O345),""),IF(AND(DMAX(F$113:J$403,F$113,Q344:Q345)&gt;COUNTA(L$111:L344)-2,DCOUNTA(F$113:J$403,G$113,P344:Q345)=1),DGET(F$113:J$403,G$113,P344:Q345),"")),G345)</f>
        <v/>
      </c>
      <c r="M345" s="143"/>
      <c r="N345" s="221" t="str">
        <f>IF(N344=N$113,IF(COUNT(N$113:Q344)&lt;DMAX(F$113:J$403,F$113,O344:O345),COUNT(N$113:Q344)+1,""),IF(COUNT(N$113:Q344)&lt;DMAX(F$113:J$403,F$113,Q344:Q345),N$113,""))</f>
        <v/>
      </c>
      <c r="O345" s="222" t="str">
        <f>IF(O344=O$113,IF(COUNTA(L$111:L344)-2&lt;DMAX(F$113:J$403,F$113,Q343:Q344),Protokoll!I$1,""),IF(O344&lt;&gt;"",IF(COUNTA(L$111:L344)-1&lt;DMAX(F$113:J$403,F$113,O343:O344),O$113,""),""))</f>
        <v/>
      </c>
      <c r="P345" s="223" t="str">
        <f>IF(N344=N$113,IF(COUNT(N$113:Q344)&lt;DMAX(F$113:J$403,F$113,O344:O345),N$113,""),IF(COUNT(N$113:Q344)&lt;DMAX(F$113:J$403,F$113,Q344:Q345),COUNT(N$113:Q344)+1,""))</f>
        <v/>
      </c>
      <c r="Q345" s="199" t="str">
        <f>IF(O344=O$113,IF(COUNTA(L$111:L344)-2&lt;DMAX(F$113:J$403,F$113,Q343:Q344),O$113,""),IF(Q344&lt;&gt;"",IF(COUNTA(L$111:L344)-2&lt;DMAX(F$113:J$403,F$113,O343:O344),Protokoll!I$1,""),""))</f>
        <v/>
      </c>
      <c r="T345" s="331" t="str">
        <f>IF(OR(Protokoll!$X$5&lt;&gt;"",Lokalbeskrivn!$M$4&lt;&gt;""),"",U345)</f>
        <v/>
      </c>
      <c r="U345" s="330" t="s">
        <v>1119</v>
      </c>
      <c r="Y345" s="572" t="s">
        <v>1943</v>
      </c>
      <c r="Z345" s="572" t="s">
        <v>1944</v>
      </c>
      <c r="AB345" s="477" t="str">
        <f>IF(COUNT(AB343:AB344)&gt;0,MAX(AB343:AB344)+1,"")</f>
        <v/>
      </c>
      <c r="AC345" s="433" t="str">
        <f>IF(AND(AH345&lt;&gt;"",AG345&lt;&gt;"",AI345&gt;0,AH345&gt;0),MAX(AC$2:AC344)+1,"XX")</f>
        <v>XX</v>
      </c>
      <c r="AD345" s="430" t="str">
        <f>IF('Antal &amp; Längder (vikter)'!$C$38&lt;&gt;"",'Antal &amp; Längder (vikter)'!$C$38,"XX")</f>
        <v>XX</v>
      </c>
      <c r="AE345" s="411" t="str">
        <f>IF(AND('Antal &amp; Längder (vikter)'!L$40&lt;&gt;"",ISNUMBER($AH345)),'Antal &amp; Längder (vikter)'!L$40,"")</f>
        <v/>
      </c>
      <c r="AF345" s="425" t="str">
        <f t="shared" si="12"/>
        <v/>
      </c>
      <c r="AG345" s="426" t="str">
        <f t="shared" si="13"/>
        <v/>
      </c>
      <c r="AH345" s="407" t="str">
        <f>IF('Antal &amp; Längder (vikter)'!L44&lt;&gt;"",'Antal &amp; Längder (vikter)'!L44,"XX")</f>
        <v>XX</v>
      </c>
      <c r="AI345" s="405">
        <f>IF('Antal &amp; Längder (vikter)'!M$41="Vikt (g)",IF('Antal &amp; Längder (vikter)'!M44&lt;&gt;"",'Antal &amp; Längder (vikter)'!M44,-9),-9)</f>
        <v>-9</v>
      </c>
    </row>
    <row r="346" spans="6:35" x14ac:dyDescent="0.25">
      <c r="F346" s="199">
        <f>COUNTIF(J$113:J346,J346)</f>
        <v>8</v>
      </c>
      <c r="G346" t="s">
        <v>393</v>
      </c>
      <c r="H346" s="330">
        <v>488</v>
      </c>
      <c r="I346" s="330">
        <v>4</v>
      </c>
      <c r="J346" t="s">
        <v>138</v>
      </c>
      <c r="K346" s="143"/>
      <c r="L346" s="220" t="str">
        <f>IF(Protokoll!I$1&lt;&gt;"",IF(N345=N$113,IF(AND(DMAX(F$113:J$403,F$113,O345:O346)&gt;COUNTA(L$111:L345)-2,DCOUNTA(F$113:J$403,G$113,N345:O346)=1),DGET(F$113:J$403,G$113,N345:O346),""),IF(AND(DMAX(F$113:J$403,F$113,Q345:Q346)&gt;COUNTA(L$111:L345)-2,DCOUNTA(F$113:J$403,G$113,P345:Q346)=1),DGET(F$113:J$403,G$113,P345:Q346),"")),G346)</f>
        <v/>
      </c>
      <c r="M346" s="143"/>
      <c r="N346" s="221" t="str">
        <f>IF(N345=N$113,IF(COUNT(N$113:Q345)&lt;DMAX(F$113:J$403,F$113,O345:O346),COUNT(N$113:Q345)+1,""),IF(COUNT(N$113:Q345)&lt;DMAX(F$113:J$403,F$113,Q345:Q346),N$113,""))</f>
        <v/>
      </c>
      <c r="O346" s="222" t="str">
        <f>IF(O345=O$113,IF(COUNTA(L$111:L345)-2&lt;DMAX(F$113:J$403,F$113,Q344:Q345),Protokoll!I$1,""),IF(O345&lt;&gt;"",IF(COUNTA(L$111:L345)-1&lt;DMAX(F$113:J$403,F$113,O344:O345),O$113,""),""))</f>
        <v/>
      </c>
      <c r="P346" s="223" t="str">
        <f>IF(N345=N$113,IF(COUNT(N$113:Q345)&lt;DMAX(F$113:J$403,F$113,O345:O346),N$113,""),IF(COUNT(N$113:Q345)&lt;DMAX(F$113:J$403,F$113,Q345:Q346),COUNT(N$113:Q345)+1,""))</f>
        <v/>
      </c>
      <c r="Q346" s="199" t="str">
        <f>IF(O345=O$113,IF(COUNTA(L$111:L345)-2&lt;DMAX(F$113:J$403,F$113,Q344:Q345),O$113,""),IF(Q345&lt;&gt;"",IF(COUNTA(L$111:L345)-2&lt;DMAX(F$113:J$403,F$113,O344:O345),Protokoll!I$1,""),""))</f>
        <v/>
      </c>
      <c r="T346" s="331" t="str">
        <f>IF(OR(Protokoll!$X$5&lt;&gt;"",Lokalbeskrivn!$M$4&lt;&gt;""),"",U346)</f>
        <v/>
      </c>
      <c r="U346" s="330" t="s">
        <v>1121</v>
      </c>
      <c r="Y346" s="572" t="s">
        <v>2224</v>
      </c>
      <c r="Z346" s="572" t="s">
        <v>2225</v>
      </c>
      <c r="AB346" s="434" t="str">
        <f>IF(COUNT(AB343:AB345)&gt;0,MAX(AB343:AB345)+1,"")</f>
        <v/>
      </c>
      <c r="AC346" s="433" t="str">
        <f>IF(AND(AH346&lt;&gt;"",AG346&lt;&gt;"",AI346&gt;0,AH346&gt;0),MAX(AC$2:AC345)+1,"XX")</f>
        <v>XX</v>
      </c>
      <c r="AD346" s="430" t="str">
        <f>IF('Antal &amp; Längder (vikter)'!$C$38&lt;&gt;"",'Antal &amp; Längder (vikter)'!$C$38,"XX")</f>
        <v>XX</v>
      </c>
      <c r="AE346" s="411" t="str">
        <f>IF(AND('Antal &amp; Längder (vikter)'!L$40&lt;&gt;"",ISNUMBER($AH346)),'Antal &amp; Längder (vikter)'!L$40,"")</f>
        <v/>
      </c>
      <c r="AF346" s="425" t="str">
        <f t="shared" si="12"/>
        <v/>
      </c>
      <c r="AG346" s="426" t="str">
        <f t="shared" si="13"/>
        <v/>
      </c>
      <c r="AH346" s="407" t="str">
        <f>IF('Antal &amp; Längder (vikter)'!L45&lt;&gt;"",'Antal &amp; Längder (vikter)'!L45,"XX")</f>
        <v>XX</v>
      </c>
      <c r="AI346" s="405">
        <f>IF('Antal &amp; Längder (vikter)'!M$41="Vikt (g)",IF('Antal &amp; Längder (vikter)'!M45&lt;&gt;"",'Antal &amp; Längder (vikter)'!M45,-9),-9)</f>
        <v>-9</v>
      </c>
    </row>
    <row r="347" spans="6:35" x14ac:dyDescent="0.25">
      <c r="F347" s="199">
        <f>COUNTIF(J$113:J347,J347)</f>
        <v>19</v>
      </c>
      <c r="G347" t="s">
        <v>394</v>
      </c>
      <c r="H347" s="330">
        <v>138</v>
      </c>
      <c r="I347" s="330">
        <v>1</v>
      </c>
      <c r="J347" t="s">
        <v>136</v>
      </c>
      <c r="K347" s="143"/>
      <c r="L347" s="220" t="str">
        <f>IF(Protokoll!I$1&lt;&gt;"",IF(N346=N$113,IF(AND(DMAX(F$113:J$403,F$113,O346:O347)&gt;COUNTA(L$111:L346)-2,DCOUNTA(F$113:J$403,G$113,N346:O347)=1),DGET(F$113:J$403,G$113,N346:O347),""),IF(AND(DMAX(F$113:J$403,F$113,Q346:Q347)&gt;COUNTA(L$111:L346)-2,DCOUNTA(F$113:J$403,G$113,P346:Q347)=1),DGET(F$113:J$403,G$113,P346:Q347),"")),G347)</f>
        <v/>
      </c>
      <c r="M347" s="143"/>
      <c r="N347" s="221" t="str">
        <f>IF(N346=N$113,IF(COUNT(N$113:Q346)&lt;DMAX(F$113:J$403,F$113,O346:O347),COUNT(N$113:Q346)+1,""),IF(COUNT(N$113:Q346)&lt;DMAX(F$113:J$403,F$113,Q346:Q347),N$113,""))</f>
        <v/>
      </c>
      <c r="O347" s="222" t="str">
        <f>IF(O346=O$113,IF(COUNTA(L$111:L346)-2&lt;DMAX(F$113:J$403,F$113,Q345:Q346),Protokoll!I$1,""),IF(O346&lt;&gt;"",IF(COUNTA(L$111:L346)-1&lt;DMAX(F$113:J$403,F$113,O345:O346),O$113,""),""))</f>
        <v/>
      </c>
      <c r="P347" s="223" t="str">
        <f>IF(N346=N$113,IF(COUNT(N$113:Q346)&lt;DMAX(F$113:J$403,F$113,O346:O347),N$113,""),IF(COUNT(N$113:Q346)&lt;DMAX(F$113:J$403,F$113,Q346:Q347),COUNT(N$113:Q346)+1,""))</f>
        <v/>
      </c>
      <c r="Q347" s="199" t="str">
        <f>IF(O346=O$113,IF(COUNTA(L$111:L346)-2&lt;DMAX(F$113:J$403,F$113,Q345:Q346),O$113,""),IF(Q346&lt;&gt;"",IF(COUNTA(L$111:L346)-2&lt;DMAX(F$113:J$403,F$113,O345:O346),Protokoll!I$1,""),""))</f>
        <v/>
      </c>
      <c r="T347" s="331" t="str">
        <f>IF(OR(Protokoll!$X$5&lt;&gt;"",Lokalbeskrivn!$M$4&lt;&gt;""),"",U347)</f>
        <v/>
      </c>
      <c r="U347" s="330" t="s">
        <v>1123</v>
      </c>
      <c r="Y347" s="572" t="s">
        <v>1687</v>
      </c>
      <c r="Z347" s="572" t="s">
        <v>1688</v>
      </c>
      <c r="AB347" s="475" t="str">
        <f>IF(COUNT(AB343:AB346)&gt;0,MAX(AB343:AB346)+1,"")</f>
        <v/>
      </c>
      <c r="AC347" s="433" t="str">
        <f>IF(AND(AH347&lt;&gt;"",AG347&lt;&gt;"",AI347&gt;0,AH347&gt;0),MAX(AC$2:AC346)+1,"XX")</f>
        <v>XX</v>
      </c>
      <c r="AD347" s="430" t="str">
        <f>IF('Antal &amp; Längder (vikter)'!$C$38&lt;&gt;"",'Antal &amp; Längder (vikter)'!$C$38,"XX")</f>
        <v>XX</v>
      </c>
      <c r="AE347" s="411" t="str">
        <f>IF(AND('Antal &amp; Längder (vikter)'!L$40&lt;&gt;"",ISNUMBER($AH347)),'Antal &amp; Längder (vikter)'!L$40,"")</f>
        <v/>
      </c>
      <c r="AF347" s="425" t="str">
        <f t="shared" si="12"/>
        <v/>
      </c>
      <c r="AG347" s="426" t="str">
        <f t="shared" si="13"/>
        <v/>
      </c>
      <c r="AH347" s="407" t="str">
        <f>IF('Antal &amp; Längder (vikter)'!L46&lt;&gt;"",'Antal &amp; Längder (vikter)'!L46,"XX")</f>
        <v>XX</v>
      </c>
      <c r="AI347" s="405">
        <f>IF('Antal &amp; Längder (vikter)'!M$41="Vikt (g)",IF('Antal &amp; Längder (vikter)'!M46&lt;&gt;"",'Antal &amp; Längder (vikter)'!M46,-9),-9)</f>
        <v>-9</v>
      </c>
    </row>
    <row r="348" spans="6:35" x14ac:dyDescent="0.25">
      <c r="F348" s="199">
        <f>COUNTIF(J$113:J348,J348)</f>
        <v>20</v>
      </c>
      <c r="G348" t="s">
        <v>395</v>
      </c>
      <c r="H348" s="330">
        <v>160</v>
      </c>
      <c r="I348" s="330">
        <v>1</v>
      </c>
      <c r="J348" t="s">
        <v>136</v>
      </c>
      <c r="K348" s="143"/>
      <c r="L348" s="220" t="str">
        <f>IF(Protokoll!I$1&lt;&gt;"",IF(N347=N$113,IF(AND(DMAX(F$113:J$403,F$113,O347:O348)&gt;COUNTA(L$111:L347)-2,DCOUNTA(F$113:J$403,G$113,N347:O348)=1),DGET(F$113:J$403,G$113,N347:O348),""),IF(AND(DMAX(F$113:J$403,F$113,Q347:Q348)&gt;COUNTA(L$111:L347)-2,DCOUNTA(F$113:J$403,G$113,P347:Q348)=1),DGET(F$113:J$403,G$113,P347:Q348),"")),G348)</f>
        <v/>
      </c>
      <c r="M348" s="143"/>
      <c r="N348" s="221" t="str">
        <f>IF(N347=N$113,IF(COUNT(N$113:Q347)&lt;DMAX(F$113:J$403,F$113,O347:O348),COUNT(N$113:Q347)+1,""),IF(COUNT(N$113:Q347)&lt;DMAX(F$113:J$403,F$113,Q347:Q348),N$113,""))</f>
        <v/>
      </c>
      <c r="O348" s="222" t="str">
        <f>IF(O347=O$113,IF(COUNTA(L$111:L347)-2&lt;DMAX(F$113:J$403,F$113,Q346:Q347),Protokoll!I$1,""),IF(O347&lt;&gt;"",IF(COUNTA(L$111:L347)-1&lt;DMAX(F$113:J$403,F$113,O346:O347),O$113,""),""))</f>
        <v/>
      </c>
      <c r="P348" s="223" t="str">
        <f>IF(N347=N$113,IF(COUNT(N$113:Q347)&lt;DMAX(F$113:J$403,F$113,O347:O348),N$113,""),IF(COUNT(N$113:Q347)&lt;DMAX(F$113:J$403,F$113,Q347:Q348),COUNT(N$113:Q347)+1,""))</f>
        <v/>
      </c>
      <c r="Q348" s="199" t="str">
        <f>IF(O347=O$113,IF(COUNTA(L$111:L347)-2&lt;DMAX(F$113:J$403,F$113,Q346:Q347),O$113,""),IF(Q347&lt;&gt;"",IF(COUNTA(L$111:L347)-2&lt;DMAX(F$113:J$403,F$113,O346:O347),Protokoll!I$1,""),""))</f>
        <v/>
      </c>
      <c r="T348" s="331" t="str">
        <f>IF(OR(Protokoll!$X$5&lt;&gt;"",Lokalbeskrivn!$M$4&lt;&gt;""),"",U348)</f>
        <v/>
      </c>
      <c r="U348" s="330" t="s">
        <v>1125</v>
      </c>
      <c r="Y348" s="572" t="s">
        <v>2488</v>
      </c>
      <c r="Z348" s="572" t="s">
        <v>2489</v>
      </c>
      <c r="AB348" s="471" t="str">
        <f>IF(COUNT(AB343:AB347)&gt;0,MAX(AB343:AB347)+1,"")</f>
        <v/>
      </c>
      <c r="AC348" s="433" t="str">
        <f>IF(AND(AH348&lt;&gt;"",AG348&lt;&gt;"",AI348&gt;0,AH348&gt;0),MAX(AC$2:AC347)+1,"XX")</f>
        <v>XX</v>
      </c>
      <c r="AD348" s="430" t="str">
        <f>IF('Antal &amp; Längder (vikter)'!$C$38&lt;&gt;"",'Antal &amp; Längder (vikter)'!$C$38,"XX")</f>
        <v>XX</v>
      </c>
      <c r="AE348" s="411" t="str">
        <f>IF(AND('Antal &amp; Längder (vikter)'!L$40&lt;&gt;"",ISNUMBER($AH348)),'Antal &amp; Längder (vikter)'!L$40,"")</f>
        <v/>
      </c>
      <c r="AF348" s="425" t="str">
        <f t="shared" si="12"/>
        <v/>
      </c>
      <c r="AG348" s="426" t="str">
        <f t="shared" si="13"/>
        <v/>
      </c>
      <c r="AH348" s="407" t="str">
        <f>IF('Antal &amp; Längder (vikter)'!L47&lt;&gt;"",'Antal &amp; Längder (vikter)'!L47,"XX")</f>
        <v>XX</v>
      </c>
      <c r="AI348" s="405">
        <f>IF('Antal &amp; Längder (vikter)'!M$41="Vikt (g)",IF('Antal &amp; Längder (vikter)'!M47&lt;&gt;"",'Antal &amp; Längder (vikter)'!M47,-9),-9)</f>
        <v>-9</v>
      </c>
    </row>
    <row r="349" spans="6:35" x14ac:dyDescent="0.25">
      <c r="F349" s="199">
        <f>COUNTIF(J$113:J349,J349)</f>
        <v>42</v>
      </c>
      <c r="G349" t="s">
        <v>396</v>
      </c>
      <c r="H349" s="330">
        <v>1473</v>
      </c>
      <c r="I349" s="330">
        <v>14</v>
      </c>
      <c r="J349" t="s">
        <v>114</v>
      </c>
      <c r="K349" s="143"/>
      <c r="L349" s="220" t="str">
        <f>IF(Protokoll!I$1&lt;&gt;"",IF(N348=N$113,IF(AND(DMAX(F$113:J$403,F$113,O348:O349)&gt;COUNTA(L$111:L348)-2,DCOUNTA(F$113:J$403,G$113,N348:O349)=1),DGET(F$113:J$403,G$113,N348:O349),""),IF(AND(DMAX(F$113:J$403,F$113,Q348:Q349)&gt;COUNTA(L$111:L348)-2,DCOUNTA(F$113:J$403,G$113,P348:Q349)=1),DGET(F$113:J$403,G$113,P348:Q349),"")),G349)</f>
        <v/>
      </c>
      <c r="M349" s="143"/>
      <c r="N349" s="221" t="str">
        <f>IF(N348=N$113,IF(COUNT(N$113:Q348)&lt;DMAX(F$113:J$403,F$113,O348:O349),COUNT(N$113:Q348)+1,""),IF(COUNT(N$113:Q348)&lt;DMAX(F$113:J$403,F$113,Q348:Q349),N$113,""))</f>
        <v/>
      </c>
      <c r="O349" s="222" t="str">
        <f>IF(O348=O$113,IF(COUNTA(L$111:L348)-2&lt;DMAX(F$113:J$403,F$113,Q347:Q348),Protokoll!I$1,""),IF(O348&lt;&gt;"",IF(COUNTA(L$111:L348)-1&lt;DMAX(F$113:J$403,F$113,O347:O348),O$113,""),""))</f>
        <v/>
      </c>
      <c r="P349" s="223" t="str">
        <f>IF(N348=N$113,IF(COUNT(N$113:Q348)&lt;DMAX(F$113:J$403,F$113,O348:O349),N$113,""),IF(COUNT(N$113:Q348)&lt;DMAX(F$113:J$403,F$113,Q348:Q349),COUNT(N$113:Q348)+1,""))</f>
        <v/>
      </c>
      <c r="Q349" s="199" t="str">
        <f>IF(O348=O$113,IF(COUNTA(L$111:L348)-2&lt;DMAX(F$113:J$403,F$113,Q347:Q348),O$113,""),IF(Q348&lt;&gt;"",IF(COUNTA(L$111:L348)-2&lt;DMAX(F$113:J$403,F$113,O347:O348),Protokoll!I$1,""),""))</f>
        <v/>
      </c>
      <c r="T349" s="331" t="str">
        <f>IF(OR(Protokoll!$X$5&lt;&gt;"",Lokalbeskrivn!$M$4&lt;&gt;""),"",U349)</f>
        <v/>
      </c>
      <c r="U349" s="330" t="s">
        <v>1127</v>
      </c>
      <c r="Y349" s="572" t="s">
        <v>2226</v>
      </c>
      <c r="Z349" s="572" t="s">
        <v>2227</v>
      </c>
      <c r="AB349" s="474" t="str">
        <f>IF(COUNT(AB343:AB348)&gt;0,MAX(AB343:AB348)+1,"")</f>
        <v/>
      </c>
      <c r="AC349" s="433" t="str">
        <f>IF(AND(AH349&lt;&gt;"",AG349&lt;&gt;"",AI349&gt;0,AH349&gt;0),MAX(AC$2:AC348)+1,"XX")</f>
        <v>XX</v>
      </c>
      <c r="AD349" s="430" t="str">
        <f>IF('Antal &amp; Längder (vikter)'!$C$38&lt;&gt;"",'Antal &amp; Längder (vikter)'!$C$38,"XX")</f>
        <v>XX</v>
      </c>
      <c r="AE349" s="411" t="str">
        <f>IF(AND('Antal &amp; Längder (vikter)'!L$40&lt;&gt;"",ISNUMBER($AH349)),'Antal &amp; Längder (vikter)'!L$40,"")</f>
        <v/>
      </c>
      <c r="AF349" s="425" t="str">
        <f t="shared" si="12"/>
        <v/>
      </c>
      <c r="AG349" s="426" t="str">
        <f t="shared" si="13"/>
        <v/>
      </c>
      <c r="AH349" s="407" t="str">
        <f>IF('Antal &amp; Längder (vikter)'!L48&lt;&gt;"",'Antal &amp; Längder (vikter)'!L48,"XX")</f>
        <v>XX</v>
      </c>
      <c r="AI349" s="405">
        <f>IF('Antal &amp; Längder (vikter)'!M$41="Vikt (g)",IF('Antal &amp; Längder (vikter)'!M48&lt;&gt;"",'Antal &amp; Längder (vikter)'!M48,-9),-9)</f>
        <v>-9</v>
      </c>
    </row>
    <row r="350" spans="6:35" x14ac:dyDescent="0.25">
      <c r="F350" s="199">
        <f>COUNTIF(J$113:J350,J350)</f>
        <v>43</v>
      </c>
      <c r="G350" t="s">
        <v>397</v>
      </c>
      <c r="H350" s="330">
        <v>1485</v>
      </c>
      <c r="I350" s="330">
        <v>14</v>
      </c>
      <c r="J350" t="s">
        <v>114</v>
      </c>
      <c r="K350" s="143"/>
      <c r="L350" s="220" t="str">
        <f>IF(Protokoll!I$1&lt;&gt;"",IF(N349=N$113,IF(AND(DMAX(F$113:J$403,F$113,O349:O350)&gt;COUNTA(L$111:L349)-2,DCOUNTA(F$113:J$403,G$113,N349:O350)=1),DGET(F$113:J$403,G$113,N349:O350),""),IF(AND(DMAX(F$113:J$403,F$113,Q349:Q350)&gt;COUNTA(L$111:L349)-2,DCOUNTA(F$113:J$403,G$113,P349:Q350)=1),DGET(F$113:J$403,G$113,P349:Q350),"")),G350)</f>
        <v/>
      </c>
      <c r="M350" s="143"/>
      <c r="N350" s="221" t="str">
        <f>IF(N349=N$113,IF(COUNT(N$113:Q349)&lt;DMAX(F$113:J$403,F$113,O349:O350),COUNT(N$113:Q349)+1,""),IF(COUNT(N$113:Q349)&lt;DMAX(F$113:J$403,F$113,Q349:Q350),N$113,""))</f>
        <v/>
      </c>
      <c r="O350" s="222" t="str">
        <f>IF(O349=O$113,IF(COUNTA(L$111:L349)-2&lt;DMAX(F$113:J$403,F$113,Q348:Q349),Protokoll!I$1,""),IF(O349&lt;&gt;"",IF(COUNTA(L$111:L349)-1&lt;DMAX(F$113:J$403,F$113,O348:O349),O$113,""),""))</f>
        <v/>
      </c>
      <c r="P350" s="223" t="str">
        <f>IF(N349=N$113,IF(COUNT(N$113:Q349)&lt;DMAX(F$113:J$403,F$113,O349:O350),N$113,""),IF(COUNT(N$113:Q349)&lt;DMAX(F$113:J$403,F$113,Q349:Q350),COUNT(N$113:Q349)+1,""))</f>
        <v/>
      </c>
      <c r="Q350" s="199" t="str">
        <f>IF(O349=O$113,IF(COUNTA(L$111:L349)-2&lt;DMAX(F$113:J$403,F$113,Q348:Q349),O$113,""),IF(Q349&lt;&gt;"",IF(COUNTA(L$111:L349)-2&lt;DMAX(F$113:J$403,F$113,O348:O349),Protokoll!I$1,""),""))</f>
        <v/>
      </c>
      <c r="T350" s="331" t="str">
        <f>IF(OR(Protokoll!$X$5&lt;&gt;"",Lokalbeskrivn!$M$4&lt;&gt;""),"",U350)</f>
        <v/>
      </c>
      <c r="U350" s="330" t="s">
        <v>1129</v>
      </c>
      <c r="Y350" s="572" t="s">
        <v>2228</v>
      </c>
      <c r="Z350" s="572" t="s">
        <v>2229</v>
      </c>
      <c r="AB350" s="478" t="str">
        <f>IF(COUNT(AB343:AB349)&gt;0,MAX(AB343:AB349)+1,"")</f>
        <v/>
      </c>
      <c r="AC350" s="433" t="str">
        <f>IF(AND(AH350&lt;&gt;"",AG350&lt;&gt;"",AI350&gt;0,AH350&gt;0),MAX(AC$2:AC349)+1,"XX")</f>
        <v>XX</v>
      </c>
      <c r="AD350" s="430" t="str">
        <f>IF('Antal &amp; Längder (vikter)'!$C$38&lt;&gt;"",'Antal &amp; Längder (vikter)'!$C$38,"XX")</f>
        <v>XX</v>
      </c>
      <c r="AE350" s="411" t="str">
        <f>IF(AND('Antal &amp; Längder (vikter)'!L$40&lt;&gt;"",ISNUMBER($AH350)),'Antal &amp; Längder (vikter)'!L$40,"")</f>
        <v/>
      </c>
      <c r="AF350" s="425" t="str">
        <f t="shared" si="12"/>
        <v/>
      </c>
      <c r="AG350" s="426" t="str">
        <f t="shared" si="13"/>
        <v/>
      </c>
      <c r="AH350" s="407" t="str">
        <f>IF('Antal &amp; Längder (vikter)'!L49&lt;&gt;"",'Antal &amp; Längder (vikter)'!L49,"XX")</f>
        <v>XX</v>
      </c>
      <c r="AI350" s="405">
        <f>IF('Antal &amp; Längder (vikter)'!M$41="Vikt (g)",IF('Antal &amp; Längder (vikter)'!M49&lt;&gt;"",'Antal &amp; Längder (vikter)'!M49,-9),-9)</f>
        <v>-9</v>
      </c>
    </row>
    <row r="351" spans="6:35" x14ac:dyDescent="0.25">
      <c r="F351" s="199">
        <f>COUNTIF(J$113:J351,J351)</f>
        <v>44</v>
      </c>
      <c r="G351" t="s">
        <v>398</v>
      </c>
      <c r="H351" s="330">
        <v>1491</v>
      </c>
      <c r="I351" s="330">
        <v>14</v>
      </c>
      <c r="J351" t="s">
        <v>114</v>
      </c>
      <c r="K351" s="143"/>
      <c r="L351" s="220" t="str">
        <f>IF(Protokoll!I$1&lt;&gt;"",IF(N350=N$113,IF(AND(DMAX(F$113:J$403,F$113,O350:O351)&gt;COUNTA(L$111:L350)-2,DCOUNTA(F$113:J$403,G$113,N350:O351)=1),DGET(F$113:J$403,G$113,N350:O351),""),IF(AND(DMAX(F$113:J$403,F$113,Q350:Q351)&gt;COUNTA(L$111:L350)-2,DCOUNTA(F$113:J$403,G$113,P350:Q351)=1),DGET(F$113:J$403,G$113,P350:Q351),"")),G351)</f>
        <v/>
      </c>
      <c r="M351" s="143"/>
      <c r="N351" s="221" t="str">
        <f>IF(N350=N$113,IF(COUNT(N$113:Q350)&lt;DMAX(F$113:J$403,F$113,O350:O351),COUNT(N$113:Q350)+1,""),IF(COUNT(N$113:Q350)&lt;DMAX(F$113:J$403,F$113,Q350:Q351),N$113,""))</f>
        <v/>
      </c>
      <c r="O351" s="222" t="str">
        <f>IF(O350=O$113,IF(COUNTA(L$111:L350)-2&lt;DMAX(F$113:J$403,F$113,Q349:Q350),Protokoll!I$1,""),IF(O350&lt;&gt;"",IF(COUNTA(L$111:L350)-1&lt;DMAX(F$113:J$403,F$113,O349:O350),O$113,""),""))</f>
        <v/>
      </c>
      <c r="P351" s="223" t="str">
        <f>IF(N350=N$113,IF(COUNT(N$113:Q350)&lt;DMAX(F$113:J$403,F$113,O350:O351),N$113,""),IF(COUNT(N$113:Q350)&lt;DMAX(F$113:J$403,F$113,Q350:Q351),COUNT(N$113:Q350)+1,""))</f>
        <v/>
      </c>
      <c r="Q351" s="199" t="str">
        <f>IF(O350=O$113,IF(COUNTA(L$111:L350)-2&lt;DMAX(F$113:J$403,F$113,Q349:Q350),O$113,""),IF(Q350&lt;&gt;"",IF(COUNTA(L$111:L350)-2&lt;DMAX(F$113:J$403,F$113,O349:O350),Protokoll!I$1,""),""))</f>
        <v/>
      </c>
      <c r="T351" s="331" t="str">
        <f>IF(OR(Protokoll!$X$5&lt;&gt;"",Lokalbeskrivn!$M$4&lt;&gt;""),"",U351)</f>
        <v/>
      </c>
      <c r="U351" s="330" t="s">
        <v>1131</v>
      </c>
      <c r="Y351" s="572" t="s">
        <v>2232</v>
      </c>
      <c r="Z351" s="572" t="s">
        <v>2233</v>
      </c>
      <c r="AB351" s="472" t="str">
        <f>IF(COUNT(AB343:AB350)&gt;0,MAX(AB343:AB350)+1,"")</f>
        <v/>
      </c>
      <c r="AC351" s="433" t="str">
        <f>IF(AND(AH351&lt;&gt;"",AG351&lt;&gt;"",AI351&gt;0,AH351&gt;0),MAX(AC$2:AC350)+1,"XX")</f>
        <v>XX</v>
      </c>
      <c r="AD351" s="430" t="str">
        <f>IF('Antal &amp; Längder (vikter)'!$C$38&lt;&gt;"",'Antal &amp; Längder (vikter)'!$C$38,"XX")</f>
        <v>XX</v>
      </c>
      <c r="AE351" s="411" t="str">
        <f>IF(AND('Antal &amp; Längder (vikter)'!L$40&lt;&gt;"",ISNUMBER($AH351)),'Antal &amp; Längder (vikter)'!L$40,"")</f>
        <v/>
      </c>
      <c r="AF351" s="425" t="str">
        <f t="shared" si="12"/>
        <v/>
      </c>
      <c r="AG351" s="426" t="str">
        <f t="shared" si="13"/>
        <v/>
      </c>
      <c r="AH351" s="407" t="str">
        <f>IF('Antal &amp; Längder (vikter)'!L50&lt;&gt;"",'Antal &amp; Längder (vikter)'!L50,"XX")</f>
        <v>XX</v>
      </c>
      <c r="AI351" s="405">
        <f>IF('Antal &amp; Längder (vikter)'!M$41="Vikt (g)",IF('Antal &amp; Längder (vikter)'!M50&lt;&gt;"",'Antal &amp; Längder (vikter)'!M50,-9),-9)</f>
        <v>-9</v>
      </c>
    </row>
    <row r="352" spans="6:35" x14ac:dyDescent="0.25">
      <c r="F352" s="199">
        <f>COUNTIF(J$113:J352,J352)</f>
        <v>11</v>
      </c>
      <c r="G352" t="s">
        <v>399</v>
      </c>
      <c r="H352" s="330">
        <v>2480</v>
      </c>
      <c r="I352" s="330">
        <v>24</v>
      </c>
      <c r="J352" t="s">
        <v>142</v>
      </c>
      <c r="K352" s="143"/>
      <c r="L352" s="220" t="str">
        <f>IF(Protokoll!I$1&lt;&gt;"",IF(N351=N$113,IF(AND(DMAX(F$113:J$403,F$113,O351:O352)&gt;COUNTA(L$111:L351)-2,DCOUNTA(F$113:J$403,G$113,N351:O352)=1),DGET(F$113:J$403,G$113,N351:O352),""),IF(AND(DMAX(F$113:J$403,F$113,Q351:Q352)&gt;COUNTA(L$111:L351)-2,DCOUNTA(F$113:J$403,G$113,P351:Q352)=1),DGET(F$113:J$403,G$113,P351:Q352),"")),G352)</f>
        <v/>
      </c>
      <c r="M352" s="143"/>
      <c r="N352" s="221" t="str">
        <f>IF(N351=N$113,IF(COUNT(N$113:Q351)&lt;DMAX(F$113:J$403,F$113,O351:O352),COUNT(N$113:Q351)+1,""),IF(COUNT(N$113:Q351)&lt;DMAX(F$113:J$403,F$113,Q351:Q352),N$113,""))</f>
        <v/>
      </c>
      <c r="O352" s="222" t="str">
        <f>IF(O351=O$113,IF(COUNTA(L$111:L351)-2&lt;DMAX(F$113:J$403,F$113,Q350:Q351),Protokoll!I$1,""),IF(O351&lt;&gt;"",IF(COUNTA(L$111:L351)-1&lt;DMAX(F$113:J$403,F$113,O350:O351),O$113,""),""))</f>
        <v/>
      </c>
      <c r="P352" s="223" t="str">
        <f>IF(N351=N$113,IF(COUNT(N$113:Q351)&lt;DMAX(F$113:J$403,F$113,O351:O352),N$113,""),IF(COUNT(N$113:Q351)&lt;DMAX(F$113:J$403,F$113,Q351:Q352),COUNT(N$113:Q351)+1,""))</f>
        <v/>
      </c>
      <c r="Q352" s="199" t="str">
        <f>IF(O351=O$113,IF(COUNTA(L$111:L351)-2&lt;DMAX(F$113:J$403,F$113,Q350:Q351),O$113,""),IF(Q351&lt;&gt;"",IF(COUNTA(L$111:L351)-2&lt;DMAX(F$113:J$403,F$113,O350:O351),Protokoll!I$1,""),""))</f>
        <v/>
      </c>
      <c r="T352" s="331" t="str">
        <f>IF(OR(Protokoll!$X$5&lt;&gt;"",Lokalbeskrivn!$M$4&lt;&gt;""),"",U352)</f>
        <v/>
      </c>
      <c r="U352" s="330" t="s">
        <v>1133</v>
      </c>
      <c r="Y352" s="572" t="s">
        <v>2230</v>
      </c>
      <c r="Z352" s="572" t="s">
        <v>2231</v>
      </c>
      <c r="AB352" s="479" t="str">
        <f>IF(COUNT(AB343:AB351)&gt;0,MAX(AB343:AB351)+1,"")</f>
        <v/>
      </c>
      <c r="AC352" s="433" t="str">
        <f>IF(AND(AH352&lt;&gt;"",AG352&lt;&gt;"",AI352&gt;0,AH352&gt;0),MAX(AC$2:AC351)+1,"XX")</f>
        <v>XX</v>
      </c>
      <c r="AD352" s="430" t="str">
        <f>IF('Antal &amp; Längder (vikter)'!$C$38&lt;&gt;"",'Antal &amp; Längder (vikter)'!$C$38,"XX")</f>
        <v>XX</v>
      </c>
      <c r="AE352" s="411" t="str">
        <f>IF(AND('Antal &amp; Längder (vikter)'!L$40&lt;&gt;"",ISNUMBER($AH352)),'Antal &amp; Längder (vikter)'!L$40,"")</f>
        <v/>
      </c>
      <c r="AF352" s="425" t="str">
        <f t="shared" si="12"/>
        <v/>
      </c>
      <c r="AG352" s="426" t="str">
        <f t="shared" si="13"/>
        <v/>
      </c>
      <c r="AH352" s="407" t="str">
        <f>IF('Antal &amp; Längder (vikter)'!L51&lt;&gt;"",'Antal &amp; Längder (vikter)'!L51,"XX")</f>
        <v>XX</v>
      </c>
      <c r="AI352" s="405">
        <f>IF('Antal &amp; Längder (vikter)'!M$41="Vikt (g)",IF('Antal &amp; Längder (vikter)'!M51&lt;&gt;"",'Antal &amp; Längder (vikter)'!M51,-9),-9)</f>
        <v>-9</v>
      </c>
    </row>
    <row r="353" spans="6:35" x14ac:dyDescent="0.25">
      <c r="F353" s="199">
        <f>COUNTIF(J$113:J353,J353)</f>
        <v>21</v>
      </c>
      <c r="G353" t="s">
        <v>390</v>
      </c>
      <c r="H353" s="330">
        <v>114</v>
      </c>
      <c r="I353" s="330">
        <v>1</v>
      </c>
      <c r="J353" t="s">
        <v>136</v>
      </c>
      <c r="K353" s="143"/>
      <c r="L353" s="220" t="str">
        <f>IF(Protokoll!I$1&lt;&gt;"",IF(N352=N$113,IF(AND(DMAX(F$113:J$403,F$113,O352:O353)&gt;COUNTA(L$111:L352)-2,DCOUNTA(F$113:J$403,G$113,N352:O353)=1),DGET(F$113:J$403,G$113,N352:O353),""),IF(AND(DMAX(F$113:J$403,F$113,Q352:Q353)&gt;COUNTA(L$111:L352)-2,DCOUNTA(F$113:J$403,G$113,P352:Q353)=1),DGET(F$113:J$403,G$113,P352:Q353),"")),G353)</f>
        <v/>
      </c>
      <c r="M353" s="143"/>
      <c r="N353" s="221" t="str">
        <f>IF(N352=N$113,IF(COUNT(N$113:Q352)&lt;DMAX(F$113:J$403,F$113,O352:O353),COUNT(N$113:Q352)+1,""),IF(COUNT(N$113:Q352)&lt;DMAX(F$113:J$403,F$113,Q352:Q353),N$113,""))</f>
        <v/>
      </c>
      <c r="O353" s="222" t="str">
        <f>IF(O352=O$113,IF(COUNTA(L$111:L352)-2&lt;DMAX(F$113:J$403,F$113,Q351:Q352),Protokoll!I$1,""),IF(O352&lt;&gt;"",IF(COUNTA(L$111:L352)-1&lt;DMAX(F$113:J$403,F$113,O351:O352),O$113,""),""))</f>
        <v/>
      </c>
      <c r="P353" s="223" t="str">
        <f>IF(N352=N$113,IF(COUNT(N$113:Q352)&lt;DMAX(F$113:J$403,F$113,O352:O353),N$113,""),IF(COUNT(N$113:Q352)&lt;DMAX(F$113:J$403,F$113,Q352:Q353),COUNT(N$113:Q352)+1,""))</f>
        <v/>
      </c>
      <c r="Q353" s="199" t="str">
        <f>IF(O352=O$113,IF(COUNTA(L$111:L352)-2&lt;DMAX(F$113:J$403,F$113,Q351:Q352),O$113,""),IF(Q352&lt;&gt;"",IF(COUNTA(L$111:L352)-2&lt;DMAX(F$113:J$403,F$113,O351:O352),Protokoll!I$1,""),""))</f>
        <v/>
      </c>
      <c r="T353" s="331" t="str">
        <f>IF(OR(Protokoll!$X$5&lt;&gt;"",Lokalbeskrivn!$M$4&lt;&gt;""),"",U353)</f>
        <v/>
      </c>
      <c r="U353" s="330" t="s">
        <v>1135</v>
      </c>
      <c r="Y353" s="572" t="s">
        <v>2234</v>
      </c>
      <c r="Z353" s="572" t="s">
        <v>2235</v>
      </c>
      <c r="AB353" s="480" t="str">
        <f>IF(AND(ISNUMBER(AH353),AH353&gt;0),IF(MAX(AB$3:AB352)&gt;0,MAX(AB$3:AB352)+1,10+COUNTIF(F$38:F$49,"&gt;0")*10+1),"")</f>
        <v/>
      </c>
      <c r="AC353" s="433" t="str">
        <f>IF(AND(AH353&lt;&gt;"",AG353&lt;&gt;"",AI353&gt;0,AH353&gt;0),MAX(AC$2:AC352)+1,"XX")</f>
        <v>XX</v>
      </c>
      <c r="AD353" s="430" t="str">
        <f>IF('Antal &amp; Längder (vikter)'!$C$38&lt;&gt;"",'Antal &amp; Längder (vikter)'!$C$38,"XX")</f>
        <v>XX</v>
      </c>
      <c r="AE353" s="411" t="str">
        <f>IF(AND('Antal &amp; Längder (vikter)'!L$40&lt;&gt;"",ISNUMBER($AH353)),'Antal &amp; Längder (vikter)'!L$40,"")</f>
        <v/>
      </c>
      <c r="AF353" s="425" t="str">
        <f t="shared" si="12"/>
        <v/>
      </c>
      <c r="AG353" s="426" t="str">
        <f t="shared" si="13"/>
        <v/>
      </c>
      <c r="AH353" s="409" t="str">
        <f>IF('Antal &amp; Längder (vikter)'!M$41="Längd (mm)",IF('Antal &amp; Längder (vikter)'!M42&lt;&gt;"",'Antal &amp; Längder (vikter)'!M42,"XX"),"XX")</f>
        <v>XX</v>
      </c>
      <c r="AI353" s="7">
        <v>-9</v>
      </c>
    </row>
    <row r="354" spans="6:35" x14ac:dyDescent="0.25">
      <c r="F354" s="199">
        <f>COUNTIF(J$113:J354,J354)</f>
        <v>22</v>
      </c>
      <c r="G354" t="s">
        <v>400</v>
      </c>
      <c r="H354" s="330">
        <v>139</v>
      </c>
      <c r="I354" s="330">
        <v>1</v>
      </c>
      <c r="J354" t="s">
        <v>136</v>
      </c>
      <c r="K354" s="143"/>
      <c r="L354" s="220" t="str">
        <f>IF(Protokoll!I$1&lt;&gt;"",IF(N353=N$113,IF(AND(DMAX(F$113:J$403,F$113,O353:O354)&gt;COUNTA(L$111:L353)-2,DCOUNTA(F$113:J$403,G$113,N353:O354)=1),DGET(F$113:J$403,G$113,N353:O354),""),IF(AND(DMAX(F$113:J$403,F$113,Q353:Q354)&gt;COUNTA(L$111:L353)-2,DCOUNTA(F$113:J$403,G$113,P353:Q354)=1),DGET(F$113:J$403,G$113,P353:Q354),"")),G354)</f>
        <v/>
      </c>
      <c r="M354" s="143"/>
      <c r="N354" s="221" t="str">
        <f>IF(N353=N$113,IF(COUNT(N$113:Q353)&lt;DMAX(F$113:J$403,F$113,O353:O354),COUNT(N$113:Q353)+1,""),IF(COUNT(N$113:Q353)&lt;DMAX(F$113:J$403,F$113,Q353:Q354),N$113,""))</f>
        <v/>
      </c>
      <c r="O354" s="222" t="str">
        <f>IF(O353=O$113,IF(COUNTA(L$111:L353)-2&lt;DMAX(F$113:J$403,F$113,Q352:Q353),Protokoll!I$1,""),IF(O353&lt;&gt;"",IF(COUNTA(L$111:L353)-1&lt;DMAX(F$113:J$403,F$113,O352:O353),O$113,""),""))</f>
        <v/>
      </c>
      <c r="P354" s="223" t="str">
        <f>IF(N353=N$113,IF(COUNT(N$113:Q353)&lt;DMAX(F$113:J$403,F$113,O353:O354),N$113,""),IF(COUNT(N$113:Q353)&lt;DMAX(F$113:J$403,F$113,Q353:Q354),COUNT(N$113:Q353)+1,""))</f>
        <v/>
      </c>
      <c r="Q354" s="199" t="str">
        <f>IF(O353=O$113,IF(COUNTA(L$111:L353)-2&lt;DMAX(F$113:J$403,F$113,Q352:Q353),O$113,""),IF(Q353&lt;&gt;"",IF(COUNTA(L$111:L353)-2&lt;DMAX(F$113:J$403,F$113,O352:O353),Protokoll!I$1,""),""))</f>
        <v/>
      </c>
      <c r="T354" s="331" t="str">
        <f>IF(OR(Protokoll!$X$5&lt;&gt;"",Lokalbeskrivn!$M$4&lt;&gt;""),"",U354)</f>
        <v/>
      </c>
      <c r="U354" s="330" t="s">
        <v>1137</v>
      </c>
      <c r="Y354" s="572" t="s">
        <v>2236</v>
      </c>
      <c r="Z354" s="572" t="s">
        <v>2237</v>
      </c>
      <c r="AB354" s="476" t="str">
        <f>IF(COUNT(AB353:AB353)&gt;0,MAX(AB353:AB353)+1,"")</f>
        <v/>
      </c>
      <c r="AC354" s="433" t="str">
        <f>IF(AND(AH354&lt;&gt;"",AG354&lt;&gt;"",AI354&gt;0,AH354&gt;0),MAX(AC$2:AC353)+1,"XX")</f>
        <v>XX</v>
      </c>
      <c r="AD354" s="430" t="str">
        <f>IF('Antal &amp; Längder (vikter)'!$C$38&lt;&gt;"",'Antal &amp; Längder (vikter)'!$C$38,"XX")</f>
        <v>XX</v>
      </c>
      <c r="AE354" s="411" t="str">
        <f>IF(AND('Antal &amp; Längder (vikter)'!L$40&lt;&gt;"",ISNUMBER($AH354)),'Antal &amp; Längder (vikter)'!L$40,"")</f>
        <v/>
      </c>
      <c r="AF354" s="425" t="str">
        <f t="shared" si="12"/>
        <v/>
      </c>
      <c r="AG354" s="426" t="str">
        <f t="shared" si="13"/>
        <v/>
      </c>
      <c r="AH354" s="409" t="str">
        <f>IF('Antal &amp; Längder (vikter)'!M$41="Längd (mm)",IF('Antal &amp; Längder (vikter)'!M43&lt;&gt;"",'Antal &amp; Längder (vikter)'!M43,"XX"),"XX")</f>
        <v>XX</v>
      </c>
      <c r="AI354" s="7">
        <v>-9</v>
      </c>
    </row>
    <row r="355" spans="6:35" x14ac:dyDescent="0.25">
      <c r="F355" s="199">
        <f>COUNTIF(J$113:J355,J355)</f>
        <v>5</v>
      </c>
      <c r="G355" t="s">
        <v>401</v>
      </c>
      <c r="H355" s="330">
        <v>380</v>
      </c>
      <c r="I355" s="330">
        <v>3</v>
      </c>
      <c r="J355" t="s">
        <v>140</v>
      </c>
      <c r="K355" s="143"/>
      <c r="L355" s="220" t="str">
        <f>IF(Protokoll!I$1&lt;&gt;"",IF(N354=N$113,IF(AND(DMAX(F$113:J$403,F$113,O354:O355)&gt;COUNTA(L$111:L354)-2,DCOUNTA(F$113:J$403,G$113,N354:O355)=1),DGET(F$113:J$403,G$113,N354:O355),""),IF(AND(DMAX(F$113:J$403,F$113,Q354:Q355)&gt;COUNTA(L$111:L354)-2,DCOUNTA(F$113:J$403,G$113,P354:Q355)=1),DGET(F$113:J$403,G$113,P354:Q355),"")),G355)</f>
        <v/>
      </c>
      <c r="M355" s="143"/>
      <c r="N355" s="221" t="str">
        <f>IF(N354=N$113,IF(COUNT(N$113:Q354)&lt;DMAX(F$113:J$403,F$113,O354:O355),COUNT(N$113:Q354)+1,""),IF(COUNT(N$113:Q354)&lt;DMAX(F$113:J$403,F$113,Q354:Q355),N$113,""))</f>
        <v/>
      </c>
      <c r="O355" s="222" t="str">
        <f>IF(O354=O$113,IF(COUNTA(L$111:L354)-2&lt;DMAX(F$113:J$403,F$113,Q353:Q354),Protokoll!I$1,""),IF(O354&lt;&gt;"",IF(COUNTA(L$111:L354)-1&lt;DMAX(F$113:J$403,F$113,O353:O354),O$113,""),""))</f>
        <v/>
      </c>
      <c r="P355" s="223" t="str">
        <f>IF(N354=N$113,IF(COUNT(N$113:Q354)&lt;DMAX(F$113:J$403,F$113,O354:O355),N$113,""),IF(COUNT(N$113:Q354)&lt;DMAX(F$113:J$403,F$113,Q354:Q355),COUNT(N$113:Q354)+1,""))</f>
        <v/>
      </c>
      <c r="Q355" s="199" t="str">
        <f>IF(O354=O$113,IF(COUNTA(L$111:L354)-2&lt;DMAX(F$113:J$403,F$113,Q353:Q354),O$113,""),IF(Q354&lt;&gt;"",IF(COUNTA(L$111:L354)-2&lt;DMAX(F$113:J$403,F$113,O353:O354),Protokoll!I$1,""),""))</f>
        <v/>
      </c>
      <c r="T355" s="331" t="str">
        <f>IF(OR(Protokoll!$X$5&lt;&gt;"",Lokalbeskrivn!$M$4&lt;&gt;""),"",U355)</f>
        <v/>
      </c>
      <c r="U355" s="330" t="s">
        <v>1139</v>
      </c>
      <c r="Y355" s="572" t="s">
        <v>2238</v>
      </c>
      <c r="Z355" s="572" t="s">
        <v>2239</v>
      </c>
      <c r="AB355" s="477" t="str">
        <f>IF(COUNT(AB353:AB354)&gt;0,MAX(AB353:AB354)+1,"")</f>
        <v/>
      </c>
      <c r="AC355" s="433" t="str">
        <f>IF(AND(AH355&lt;&gt;"",AG355&lt;&gt;"",AI355&gt;0,AH355&gt;0),MAX(AC$2:AC354)+1,"XX")</f>
        <v>XX</v>
      </c>
      <c r="AD355" s="430" t="str">
        <f>IF('Antal &amp; Längder (vikter)'!$C$38&lt;&gt;"",'Antal &amp; Längder (vikter)'!$C$38,"XX")</f>
        <v>XX</v>
      </c>
      <c r="AE355" s="411" t="str">
        <f>IF(AND('Antal &amp; Längder (vikter)'!L$40&lt;&gt;"",ISNUMBER($AH355)),'Antal &amp; Längder (vikter)'!L$40,"")</f>
        <v/>
      </c>
      <c r="AF355" s="425" t="str">
        <f t="shared" si="12"/>
        <v/>
      </c>
      <c r="AG355" s="426" t="str">
        <f t="shared" si="13"/>
        <v/>
      </c>
      <c r="AH355" s="409" t="str">
        <f>IF('Antal &amp; Längder (vikter)'!M$41="Längd (mm)",IF('Antal &amp; Längder (vikter)'!M44&lt;&gt;"",'Antal &amp; Längder (vikter)'!M44,"XX"),"XX")</f>
        <v>XX</v>
      </c>
      <c r="AI355" s="7">
        <v>-9</v>
      </c>
    </row>
    <row r="356" spans="6:35" x14ac:dyDescent="0.25">
      <c r="F356" s="199">
        <f>COUNTIF(J$113:J356,J356)</f>
        <v>6</v>
      </c>
      <c r="G356" t="s">
        <v>402</v>
      </c>
      <c r="H356" s="330">
        <v>760</v>
      </c>
      <c r="I356" s="330">
        <v>7</v>
      </c>
      <c r="J356" t="s">
        <v>119</v>
      </c>
      <c r="K356" s="143"/>
      <c r="L356" s="220" t="str">
        <f>IF(Protokoll!I$1&lt;&gt;"",IF(N355=N$113,IF(AND(DMAX(F$113:J$403,F$113,O355:O356)&gt;COUNTA(L$111:L355)-2,DCOUNTA(F$113:J$403,G$113,N355:O356)=1),DGET(F$113:J$403,G$113,N355:O356),""),IF(AND(DMAX(F$113:J$403,F$113,Q355:Q356)&gt;COUNTA(L$111:L355)-2,DCOUNTA(F$113:J$403,G$113,P355:Q356)=1),DGET(F$113:J$403,G$113,P355:Q356),"")),G356)</f>
        <v/>
      </c>
      <c r="M356" s="143"/>
      <c r="N356" s="221" t="str">
        <f>IF(N355=N$113,IF(COUNT(N$113:Q355)&lt;DMAX(F$113:J$403,F$113,O355:O356),COUNT(N$113:Q355)+1,""),IF(COUNT(N$113:Q355)&lt;DMAX(F$113:J$403,F$113,Q355:Q356),N$113,""))</f>
        <v/>
      </c>
      <c r="O356" s="222" t="str">
        <f>IF(O355=O$113,IF(COUNTA(L$111:L355)-2&lt;DMAX(F$113:J$403,F$113,Q354:Q355),Protokoll!I$1,""),IF(O355&lt;&gt;"",IF(COUNTA(L$111:L355)-1&lt;DMAX(F$113:J$403,F$113,O354:O355),O$113,""),""))</f>
        <v/>
      </c>
      <c r="P356" s="223" t="str">
        <f>IF(N355=N$113,IF(COUNT(N$113:Q355)&lt;DMAX(F$113:J$403,F$113,O355:O356),N$113,""),IF(COUNT(N$113:Q355)&lt;DMAX(F$113:J$403,F$113,Q355:Q356),COUNT(N$113:Q355)+1,""))</f>
        <v/>
      </c>
      <c r="Q356" s="199" t="str">
        <f>IF(O355=O$113,IF(COUNTA(L$111:L355)-2&lt;DMAX(F$113:J$403,F$113,Q354:Q355),O$113,""),IF(Q355&lt;&gt;"",IF(COUNTA(L$111:L355)-2&lt;DMAX(F$113:J$403,F$113,O354:O355),Protokoll!I$1,""),""))</f>
        <v/>
      </c>
      <c r="T356" s="331" t="str">
        <f>IF(OR(Protokoll!$X$5&lt;&gt;"",Lokalbeskrivn!$M$4&lt;&gt;""),"",U356)</f>
        <v/>
      </c>
      <c r="U356" s="330" t="s">
        <v>1141</v>
      </c>
      <c r="Y356" s="572" t="s">
        <v>2240</v>
      </c>
      <c r="Z356" s="572" t="s">
        <v>2241</v>
      </c>
      <c r="AB356" s="434" t="str">
        <f>IF(COUNT(AB353:AB355)&gt;0,MAX(AB353:AB355)+1,"")</f>
        <v/>
      </c>
      <c r="AC356" s="433" t="str">
        <f>IF(AND(AH356&lt;&gt;"",AG356&lt;&gt;"",AI356&gt;0,AH356&gt;0),MAX(AC$2:AC355)+1,"XX")</f>
        <v>XX</v>
      </c>
      <c r="AD356" s="430" t="str">
        <f>IF('Antal &amp; Längder (vikter)'!$C$38&lt;&gt;"",'Antal &amp; Längder (vikter)'!$C$38,"XX")</f>
        <v>XX</v>
      </c>
      <c r="AE356" s="411" t="str">
        <f>IF(AND('Antal &amp; Längder (vikter)'!L$40&lt;&gt;"",ISNUMBER($AH356)),'Antal &amp; Längder (vikter)'!L$40,"")</f>
        <v/>
      </c>
      <c r="AF356" s="425" t="str">
        <f t="shared" si="12"/>
        <v/>
      </c>
      <c r="AG356" s="426" t="str">
        <f t="shared" si="13"/>
        <v/>
      </c>
      <c r="AH356" s="409" t="str">
        <f>IF('Antal &amp; Längder (vikter)'!M$41="Längd (mm)",IF('Antal &amp; Längder (vikter)'!M45&lt;&gt;"",'Antal &amp; Längder (vikter)'!M45,"XX"),"XX")</f>
        <v>XX</v>
      </c>
      <c r="AI356" s="7">
        <v>-9</v>
      </c>
    </row>
    <row r="357" spans="6:35" x14ac:dyDescent="0.25">
      <c r="F357" s="199">
        <f>COUNTIF(J$113:J357,J357)</f>
        <v>9</v>
      </c>
      <c r="G357" t="s">
        <v>403</v>
      </c>
      <c r="H357" s="330">
        <v>584</v>
      </c>
      <c r="I357" s="330">
        <v>5</v>
      </c>
      <c r="J357" t="s">
        <v>150</v>
      </c>
      <c r="K357" s="143"/>
      <c r="L357" s="220" t="str">
        <f>IF(Protokoll!I$1&lt;&gt;"",IF(N356=N$113,IF(AND(DMAX(F$113:J$403,F$113,O356:O357)&gt;COUNTA(L$111:L356)-2,DCOUNTA(F$113:J$403,G$113,N356:O357)=1),DGET(F$113:J$403,G$113,N356:O357),""),IF(AND(DMAX(F$113:J$403,F$113,Q356:Q357)&gt;COUNTA(L$111:L356)-2,DCOUNTA(F$113:J$403,G$113,P356:Q357)=1),DGET(F$113:J$403,G$113,P356:Q357),"")),G357)</f>
        <v/>
      </c>
      <c r="M357" s="143"/>
      <c r="N357" s="221" t="str">
        <f>IF(N356=N$113,IF(COUNT(N$113:Q356)&lt;DMAX(F$113:J$403,F$113,O356:O357),COUNT(N$113:Q356)+1,""),IF(COUNT(N$113:Q356)&lt;DMAX(F$113:J$403,F$113,Q356:Q357),N$113,""))</f>
        <v/>
      </c>
      <c r="O357" s="222" t="str">
        <f>IF(O356=O$113,IF(COUNTA(L$111:L356)-2&lt;DMAX(F$113:J$403,F$113,Q355:Q356),Protokoll!I$1,""),IF(O356&lt;&gt;"",IF(COUNTA(L$111:L356)-1&lt;DMAX(F$113:J$403,F$113,O355:O356),O$113,""),""))</f>
        <v/>
      </c>
      <c r="P357" s="223" t="str">
        <f>IF(N356=N$113,IF(COUNT(N$113:Q356)&lt;DMAX(F$113:J$403,F$113,O356:O357),N$113,""),IF(COUNT(N$113:Q356)&lt;DMAX(F$113:J$403,F$113,Q356:Q357),COUNT(N$113:Q356)+1,""))</f>
        <v/>
      </c>
      <c r="Q357" s="199" t="str">
        <f>IF(O356=O$113,IF(COUNTA(L$111:L356)-2&lt;DMAX(F$113:J$403,F$113,Q355:Q356),O$113,""),IF(Q356&lt;&gt;"",IF(COUNTA(L$111:L356)-2&lt;DMAX(F$113:J$403,F$113,O355:O356),Protokoll!I$1,""),""))</f>
        <v/>
      </c>
      <c r="T357" s="331" t="str">
        <f>IF(OR(Protokoll!$X$5&lt;&gt;"",Lokalbeskrivn!$M$4&lt;&gt;""),"",U357)</f>
        <v/>
      </c>
      <c r="U357" s="330" t="s">
        <v>1143</v>
      </c>
      <c r="Y357" s="572" t="s">
        <v>2266</v>
      </c>
      <c r="Z357" s="572" t="s">
        <v>2267</v>
      </c>
      <c r="AB357" s="475" t="str">
        <f>IF(COUNT(AB353:AB356)&gt;0,MAX(AB353:AB356)+1,"")</f>
        <v/>
      </c>
      <c r="AC357" s="433" t="str">
        <f>IF(AND(AH357&lt;&gt;"",AG357&lt;&gt;"",AI357&gt;0,AH357&gt;0),MAX(AC$2:AC356)+1,"XX")</f>
        <v>XX</v>
      </c>
      <c r="AD357" s="430" t="str">
        <f>IF('Antal &amp; Längder (vikter)'!$C$38&lt;&gt;"",'Antal &amp; Längder (vikter)'!$C$38,"XX")</f>
        <v>XX</v>
      </c>
      <c r="AE357" s="411" t="str">
        <f>IF(AND('Antal &amp; Längder (vikter)'!L$40&lt;&gt;"",ISNUMBER($AH357)),'Antal &amp; Längder (vikter)'!L$40,"")</f>
        <v/>
      </c>
      <c r="AF357" s="425" t="str">
        <f t="shared" si="12"/>
        <v/>
      </c>
      <c r="AG357" s="426" t="str">
        <f t="shared" si="13"/>
        <v/>
      </c>
      <c r="AH357" s="409" t="str">
        <f>IF('Antal &amp; Längder (vikter)'!M$41="Längd (mm)",IF('Antal &amp; Längder (vikter)'!M46&lt;&gt;"",'Antal &amp; Längder (vikter)'!M46,"XX"),"XX")</f>
        <v>XX</v>
      </c>
      <c r="AI357" s="7">
        <v>-9</v>
      </c>
    </row>
    <row r="358" spans="6:35" x14ac:dyDescent="0.25">
      <c r="F358" s="199">
        <f>COUNTIF(J$113:J358,J358)</f>
        <v>11</v>
      </c>
      <c r="G358" t="s">
        <v>404</v>
      </c>
      <c r="H358" s="330">
        <v>665</v>
      </c>
      <c r="I358" s="330">
        <v>6</v>
      </c>
      <c r="J358" t="s">
        <v>122</v>
      </c>
      <c r="K358" s="143"/>
      <c r="L358" s="220" t="str">
        <f>IF(Protokoll!I$1&lt;&gt;"",IF(N357=N$113,IF(AND(DMAX(F$113:J$403,F$113,O357:O358)&gt;COUNTA(L$111:L357)-2,DCOUNTA(F$113:J$403,G$113,N357:O358)=1),DGET(F$113:J$403,G$113,N357:O358),""),IF(AND(DMAX(F$113:J$403,F$113,Q357:Q358)&gt;COUNTA(L$111:L357)-2,DCOUNTA(F$113:J$403,G$113,P357:Q358)=1),DGET(F$113:J$403,G$113,P357:Q358),"")),G358)</f>
        <v/>
      </c>
      <c r="M358" s="143"/>
      <c r="N358" s="221" t="str">
        <f>IF(N357=N$113,IF(COUNT(N$113:Q357)&lt;DMAX(F$113:J$403,F$113,O357:O358),COUNT(N$113:Q357)+1,""),IF(COUNT(N$113:Q357)&lt;DMAX(F$113:J$403,F$113,Q357:Q358),N$113,""))</f>
        <v/>
      </c>
      <c r="O358" s="222" t="str">
        <f>IF(O357=O$113,IF(COUNTA(L$111:L357)-2&lt;DMAX(F$113:J$403,F$113,Q356:Q357),Protokoll!I$1,""),IF(O357&lt;&gt;"",IF(COUNTA(L$111:L357)-1&lt;DMAX(F$113:J$403,F$113,O356:O357),O$113,""),""))</f>
        <v/>
      </c>
      <c r="P358" s="223" t="str">
        <f>IF(N357=N$113,IF(COUNT(N$113:Q357)&lt;DMAX(F$113:J$403,F$113,O357:O358),N$113,""),IF(COUNT(N$113:Q357)&lt;DMAX(F$113:J$403,F$113,Q357:Q358),COUNT(N$113:Q357)+1,""))</f>
        <v/>
      </c>
      <c r="Q358" s="199" t="str">
        <f>IF(O357=O$113,IF(COUNTA(L$111:L357)-2&lt;DMAX(F$113:J$403,F$113,Q356:Q357),O$113,""),IF(Q357&lt;&gt;"",IF(COUNTA(L$111:L357)-2&lt;DMAX(F$113:J$403,F$113,O356:O357),Protokoll!I$1,""),""))</f>
        <v/>
      </c>
      <c r="T358" s="331" t="str">
        <f>IF(OR(Protokoll!$X$5&lt;&gt;"",Lokalbeskrivn!$M$4&lt;&gt;""),"",U358)</f>
        <v/>
      </c>
      <c r="U358" s="330" t="s">
        <v>1145</v>
      </c>
      <c r="Y358" s="572" t="s">
        <v>2262</v>
      </c>
      <c r="Z358" s="572" t="s">
        <v>2263</v>
      </c>
      <c r="AB358" s="471" t="str">
        <f>IF(COUNT(AB353:AB357)&gt;0,MAX(AB353:AB357)+1,"")</f>
        <v/>
      </c>
      <c r="AC358" s="433" t="str">
        <f>IF(AND(AH358&lt;&gt;"",AG358&lt;&gt;"",AI358&gt;0,AH358&gt;0),MAX(AC$2:AC357)+1,"XX")</f>
        <v>XX</v>
      </c>
      <c r="AD358" s="430" t="str">
        <f>IF('Antal &amp; Längder (vikter)'!$C$38&lt;&gt;"",'Antal &amp; Längder (vikter)'!$C$38,"XX")</f>
        <v>XX</v>
      </c>
      <c r="AE358" s="411" t="str">
        <f>IF(AND('Antal &amp; Längder (vikter)'!L$40&lt;&gt;"",ISNUMBER($AH358)),'Antal &amp; Längder (vikter)'!L$40,"")</f>
        <v/>
      </c>
      <c r="AF358" s="425" t="str">
        <f t="shared" si="12"/>
        <v/>
      </c>
      <c r="AG358" s="426" t="str">
        <f t="shared" si="13"/>
        <v/>
      </c>
      <c r="AH358" s="409" t="str">
        <f>IF('Antal &amp; Längder (vikter)'!M$41="Längd (mm)",IF('Antal &amp; Längder (vikter)'!M47&lt;&gt;"",'Antal &amp; Längder (vikter)'!M47,"XX"),"XX")</f>
        <v>XX</v>
      </c>
      <c r="AI358" s="7">
        <v>-9</v>
      </c>
    </row>
    <row r="359" spans="6:35" x14ac:dyDescent="0.25">
      <c r="F359" s="199">
        <f>COUNTIF(J$113:J359,J359)</f>
        <v>10</v>
      </c>
      <c r="G359" t="s">
        <v>405</v>
      </c>
      <c r="H359" s="330">
        <v>563</v>
      </c>
      <c r="I359" s="330">
        <v>5</v>
      </c>
      <c r="J359" t="s">
        <v>150</v>
      </c>
      <c r="K359" s="143"/>
      <c r="L359" s="220" t="str">
        <f>IF(Protokoll!I$1&lt;&gt;"",IF(N358=N$113,IF(AND(DMAX(F$113:J$403,F$113,O358:O359)&gt;COUNTA(L$111:L358)-2,DCOUNTA(F$113:J$403,G$113,N358:O359)=1),DGET(F$113:J$403,G$113,N358:O359),""),IF(AND(DMAX(F$113:J$403,F$113,Q358:Q359)&gt;COUNTA(L$111:L358)-2,DCOUNTA(F$113:J$403,G$113,P358:Q359)=1),DGET(F$113:J$403,G$113,P358:Q359),"")),G359)</f>
        <v/>
      </c>
      <c r="M359" s="143"/>
      <c r="N359" s="221" t="str">
        <f>IF(N358=N$113,IF(COUNT(N$113:Q358)&lt;DMAX(F$113:J$403,F$113,O358:O359),COUNT(N$113:Q358)+1,""),IF(COUNT(N$113:Q358)&lt;DMAX(F$113:J$403,F$113,Q358:Q359),N$113,""))</f>
        <v/>
      </c>
      <c r="O359" s="222" t="str">
        <f>IF(O358=O$113,IF(COUNTA(L$111:L358)-2&lt;DMAX(F$113:J$403,F$113,Q357:Q358),Protokoll!I$1,""),IF(O358&lt;&gt;"",IF(COUNTA(L$111:L358)-1&lt;DMAX(F$113:J$403,F$113,O357:O358),O$113,""),""))</f>
        <v/>
      </c>
      <c r="P359" s="223" t="str">
        <f>IF(N358=N$113,IF(COUNT(N$113:Q358)&lt;DMAX(F$113:J$403,F$113,O358:O359),N$113,""),IF(COUNT(N$113:Q358)&lt;DMAX(F$113:J$403,F$113,Q358:Q359),COUNT(N$113:Q358)+1,""))</f>
        <v/>
      </c>
      <c r="Q359" s="199" t="str">
        <f>IF(O358=O$113,IF(COUNTA(L$111:L358)-2&lt;DMAX(F$113:J$403,F$113,Q357:Q358),O$113,""),IF(Q358&lt;&gt;"",IF(COUNTA(L$111:L358)-2&lt;DMAX(F$113:J$403,F$113,O357:O358),Protokoll!I$1,""),""))</f>
        <v/>
      </c>
      <c r="T359" s="331" t="str">
        <f>IF(OR(Protokoll!$X$5&lt;&gt;"",Lokalbeskrivn!$M$4&lt;&gt;""),"",U359)</f>
        <v/>
      </c>
      <c r="U359" s="330" t="s">
        <v>1147</v>
      </c>
      <c r="Y359" s="572" t="s">
        <v>2490</v>
      </c>
      <c r="Z359" s="572" t="s">
        <v>1953</v>
      </c>
      <c r="AB359" s="474" t="str">
        <f>IF(COUNT(AB353:AB358)&gt;0,MAX(AB353:AB358)+1,"")</f>
        <v/>
      </c>
      <c r="AC359" s="433" t="str">
        <f>IF(AND(AH359&lt;&gt;"",AG359&lt;&gt;"",AI359&gt;0,AH359&gt;0),MAX(AC$2:AC358)+1,"XX")</f>
        <v>XX</v>
      </c>
      <c r="AD359" s="430" t="str">
        <f>IF('Antal &amp; Längder (vikter)'!$C$38&lt;&gt;"",'Antal &amp; Längder (vikter)'!$C$38,"XX")</f>
        <v>XX</v>
      </c>
      <c r="AE359" s="411" t="str">
        <f>IF(AND('Antal &amp; Längder (vikter)'!L$40&lt;&gt;"",ISNUMBER($AH359)),'Antal &amp; Längder (vikter)'!L$40,"")</f>
        <v/>
      </c>
      <c r="AF359" s="425" t="str">
        <f t="shared" si="12"/>
        <v/>
      </c>
      <c r="AG359" s="426" t="str">
        <f t="shared" si="13"/>
        <v/>
      </c>
      <c r="AH359" s="409" t="str">
        <f>IF('Antal &amp; Längder (vikter)'!M$41="Längd (mm)",IF('Antal &amp; Längder (vikter)'!M48&lt;&gt;"",'Antal &amp; Längder (vikter)'!M48,"XX"),"XX")</f>
        <v>XX</v>
      </c>
      <c r="AI359" s="7">
        <v>-9</v>
      </c>
    </row>
    <row r="360" spans="6:35" x14ac:dyDescent="0.25">
      <c r="F360" s="199">
        <f>COUNTIF(J$113:J360,J360)</f>
        <v>23</v>
      </c>
      <c r="G360" t="s">
        <v>406</v>
      </c>
      <c r="H360" s="330">
        <v>115</v>
      </c>
      <c r="I360" s="330">
        <v>1</v>
      </c>
      <c r="J360" t="s">
        <v>136</v>
      </c>
      <c r="K360" s="143"/>
      <c r="L360" s="220" t="str">
        <f>IF(Protokoll!I$1&lt;&gt;"",IF(N359=N$113,IF(AND(DMAX(F$113:J$403,F$113,O359:O360)&gt;COUNTA(L$111:L359)-2,DCOUNTA(F$113:J$403,G$113,N359:O360)=1),DGET(F$113:J$403,G$113,N359:O360),""),IF(AND(DMAX(F$113:J$403,F$113,Q359:Q360)&gt;COUNTA(L$111:L359)-2,DCOUNTA(F$113:J$403,G$113,P359:Q360)=1),DGET(F$113:J$403,G$113,P359:Q360),"")),G360)</f>
        <v/>
      </c>
      <c r="M360" s="143"/>
      <c r="N360" s="221" t="str">
        <f>IF(N359=N$113,IF(COUNT(N$113:Q359)&lt;DMAX(F$113:J$403,F$113,O359:O360),COUNT(N$113:Q359)+1,""),IF(COUNT(N$113:Q359)&lt;DMAX(F$113:J$403,F$113,Q359:Q360),N$113,""))</f>
        <v/>
      </c>
      <c r="O360" s="222" t="str">
        <f>IF(O359=O$113,IF(COUNTA(L$111:L359)-2&lt;DMAX(F$113:J$403,F$113,Q358:Q359),Protokoll!I$1,""),IF(O359&lt;&gt;"",IF(COUNTA(L$111:L359)-1&lt;DMAX(F$113:J$403,F$113,O358:O359),O$113,""),""))</f>
        <v/>
      </c>
      <c r="P360" s="223" t="str">
        <f>IF(N359=N$113,IF(COUNT(N$113:Q359)&lt;DMAX(F$113:J$403,F$113,O359:O360),N$113,""),IF(COUNT(N$113:Q359)&lt;DMAX(F$113:J$403,F$113,Q359:Q360),COUNT(N$113:Q359)+1,""))</f>
        <v/>
      </c>
      <c r="Q360" s="199" t="str">
        <f>IF(O359=O$113,IF(COUNTA(L$111:L359)-2&lt;DMAX(F$113:J$403,F$113,Q358:Q359),O$113,""),IF(Q359&lt;&gt;"",IF(COUNTA(L$111:L359)-2&lt;DMAX(F$113:J$403,F$113,O358:O359),Protokoll!I$1,""),""))</f>
        <v/>
      </c>
      <c r="T360" s="331" t="str">
        <f>IF(OR(Protokoll!$X$5&lt;&gt;"",Lokalbeskrivn!$M$4&lt;&gt;""),"",U360)</f>
        <v/>
      </c>
      <c r="U360" s="330" t="s">
        <v>1149</v>
      </c>
      <c r="Y360" s="572" t="s">
        <v>1693</v>
      </c>
      <c r="Z360" s="572" t="s">
        <v>1694</v>
      </c>
      <c r="AB360" s="478" t="str">
        <f>IF(COUNT(AB353:AB359)&gt;0,MAX(AB353:AB359)+1,"")</f>
        <v/>
      </c>
      <c r="AC360" s="433" t="str">
        <f>IF(AND(AH360&lt;&gt;"",AG360&lt;&gt;"",AI360&gt;0,AH360&gt;0),MAX(AC$2:AC359)+1,"XX")</f>
        <v>XX</v>
      </c>
      <c r="AD360" s="430" t="str">
        <f>IF('Antal &amp; Längder (vikter)'!$C$38&lt;&gt;"",'Antal &amp; Längder (vikter)'!$C$38,"XX")</f>
        <v>XX</v>
      </c>
      <c r="AE360" s="411" t="str">
        <f>IF(AND('Antal &amp; Längder (vikter)'!L$40&lt;&gt;"",ISNUMBER($AH360)),'Antal &amp; Längder (vikter)'!L$40,"")</f>
        <v/>
      </c>
      <c r="AF360" s="425" t="str">
        <f t="shared" si="12"/>
        <v/>
      </c>
      <c r="AG360" s="426" t="str">
        <f t="shared" si="13"/>
        <v/>
      </c>
      <c r="AH360" s="409" t="str">
        <f>IF('Antal &amp; Längder (vikter)'!M$41="Längd (mm)",IF('Antal &amp; Längder (vikter)'!M49&lt;&gt;"",'Antal &amp; Längder (vikter)'!M49,"XX"),"XX")</f>
        <v>XX</v>
      </c>
      <c r="AI360" s="7">
        <v>-9</v>
      </c>
    </row>
    <row r="361" spans="6:35" x14ac:dyDescent="0.25">
      <c r="F361" s="199">
        <f>COUNTIF(J$113:J361,J361)</f>
        <v>14</v>
      </c>
      <c r="G361" t="s">
        <v>407</v>
      </c>
      <c r="H361" s="330">
        <v>2021</v>
      </c>
      <c r="I361" s="330">
        <v>20</v>
      </c>
      <c r="J361" t="s">
        <v>112</v>
      </c>
      <c r="K361" s="143"/>
      <c r="L361" s="220" t="str">
        <f>IF(Protokoll!I$1&lt;&gt;"",IF(N360=N$113,IF(AND(DMAX(F$113:J$403,F$113,O360:O361)&gt;COUNTA(L$111:L360)-2,DCOUNTA(F$113:J$403,G$113,N360:O361)=1),DGET(F$113:J$403,G$113,N360:O361),""),IF(AND(DMAX(F$113:J$403,F$113,Q360:Q361)&gt;COUNTA(L$111:L360)-2,DCOUNTA(F$113:J$403,G$113,P360:Q361)=1),DGET(F$113:J$403,G$113,P360:Q361),"")),G361)</f>
        <v/>
      </c>
      <c r="M361" s="143"/>
      <c r="N361" s="221" t="str">
        <f>IF(N360=N$113,IF(COUNT(N$113:Q360)&lt;DMAX(F$113:J$403,F$113,O360:O361),COUNT(N$113:Q360)+1,""),IF(COUNT(N$113:Q360)&lt;DMAX(F$113:J$403,F$113,Q360:Q361),N$113,""))</f>
        <v/>
      </c>
      <c r="O361" s="222" t="str">
        <f>IF(O360=O$113,IF(COUNTA(L$111:L360)-2&lt;DMAX(F$113:J$403,F$113,Q359:Q360),Protokoll!I$1,""),IF(O360&lt;&gt;"",IF(COUNTA(L$111:L360)-1&lt;DMAX(F$113:J$403,F$113,O359:O360),O$113,""),""))</f>
        <v/>
      </c>
      <c r="P361" s="223" t="str">
        <f>IF(N360=N$113,IF(COUNT(N$113:Q360)&lt;DMAX(F$113:J$403,F$113,O360:O361),N$113,""),IF(COUNT(N$113:Q360)&lt;DMAX(F$113:J$403,F$113,Q360:Q361),COUNT(N$113:Q360)+1,""))</f>
        <v/>
      </c>
      <c r="Q361" s="199" t="str">
        <f>IF(O360=O$113,IF(COUNTA(L$111:L360)-2&lt;DMAX(F$113:J$403,F$113,Q359:Q360),O$113,""),IF(Q360&lt;&gt;"",IF(COUNTA(L$111:L360)-2&lt;DMAX(F$113:J$403,F$113,O359:O360),Protokoll!I$1,""),""))</f>
        <v/>
      </c>
      <c r="T361" s="331" t="str">
        <f>IF(OR(Protokoll!$X$5&lt;&gt;"",Lokalbeskrivn!$M$4&lt;&gt;""),"",U361)</f>
        <v/>
      </c>
      <c r="U361" s="330" t="s">
        <v>1151</v>
      </c>
      <c r="Y361" s="572" t="s">
        <v>1954</v>
      </c>
      <c r="Z361" s="572" t="s">
        <v>1955</v>
      </c>
      <c r="AB361" s="472" t="str">
        <f>IF(COUNT(AB353:AB360)&gt;0,MAX(AB353:AB360)+1,"")</f>
        <v/>
      </c>
      <c r="AC361" s="433" t="str">
        <f>IF(AND(AH361&lt;&gt;"",AG361&lt;&gt;"",AI361&gt;0,AH361&gt;0),MAX(AC$2:AC360)+1,"XX")</f>
        <v>XX</v>
      </c>
      <c r="AD361" s="430" t="str">
        <f>IF('Antal &amp; Längder (vikter)'!$C$38&lt;&gt;"",'Antal &amp; Längder (vikter)'!$C$38,"XX")</f>
        <v>XX</v>
      </c>
      <c r="AE361" s="411" t="str">
        <f>IF(AND('Antal &amp; Längder (vikter)'!L$40&lt;&gt;"",ISNUMBER($AH361)),'Antal &amp; Längder (vikter)'!L$40,"")</f>
        <v/>
      </c>
      <c r="AF361" s="425" t="str">
        <f t="shared" si="12"/>
        <v/>
      </c>
      <c r="AG361" s="426" t="str">
        <f t="shared" si="13"/>
        <v/>
      </c>
      <c r="AH361" s="409" t="str">
        <f>IF('Antal &amp; Längder (vikter)'!M$41="Längd (mm)",IF('Antal &amp; Längder (vikter)'!M50&lt;&gt;"",'Antal &amp; Längder (vikter)'!M50,"XX"),"XX")</f>
        <v>XX</v>
      </c>
      <c r="AI361" s="7">
        <v>-9</v>
      </c>
    </row>
    <row r="362" spans="6:35" x14ac:dyDescent="0.25">
      <c r="F362" s="199">
        <f>COUNTIF(J$113:J362,J362)</f>
        <v>45</v>
      </c>
      <c r="G362" t="s">
        <v>408</v>
      </c>
      <c r="H362" s="330">
        <v>1470</v>
      </c>
      <c r="I362" s="330">
        <v>14</v>
      </c>
      <c r="J362" t="s">
        <v>114</v>
      </c>
      <c r="K362" s="143"/>
      <c r="L362" s="220" t="str">
        <f>IF(Protokoll!I$1&lt;&gt;"",IF(N361=N$113,IF(AND(DMAX(F$113:J$403,F$113,O361:O362)&gt;COUNTA(L$111:L361)-2,DCOUNTA(F$113:J$403,G$113,N361:O362)=1),DGET(F$113:J$403,G$113,N361:O362),""),IF(AND(DMAX(F$113:J$403,F$113,Q361:Q362)&gt;COUNTA(L$111:L361)-2,DCOUNTA(F$113:J$403,G$113,P361:Q362)=1),DGET(F$113:J$403,G$113,P361:Q362),"")),G362)</f>
        <v/>
      </c>
      <c r="M362" s="143"/>
      <c r="N362" s="221" t="str">
        <f>IF(N361=N$113,IF(COUNT(N$113:Q361)&lt;DMAX(F$113:J$403,F$113,O361:O362),COUNT(N$113:Q361)+1,""),IF(COUNT(N$113:Q361)&lt;DMAX(F$113:J$403,F$113,Q361:Q362),N$113,""))</f>
        <v/>
      </c>
      <c r="O362" s="222" t="str">
        <f>IF(O361=O$113,IF(COUNTA(L$111:L361)-2&lt;DMAX(F$113:J$403,F$113,Q360:Q361),Protokoll!I$1,""),IF(O361&lt;&gt;"",IF(COUNTA(L$111:L361)-1&lt;DMAX(F$113:J$403,F$113,O360:O361),O$113,""),""))</f>
        <v/>
      </c>
      <c r="P362" s="223" t="str">
        <f>IF(N361=N$113,IF(COUNT(N$113:Q361)&lt;DMAX(F$113:J$403,F$113,O361:O362),N$113,""),IF(COUNT(N$113:Q361)&lt;DMAX(F$113:J$403,F$113,Q361:Q362),COUNT(N$113:Q361)+1,""))</f>
        <v/>
      </c>
      <c r="Q362" s="199" t="str">
        <f>IF(O361=O$113,IF(COUNTA(L$111:L361)-2&lt;DMAX(F$113:J$403,F$113,Q360:Q361),O$113,""),IF(Q361&lt;&gt;"",IF(COUNTA(L$111:L361)-2&lt;DMAX(F$113:J$403,F$113,O360:O361),Protokoll!I$1,""),""))</f>
        <v/>
      </c>
      <c r="T362" s="331" t="str">
        <f>IF(OR(Protokoll!$X$5&lt;&gt;"",Lokalbeskrivn!$M$4&lt;&gt;""),"",U362)</f>
        <v/>
      </c>
      <c r="U362" s="330" t="s">
        <v>1153</v>
      </c>
      <c r="Y362" s="572" t="s">
        <v>1717</v>
      </c>
      <c r="Z362" s="572" t="s">
        <v>1718</v>
      </c>
      <c r="AB362" s="479" t="str">
        <f>IF(COUNT(AB353:AB361)&gt;0,MAX(AB353:AB361)+1,"")</f>
        <v/>
      </c>
      <c r="AC362" s="433" t="str">
        <f>IF(AND(AH362&lt;&gt;"",AG362&lt;&gt;"",AI362&gt;0,AH362&gt;0),MAX(AC$2:AC361)+1,"XX")</f>
        <v>XX</v>
      </c>
      <c r="AD362" s="430" t="str">
        <f>IF('Antal &amp; Längder (vikter)'!$C$38&lt;&gt;"",'Antal &amp; Längder (vikter)'!$C$38,"XX")</f>
        <v>XX</v>
      </c>
      <c r="AE362" s="411" t="str">
        <f>IF(AND('Antal &amp; Längder (vikter)'!L$40&lt;&gt;"",ISNUMBER($AH362)),'Antal &amp; Längder (vikter)'!L$40,"")</f>
        <v/>
      </c>
      <c r="AF362" s="425" t="str">
        <f t="shared" si="12"/>
        <v/>
      </c>
      <c r="AG362" s="426" t="str">
        <f t="shared" si="13"/>
        <v/>
      </c>
      <c r="AH362" s="409" t="str">
        <f>IF('Antal &amp; Längder (vikter)'!M$41="Längd (mm)",IF('Antal &amp; Längder (vikter)'!M51&lt;&gt;"",'Antal &amp; Längder (vikter)'!M51,"XX"),"XX")</f>
        <v>XX</v>
      </c>
      <c r="AI362" s="7">
        <v>-9</v>
      </c>
    </row>
    <row r="363" spans="6:35" x14ac:dyDescent="0.25">
      <c r="F363" s="199">
        <f>COUNTIF(J$113:J363,J363)</f>
        <v>6</v>
      </c>
      <c r="G363" t="s">
        <v>409</v>
      </c>
      <c r="H363" s="330">
        <v>1383</v>
      </c>
      <c r="I363" s="330">
        <v>13</v>
      </c>
      <c r="J363" t="s">
        <v>120</v>
      </c>
      <c r="K363" s="143"/>
      <c r="L363" s="220" t="str">
        <f>IF(Protokoll!I$1&lt;&gt;"",IF(N362=N$113,IF(AND(DMAX(F$113:J$403,F$113,O362:O363)&gt;COUNTA(L$111:L362)-2,DCOUNTA(F$113:J$403,G$113,N362:O363)=1),DGET(F$113:J$403,G$113,N362:O363),""),IF(AND(DMAX(F$113:J$403,F$113,Q362:Q363)&gt;COUNTA(L$111:L362)-2,DCOUNTA(F$113:J$403,G$113,P362:Q363)=1),DGET(F$113:J$403,G$113,P362:Q363),"")),G363)</f>
        <v/>
      </c>
      <c r="M363" s="143"/>
      <c r="N363" s="221" t="str">
        <f>IF(N362=N$113,IF(COUNT(N$113:Q362)&lt;DMAX(F$113:J$403,F$113,O362:O363),COUNT(N$113:Q362)+1,""),IF(COUNT(N$113:Q362)&lt;DMAX(F$113:J$403,F$113,Q362:Q363),N$113,""))</f>
        <v/>
      </c>
      <c r="O363" s="222" t="str">
        <f>IF(O362=O$113,IF(COUNTA(L$111:L362)-2&lt;DMAX(F$113:J$403,F$113,Q361:Q362),Protokoll!I$1,""),IF(O362&lt;&gt;"",IF(COUNTA(L$111:L362)-1&lt;DMAX(F$113:J$403,F$113,O361:O362),O$113,""),""))</f>
        <v/>
      </c>
      <c r="P363" s="223" t="str">
        <f>IF(N362=N$113,IF(COUNT(N$113:Q362)&lt;DMAX(F$113:J$403,F$113,O362:O363),N$113,""),IF(COUNT(N$113:Q362)&lt;DMAX(F$113:J$403,F$113,Q362:Q363),COUNT(N$113:Q362)+1,""))</f>
        <v/>
      </c>
      <c r="Q363" s="199" t="str">
        <f>IF(O362=O$113,IF(COUNTA(L$111:L362)-2&lt;DMAX(F$113:J$403,F$113,Q361:Q362),O$113,""),IF(Q362&lt;&gt;"",IF(COUNTA(L$111:L362)-2&lt;DMAX(F$113:J$403,F$113,O361:O362),Protokoll!I$1,""),""))</f>
        <v/>
      </c>
      <c r="T363" s="331" t="str">
        <f>IF(OR(Protokoll!$X$5&lt;&gt;"",Lokalbeskrivn!$M$4&lt;&gt;""),"",U363)</f>
        <v/>
      </c>
      <c r="U363" s="330" t="s">
        <v>1155</v>
      </c>
      <c r="Y363" s="572" t="s">
        <v>1978</v>
      </c>
      <c r="Z363" s="572" t="s">
        <v>1979</v>
      </c>
      <c r="AB363" s="480" t="str">
        <f>IF(AND(ISNUMBER(AH363),AH363&gt;0),IF(MAX(AB$3:AB362)&gt;0,MAX(AB$3:AB362)+1,10+COUNTIF(F$38:F$49,"&gt;0")*10+1),"")</f>
        <v/>
      </c>
      <c r="AC363" s="433" t="str">
        <f>IF(AND(AH363&lt;&gt;"",AG363&lt;&gt;"",AI363&gt;0,AH363&gt;0),MAX(AC$2:AC362)+1,"XX")</f>
        <v>XX</v>
      </c>
      <c r="AD363" s="429" t="str">
        <f>IF('Antal &amp; Längder (vikter)'!$C$53&lt;&gt;"",'Antal &amp; Längder (vikter)'!$C$53,"XX")</f>
        <v>XX</v>
      </c>
      <c r="AE363" s="419" t="str">
        <f>IF(AND('Antal &amp; Längder (vikter)'!B$55&lt;&gt;"",ISNUMBER($AH363)),'Antal &amp; Längder (vikter)'!B$55,"")</f>
        <v/>
      </c>
      <c r="AF363" s="425" t="str">
        <f t="shared" si="12"/>
        <v/>
      </c>
      <c r="AG363" s="426" t="str">
        <f t="shared" si="13"/>
        <v/>
      </c>
      <c r="AH363" s="410" t="str">
        <f>IF('Antal &amp; Längder (vikter)'!B57&lt;&gt;"",'Antal &amp; Längder (vikter)'!B57,"XX")</f>
        <v>XX</v>
      </c>
      <c r="AI363" s="405">
        <f>IF('Antal &amp; Längder (vikter)'!C$56="Vikt (g)",IF('Antal &amp; Längder (vikter)'!C57&lt;&gt;"",'Antal &amp; Längder (vikter)'!C57,-9),-9)</f>
        <v>-9</v>
      </c>
    </row>
    <row r="364" spans="6:35" x14ac:dyDescent="0.25">
      <c r="F364" s="199">
        <f>COUNTIF(J$113:J364,J364)</f>
        <v>24</v>
      </c>
      <c r="G364" t="s">
        <v>410</v>
      </c>
      <c r="H364" s="330">
        <v>187</v>
      </c>
      <c r="I364" s="330">
        <v>1</v>
      </c>
      <c r="J364" t="s">
        <v>136</v>
      </c>
      <c r="K364" s="143"/>
      <c r="L364" s="220" t="str">
        <f>IF(Protokoll!I$1&lt;&gt;"",IF(N363=N$113,IF(AND(DMAX(F$113:J$403,F$113,O363:O364)&gt;COUNTA(L$111:L363)-2,DCOUNTA(F$113:J$403,G$113,N363:O364)=1),DGET(F$113:J$403,G$113,N363:O364),""),IF(AND(DMAX(F$113:J$403,F$113,Q363:Q364)&gt;COUNTA(L$111:L363)-2,DCOUNTA(F$113:J$403,G$113,P363:Q364)=1),DGET(F$113:J$403,G$113,P363:Q364),"")),G364)</f>
        <v/>
      </c>
      <c r="M364" s="143"/>
      <c r="N364" s="221" t="str">
        <f>IF(N363=N$113,IF(COUNT(N$113:Q363)&lt;DMAX(F$113:J$403,F$113,O363:O364),COUNT(N$113:Q363)+1,""),IF(COUNT(N$113:Q363)&lt;DMAX(F$113:J$403,F$113,Q363:Q364),N$113,""))</f>
        <v/>
      </c>
      <c r="O364" s="222" t="str">
        <f>IF(O363=O$113,IF(COUNTA(L$111:L363)-2&lt;DMAX(F$113:J$403,F$113,Q362:Q363),Protokoll!I$1,""),IF(O363&lt;&gt;"",IF(COUNTA(L$111:L363)-1&lt;DMAX(F$113:J$403,F$113,O362:O363),O$113,""),""))</f>
        <v/>
      </c>
      <c r="P364" s="223" t="str">
        <f>IF(N363=N$113,IF(COUNT(N$113:Q363)&lt;DMAX(F$113:J$403,F$113,O363:O364),N$113,""),IF(COUNT(N$113:Q363)&lt;DMAX(F$113:J$403,F$113,Q363:Q364),COUNT(N$113:Q363)+1,""))</f>
        <v/>
      </c>
      <c r="Q364" s="199" t="str">
        <f>IF(O363=O$113,IF(COUNTA(L$111:L363)-2&lt;DMAX(F$113:J$403,F$113,Q362:Q363),O$113,""),IF(Q363&lt;&gt;"",IF(COUNTA(L$111:L363)-2&lt;DMAX(F$113:J$403,F$113,O362:O363),Protokoll!I$1,""),""))</f>
        <v/>
      </c>
      <c r="T364" s="331" t="str">
        <f>IF(OR(Protokoll!$X$5&lt;&gt;"",Lokalbeskrivn!$M$4&lt;&gt;""),"",U364)</f>
        <v/>
      </c>
      <c r="U364" s="330" t="s">
        <v>1157</v>
      </c>
      <c r="Y364" s="572" t="s">
        <v>2491</v>
      </c>
      <c r="Z364" s="572" t="s">
        <v>2242</v>
      </c>
      <c r="AB364" s="476" t="str">
        <f>IF(COUNT(AB363:AB363)&gt;0,MAX(AB363:AB363)+1,"")</f>
        <v/>
      </c>
      <c r="AC364" s="433" t="str">
        <f>IF(AND(AH364&lt;&gt;"",AG364&lt;&gt;"",AI364&gt;0,AH364&gt;0),MAX(AC$2:AC363)+1,"XX")</f>
        <v>XX</v>
      </c>
      <c r="AD364" s="429" t="str">
        <f>IF('Antal &amp; Längder (vikter)'!$C$53&lt;&gt;"",'Antal &amp; Längder (vikter)'!$C$53,"XX")</f>
        <v>XX</v>
      </c>
      <c r="AE364" s="419" t="str">
        <f>IF(AND('Antal &amp; Längder (vikter)'!B$55&lt;&gt;"",ISNUMBER($AH364)),'Antal &amp; Längder (vikter)'!B$55,"")</f>
        <v/>
      </c>
      <c r="AF364" s="425" t="str">
        <f t="shared" si="12"/>
        <v/>
      </c>
      <c r="AG364" s="426" t="str">
        <f t="shared" si="13"/>
        <v/>
      </c>
      <c r="AH364" s="410" t="str">
        <f>IF('Antal &amp; Längder (vikter)'!B58&lt;&gt;"",'Antal &amp; Längder (vikter)'!B58,"XX")</f>
        <v>XX</v>
      </c>
      <c r="AI364" s="405">
        <f>IF('Antal &amp; Längder (vikter)'!C$56="Vikt (g)",IF('Antal &amp; Längder (vikter)'!C58&lt;&gt;"",'Antal &amp; Längder (vikter)'!C58,-9),-9)</f>
        <v>-9</v>
      </c>
    </row>
    <row r="365" spans="6:35" x14ac:dyDescent="0.25">
      <c r="F365" s="199">
        <f>COUNTIF(J$113:J365,J365)</f>
        <v>28</v>
      </c>
      <c r="G365" t="s">
        <v>411</v>
      </c>
      <c r="H365" s="330">
        <v>1233</v>
      </c>
      <c r="I365" s="330">
        <v>12</v>
      </c>
      <c r="J365" t="s">
        <v>134</v>
      </c>
      <c r="K365" s="143"/>
      <c r="L365" s="220" t="str">
        <f>IF(Protokoll!I$1&lt;&gt;"",IF(N364=N$113,IF(AND(DMAX(F$113:J$403,F$113,O364:O365)&gt;COUNTA(L$111:L364)-2,DCOUNTA(F$113:J$403,G$113,N364:O365)=1),DGET(F$113:J$403,G$113,N364:O365),""),IF(AND(DMAX(F$113:J$403,F$113,Q364:Q365)&gt;COUNTA(L$111:L364)-2,DCOUNTA(F$113:J$403,G$113,P364:Q365)=1),DGET(F$113:J$403,G$113,P364:Q365),"")),G365)</f>
        <v/>
      </c>
      <c r="M365" s="143"/>
      <c r="N365" s="221" t="str">
        <f>IF(N364=N$113,IF(COUNT(N$113:Q364)&lt;DMAX(F$113:J$403,F$113,O364:O365),COUNT(N$113:Q364)+1,""),IF(COUNT(N$113:Q364)&lt;DMAX(F$113:J$403,F$113,Q364:Q365),N$113,""))</f>
        <v/>
      </c>
      <c r="O365" s="222" t="str">
        <f>IF(O364=O$113,IF(COUNTA(L$111:L364)-2&lt;DMAX(F$113:J$403,F$113,Q363:Q364),Protokoll!I$1,""),IF(O364&lt;&gt;"",IF(COUNTA(L$111:L364)-1&lt;DMAX(F$113:J$403,F$113,O363:O364),O$113,""),""))</f>
        <v/>
      </c>
      <c r="P365" s="223" t="str">
        <f>IF(N364=N$113,IF(COUNT(N$113:Q364)&lt;DMAX(F$113:J$403,F$113,O364:O365),N$113,""),IF(COUNT(N$113:Q364)&lt;DMAX(F$113:J$403,F$113,Q364:Q365),COUNT(N$113:Q364)+1,""))</f>
        <v/>
      </c>
      <c r="Q365" s="199" t="str">
        <f>IF(O364=O$113,IF(COUNTA(L$111:L364)-2&lt;DMAX(F$113:J$403,F$113,Q363:Q364),O$113,""),IF(Q364&lt;&gt;"",IF(COUNTA(L$111:L364)-2&lt;DMAX(F$113:J$403,F$113,O363:O364),Protokoll!I$1,""),""))</f>
        <v/>
      </c>
      <c r="T365" s="331" t="str">
        <f>IF(OR(Protokoll!$X$5&lt;&gt;"",Lokalbeskrivn!$M$4&lt;&gt;""),"",U365)</f>
        <v/>
      </c>
      <c r="U365" s="330" t="s">
        <v>1159</v>
      </c>
      <c r="Y365" s="572" t="s">
        <v>1974</v>
      </c>
      <c r="Z365" s="572" t="s">
        <v>1975</v>
      </c>
      <c r="AB365" s="477" t="str">
        <f>IF(COUNT(AB363:AB364)&gt;0,MAX(AB363:AB364)+1,"")</f>
        <v/>
      </c>
      <c r="AC365" s="433" t="str">
        <f>IF(AND(AH365&lt;&gt;"",AG365&lt;&gt;"",AI365&gt;0,AH365&gt;0),MAX(AC$2:AC364)+1,"XX")</f>
        <v>XX</v>
      </c>
      <c r="AD365" s="429" t="str">
        <f>IF('Antal &amp; Längder (vikter)'!$C$53&lt;&gt;"",'Antal &amp; Längder (vikter)'!$C$53,"XX")</f>
        <v>XX</v>
      </c>
      <c r="AE365" s="419" t="str">
        <f>IF(AND('Antal &amp; Längder (vikter)'!B$55&lt;&gt;"",ISNUMBER($AH365)),'Antal &amp; Längder (vikter)'!B$55,"")</f>
        <v/>
      </c>
      <c r="AF365" s="425" t="str">
        <f t="shared" si="12"/>
        <v/>
      </c>
      <c r="AG365" s="426" t="str">
        <f t="shared" si="13"/>
        <v/>
      </c>
      <c r="AH365" s="410" t="str">
        <f>IF('Antal &amp; Längder (vikter)'!B59&lt;&gt;"",'Antal &amp; Längder (vikter)'!B59,"XX")</f>
        <v>XX</v>
      </c>
      <c r="AI365" s="405">
        <f>IF('Antal &amp; Längder (vikter)'!C$56="Vikt (g)",IF('Antal &amp; Längder (vikter)'!C59&lt;&gt;"",'Antal &amp; Längder (vikter)'!C59,-9),-9)</f>
        <v>-9</v>
      </c>
    </row>
    <row r="366" spans="6:35" x14ac:dyDescent="0.25">
      <c r="F366" s="199">
        <f>COUNTIF(J$113:J366,J366)</f>
        <v>12</v>
      </c>
      <c r="G366" t="s">
        <v>412</v>
      </c>
      <c r="H366" s="330">
        <v>685</v>
      </c>
      <c r="I366" s="330">
        <v>6</v>
      </c>
      <c r="J366" t="s">
        <v>122</v>
      </c>
      <c r="K366" s="143"/>
      <c r="L366" s="220" t="str">
        <f>IF(Protokoll!I$1&lt;&gt;"",IF(N365=N$113,IF(AND(DMAX(F$113:J$403,F$113,O365:O366)&gt;COUNTA(L$111:L365)-2,DCOUNTA(F$113:J$403,G$113,N365:O366)=1),DGET(F$113:J$403,G$113,N365:O366),""),IF(AND(DMAX(F$113:J$403,F$113,Q365:Q366)&gt;COUNTA(L$111:L365)-2,DCOUNTA(F$113:J$403,G$113,P365:Q366)=1),DGET(F$113:J$403,G$113,P365:Q366),"")),G366)</f>
        <v/>
      </c>
      <c r="M366" s="143"/>
      <c r="N366" s="221" t="str">
        <f>IF(N365=N$113,IF(COUNT(N$113:Q365)&lt;DMAX(F$113:J$403,F$113,O365:O366),COUNT(N$113:Q365)+1,""),IF(COUNT(N$113:Q365)&lt;DMAX(F$113:J$403,F$113,Q365:Q366),N$113,""))</f>
        <v/>
      </c>
      <c r="O366" s="222" t="str">
        <f>IF(O365=O$113,IF(COUNTA(L$111:L365)-2&lt;DMAX(F$113:J$403,F$113,Q364:Q365),Protokoll!I$1,""),IF(O365&lt;&gt;"",IF(COUNTA(L$111:L365)-1&lt;DMAX(F$113:J$403,F$113,O364:O365),O$113,""),""))</f>
        <v/>
      </c>
      <c r="P366" s="223" t="str">
        <f>IF(N365=N$113,IF(COUNT(N$113:Q365)&lt;DMAX(F$113:J$403,F$113,O365:O366),N$113,""),IF(COUNT(N$113:Q365)&lt;DMAX(F$113:J$403,F$113,Q365:Q366),COUNT(N$113:Q365)+1,""))</f>
        <v/>
      </c>
      <c r="Q366" s="199" t="str">
        <f>IF(O365=O$113,IF(COUNTA(L$111:L365)-2&lt;DMAX(F$113:J$403,F$113,Q364:Q365),O$113,""),IF(Q365&lt;&gt;"",IF(COUNTA(L$111:L365)-2&lt;DMAX(F$113:J$403,F$113,O364:O365),Protokoll!I$1,""),""))</f>
        <v/>
      </c>
      <c r="T366" s="331" t="str">
        <f>IF(OR(Protokoll!$X$5&lt;&gt;"",Lokalbeskrivn!$M$4&lt;&gt;""),"",U366)</f>
        <v/>
      </c>
      <c r="U366" s="330" t="s">
        <v>1161</v>
      </c>
      <c r="Y366" s="572" t="s">
        <v>1757</v>
      </c>
      <c r="Z366" s="572" t="s">
        <v>1758</v>
      </c>
      <c r="AB366" s="434" t="str">
        <f>IF(COUNT(AB363:AB365)&gt;0,MAX(AB363:AB365)+1,"")</f>
        <v/>
      </c>
      <c r="AC366" s="433" t="str">
        <f>IF(AND(AH366&lt;&gt;"",AG366&lt;&gt;"",AI366&gt;0,AH366&gt;0),MAX(AC$2:AC365)+1,"XX")</f>
        <v>XX</v>
      </c>
      <c r="AD366" s="429" t="str">
        <f>IF('Antal &amp; Längder (vikter)'!$C$53&lt;&gt;"",'Antal &amp; Längder (vikter)'!$C$53,"XX")</f>
        <v>XX</v>
      </c>
      <c r="AE366" s="419" t="str">
        <f>IF(AND('Antal &amp; Längder (vikter)'!B$55&lt;&gt;"",ISNUMBER($AH366)),'Antal &amp; Längder (vikter)'!B$55,"")</f>
        <v/>
      </c>
      <c r="AF366" s="425" t="str">
        <f t="shared" si="12"/>
        <v/>
      </c>
      <c r="AG366" s="426" t="str">
        <f t="shared" si="13"/>
        <v/>
      </c>
      <c r="AH366" s="410" t="str">
        <f>IF('Antal &amp; Längder (vikter)'!B60&lt;&gt;"",'Antal &amp; Längder (vikter)'!B60,"XX")</f>
        <v>XX</v>
      </c>
      <c r="AI366" s="405">
        <f>IF('Antal &amp; Längder (vikter)'!C$56="Vikt (g)",IF('Antal &amp; Längder (vikter)'!C60&lt;&gt;"",'Antal &amp; Längder (vikter)'!C60,-9),-9)</f>
        <v>-9</v>
      </c>
    </row>
    <row r="367" spans="6:35" x14ac:dyDescent="0.25">
      <c r="F367" s="199">
        <f>COUNTIF(J$113:J367,J367)</f>
        <v>12</v>
      </c>
      <c r="G367" t="s">
        <v>413</v>
      </c>
      <c r="H367" s="330">
        <v>2462</v>
      </c>
      <c r="I367" s="330">
        <v>24</v>
      </c>
      <c r="J367" t="s">
        <v>142</v>
      </c>
      <c r="K367" s="143"/>
      <c r="L367" s="220" t="str">
        <f>IF(Protokoll!I$1&lt;&gt;"",IF(N366=N$113,IF(AND(DMAX(F$113:J$403,F$113,O366:O367)&gt;COUNTA(L$111:L366)-2,DCOUNTA(F$113:J$403,G$113,N366:O367)=1),DGET(F$113:J$403,G$113,N366:O367),""),IF(AND(DMAX(F$113:J$403,F$113,Q366:Q367)&gt;COUNTA(L$111:L366)-2,DCOUNTA(F$113:J$403,G$113,P366:Q367)=1),DGET(F$113:J$403,G$113,P366:Q367),"")),G367)</f>
        <v/>
      </c>
      <c r="M367" s="143"/>
      <c r="N367" s="221" t="str">
        <f>IF(N366=N$113,IF(COUNT(N$113:Q366)&lt;DMAX(F$113:J$403,F$113,O366:O367),COUNT(N$113:Q366)+1,""),IF(COUNT(N$113:Q366)&lt;DMAX(F$113:J$403,F$113,Q366:Q367),N$113,""))</f>
        <v/>
      </c>
      <c r="O367" s="222" t="str">
        <f>IF(O366=O$113,IF(COUNTA(L$111:L366)-2&lt;DMAX(F$113:J$403,F$113,Q365:Q366),Protokoll!I$1,""),IF(O366&lt;&gt;"",IF(COUNTA(L$111:L366)-1&lt;DMAX(F$113:J$403,F$113,O365:O366),O$113,""),""))</f>
        <v/>
      </c>
      <c r="P367" s="223" t="str">
        <f>IF(N366=N$113,IF(COUNT(N$113:Q366)&lt;DMAX(F$113:J$403,F$113,O366:O367),N$113,""),IF(COUNT(N$113:Q366)&lt;DMAX(F$113:J$403,F$113,Q366:Q367),COUNT(N$113:Q366)+1,""))</f>
        <v/>
      </c>
      <c r="Q367" s="199" t="str">
        <f>IF(O366=O$113,IF(COUNTA(L$111:L366)-2&lt;DMAX(F$113:J$403,F$113,Q365:Q366),O$113,""),IF(Q366&lt;&gt;"",IF(COUNTA(L$111:L366)-2&lt;DMAX(F$113:J$403,F$113,O365:O366),Protokoll!I$1,""),""))</f>
        <v/>
      </c>
      <c r="T367" s="331" t="str">
        <f>IF(OR(Protokoll!$X$5&lt;&gt;"",Lokalbeskrivn!$M$4&lt;&gt;""),"",U367)</f>
        <v/>
      </c>
      <c r="U367" s="330" t="s">
        <v>1163</v>
      </c>
      <c r="Y367" s="572" t="s">
        <v>1715</v>
      </c>
      <c r="Z367" s="572" t="s">
        <v>1716</v>
      </c>
      <c r="AB367" s="475" t="str">
        <f>IF(COUNT(AB363:AB366)&gt;0,MAX(AB363:AB366)+1,"")</f>
        <v/>
      </c>
      <c r="AC367" s="433" t="str">
        <f>IF(AND(AH367&lt;&gt;"",AG367&lt;&gt;"",AI367&gt;0,AH367&gt;0),MAX(AC$2:AC366)+1,"XX")</f>
        <v>XX</v>
      </c>
      <c r="AD367" s="429" t="str">
        <f>IF('Antal &amp; Längder (vikter)'!$C$53&lt;&gt;"",'Antal &amp; Längder (vikter)'!$C$53,"XX")</f>
        <v>XX</v>
      </c>
      <c r="AE367" s="419" t="str">
        <f>IF(AND('Antal &amp; Längder (vikter)'!B$55&lt;&gt;"",ISNUMBER($AH367)),'Antal &amp; Längder (vikter)'!B$55,"")</f>
        <v/>
      </c>
      <c r="AF367" s="425" t="str">
        <f t="shared" si="12"/>
        <v/>
      </c>
      <c r="AG367" s="426" t="str">
        <f t="shared" si="13"/>
        <v/>
      </c>
      <c r="AH367" s="410" t="str">
        <f>IF('Antal &amp; Längder (vikter)'!B61&lt;&gt;"",'Antal &amp; Längder (vikter)'!B61,"XX")</f>
        <v>XX</v>
      </c>
      <c r="AI367" s="405">
        <f>IF('Antal &amp; Längder (vikter)'!C$56="Vikt (g)",IF('Antal &amp; Längder (vikter)'!C61&lt;&gt;"",'Antal &amp; Längder (vikter)'!C61,-9),-9)</f>
        <v>-9</v>
      </c>
    </row>
    <row r="368" spans="6:35" x14ac:dyDescent="0.25">
      <c r="F368" s="199">
        <f>COUNTIF(J$113:J368,J368)</f>
        <v>11</v>
      </c>
      <c r="G368" t="s">
        <v>414</v>
      </c>
      <c r="H368" s="330">
        <v>884</v>
      </c>
      <c r="I368" s="330">
        <v>8</v>
      </c>
      <c r="J368" t="s">
        <v>128</v>
      </c>
      <c r="K368" s="143"/>
      <c r="L368" s="220" t="str">
        <f>IF(Protokoll!I$1&lt;&gt;"",IF(N367=N$113,IF(AND(DMAX(F$113:J$403,F$113,O367:O368)&gt;COUNTA(L$111:L367)-2,DCOUNTA(F$113:J$403,G$113,N367:O368)=1),DGET(F$113:J$403,G$113,N367:O368),""),IF(AND(DMAX(F$113:J$403,F$113,Q367:Q368)&gt;COUNTA(L$111:L367)-2,DCOUNTA(F$113:J$403,G$113,P367:Q368)=1),DGET(F$113:J$403,G$113,P367:Q368),"")),G368)</f>
        <v/>
      </c>
      <c r="M368" s="143"/>
      <c r="N368" s="221" t="str">
        <f>IF(N367=N$113,IF(COUNT(N$113:Q367)&lt;DMAX(F$113:J$403,F$113,O367:O368),COUNT(N$113:Q367)+1,""),IF(COUNT(N$113:Q367)&lt;DMAX(F$113:J$403,F$113,Q367:Q368),N$113,""))</f>
        <v/>
      </c>
      <c r="O368" s="222" t="str">
        <f>IF(O367=O$113,IF(COUNTA(L$111:L367)-2&lt;DMAX(F$113:J$403,F$113,Q366:Q367),Protokoll!I$1,""),IF(O367&lt;&gt;"",IF(COUNTA(L$111:L367)-1&lt;DMAX(F$113:J$403,F$113,O366:O367),O$113,""),""))</f>
        <v/>
      </c>
      <c r="P368" s="223" t="str">
        <f>IF(N367=N$113,IF(COUNT(N$113:Q367)&lt;DMAX(F$113:J$403,F$113,O367:O368),N$113,""),IF(COUNT(N$113:Q367)&lt;DMAX(F$113:J$403,F$113,Q367:Q368),COUNT(N$113:Q367)+1,""))</f>
        <v/>
      </c>
      <c r="Q368" s="199" t="str">
        <f>IF(O367=O$113,IF(COUNTA(L$111:L367)-2&lt;DMAX(F$113:J$403,F$113,Q366:Q367),O$113,""),IF(Q367&lt;&gt;"",IF(COUNTA(L$111:L367)-2&lt;DMAX(F$113:J$403,F$113,O366:O367),Protokoll!I$1,""),""))</f>
        <v/>
      </c>
      <c r="T368" s="331" t="str">
        <f>IF(OR(Protokoll!$X$5&lt;&gt;"",Lokalbeskrivn!$M$4&lt;&gt;""),"",U368)</f>
        <v/>
      </c>
      <c r="U368" s="330" t="s">
        <v>1165</v>
      </c>
      <c r="X368" s="1"/>
      <c r="Y368" s="572" t="s">
        <v>2179</v>
      </c>
      <c r="Z368" s="572" t="s">
        <v>2180</v>
      </c>
      <c r="AB368" s="471" t="str">
        <f>IF(COUNT(AB363:AB367)&gt;0,MAX(AB363:AB367)+1,"")</f>
        <v/>
      </c>
      <c r="AC368" s="433" t="str">
        <f>IF(AND(AH368&lt;&gt;"",AG368&lt;&gt;"",AI368&gt;0,AH368&gt;0),MAX(AC$2:AC367)+1,"XX")</f>
        <v>XX</v>
      </c>
      <c r="AD368" s="429" t="str">
        <f>IF('Antal &amp; Längder (vikter)'!$C$53&lt;&gt;"",'Antal &amp; Längder (vikter)'!$C$53,"XX")</f>
        <v>XX</v>
      </c>
      <c r="AE368" s="419" t="str">
        <f>IF(AND('Antal &amp; Längder (vikter)'!B$55&lt;&gt;"",ISNUMBER($AH368)),'Antal &amp; Längder (vikter)'!B$55,"")</f>
        <v/>
      </c>
      <c r="AF368" s="425" t="str">
        <f t="shared" si="12"/>
        <v/>
      </c>
      <c r="AG368" s="426" t="str">
        <f t="shared" si="13"/>
        <v/>
      </c>
      <c r="AH368" s="410" t="str">
        <f>IF('Antal &amp; Längder (vikter)'!B62&lt;&gt;"",'Antal &amp; Längder (vikter)'!B62,"XX")</f>
        <v>XX</v>
      </c>
      <c r="AI368" s="405">
        <f>IF('Antal &amp; Längder (vikter)'!C$56="Vikt (g)",IF('Antal &amp; Längder (vikter)'!C62&lt;&gt;"",'Antal &amp; Längder (vikter)'!C62,-9),-9)</f>
        <v>-9</v>
      </c>
    </row>
    <row r="369" spans="6:35" x14ac:dyDescent="0.25">
      <c r="F369" s="199">
        <f>COUNTIF(J$113:J369,J369)</f>
        <v>13</v>
      </c>
      <c r="G369" t="s">
        <v>415</v>
      </c>
      <c r="H369" s="330">
        <v>2404</v>
      </c>
      <c r="I369" s="330">
        <v>24</v>
      </c>
      <c r="J369" t="s">
        <v>142</v>
      </c>
      <c r="K369" s="143"/>
      <c r="L369" s="220" t="str">
        <f>IF(Protokoll!I$1&lt;&gt;"",IF(N368=N$113,IF(AND(DMAX(F$113:J$403,F$113,O368:O369)&gt;COUNTA(L$111:L368)-2,DCOUNTA(F$113:J$403,G$113,N368:O369)=1),DGET(F$113:J$403,G$113,N368:O369),""),IF(AND(DMAX(F$113:J$403,F$113,Q368:Q369)&gt;COUNTA(L$111:L368)-2,DCOUNTA(F$113:J$403,G$113,P368:Q369)=1),DGET(F$113:J$403,G$113,P368:Q369),"")),G369)</f>
        <v/>
      </c>
      <c r="M369" s="143"/>
      <c r="N369" s="221" t="str">
        <f>IF(N368=N$113,IF(COUNT(N$113:Q368)&lt;DMAX(F$113:J$403,F$113,O368:O369),COUNT(N$113:Q368)+1,""),IF(COUNT(N$113:Q368)&lt;DMAX(F$113:J$403,F$113,Q368:Q369),N$113,""))</f>
        <v/>
      </c>
      <c r="O369" s="222" t="str">
        <f>IF(O368=O$113,IF(COUNTA(L$111:L368)-2&lt;DMAX(F$113:J$403,F$113,Q367:Q368),Protokoll!I$1,""),IF(O368&lt;&gt;"",IF(COUNTA(L$111:L368)-1&lt;DMAX(F$113:J$403,F$113,O367:O368),O$113,""),""))</f>
        <v/>
      </c>
      <c r="P369" s="223" t="str">
        <f>IF(N368=N$113,IF(COUNT(N$113:Q368)&lt;DMAX(F$113:J$403,F$113,O368:O369),N$113,""),IF(COUNT(N$113:Q368)&lt;DMAX(F$113:J$403,F$113,Q368:Q369),COUNT(N$113:Q368)+1,""))</f>
        <v/>
      </c>
      <c r="Q369" s="199" t="str">
        <f>IF(O368=O$113,IF(COUNTA(L$111:L368)-2&lt;DMAX(F$113:J$403,F$113,Q367:Q368),O$113,""),IF(Q368&lt;&gt;"",IF(COUNTA(L$111:L368)-2&lt;DMAX(F$113:J$403,F$113,O367:O368),Protokoll!I$1,""),""))</f>
        <v/>
      </c>
      <c r="T369" s="331" t="str">
        <f>IF(OR(Protokoll!$X$5&lt;&gt;"",Lokalbeskrivn!$M$4&lt;&gt;""),"",U369)</f>
        <v/>
      </c>
      <c r="U369" s="330" t="s">
        <v>1167</v>
      </c>
      <c r="Y369" s="572" t="s">
        <v>1956</v>
      </c>
      <c r="Z369" s="572" t="s">
        <v>1957</v>
      </c>
      <c r="AB369" s="474" t="str">
        <f>IF(COUNT(AB363:AB368)&gt;0,MAX(AB363:AB368)+1,"")</f>
        <v/>
      </c>
      <c r="AC369" s="433" t="str">
        <f>IF(AND(AH369&lt;&gt;"",AG369&lt;&gt;"",AI369&gt;0,AH369&gt;0),MAX(AC$2:AC368)+1,"XX")</f>
        <v>XX</v>
      </c>
      <c r="AD369" s="429" t="str">
        <f>IF('Antal &amp; Längder (vikter)'!$C$53&lt;&gt;"",'Antal &amp; Längder (vikter)'!$C$53,"XX")</f>
        <v>XX</v>
      </c>
      <c r="AE369" s="419" t="str">
        <f>IF(AND('Antal &amp; Längder (vikter)'!B$55&lt;&gt;"",ISNUMBER($AH369)),'Antal &amp; Längder (vikter)'!B$55,"")</f>
        <v/>
      </c>
      <c r="AF369" s="425" t="str">
        <f t="shared" si="12"/>
        <v/>
      </c>
      <c r="AG369" s="426" t="str">
        <f t="shared" si="13"/>
        <v/>
      </c>
      <c r="AH369" s="410" t="str">
        <f>IF('Antal &amp; Längder (vikter)'!B63&lt;&gt;"",'Antal &amp; Längder (vikter)'!B63,"XX")</f>
        <v>XX</v>
      </c>
      <c r="AI369" s="405">
        <f>IF('Antal &amp; Längder (vikter)'!C$56="Vikt (g)",IF('Antal &amp; Längder (vikter)'!C63&lt;&gt;"",'Antal &amp; Längder (vikter)'!C63,-9),-9)</f>
        <v>-9</v>
      </c>
    </row>
    <row r="370" spans="6:35" x14ac:dyDescent="0.25">
      <c r="F370" s="199">
        <f>COUNTIF(J$113:J370,J370)</f>
        <v>9</v>
      </c>
      <c r="G370" t="s">
        <v>416</v>
      </c>
      <c r="H370" s="330">
        <v>428</v>
      </c>
      <c r="I370" s="330">
        <v>4</v>
      </c>
      <c r="J370" t="s">
        <v>138</v>
      </c>
      <c r="K370" s="143"/>
      <c r="L370" s="220" t="str">
        <f>IF(Protokoll!I$1&lt;&gt;"",IF(N369=N$113,IF(AND(DMAX(F$113:J$403,F$113,O369:O370)&gt;COUNTA(L$111:L369)-2,DCOUNTA(F$113:J$403,G$113,N369:O370)=1),DGET(F$113:J$403,G$113,N369:O370),""),IF(AND(DMAX(F$113:J$403,F$113,Q369:Q370)&gt;COUNTA(L$111:L369)-2,DCOUNTA(F$113:J$403,G$113,P369:Q370)=1),DGET(F$113:J$403,G$113,P369:Q370),"")),G370)</f>
        <v/>
      </c>
      <c r="M370" s="143"/>
      <c r="N370" s="221" t="str">
        <f>IF(N369=N$113,IF(COUNT(N$113:Q369)&lt;DMAX(F$113:J$403,F$113,O369:O370),COUNT(N$113:Q369)+1,""),IF(COUNT(N$113:Q369)&lt;DMAX(F$113:J$403,F$113,Q369:Q370),N$113,""))</f>
        <v/>
      </c>
      <c r="O370" s="222" t="str">
        <f>IF(O369=O$113,IF(COUNTA(L$111:L369)-2&lt;DMAX(F$113:J$403,F$113,Q368:Q369),Protokoll!I$1,""),IF(O369&lt;&gt;"",IF(COUNTA(L$111:L369)-1&lt;DMAX(F$113:J$403,F$113,O368:O369),O$113,""),""))</f>
        <v/>
      </c>
      <c r="P370" s="223" t="str">
        <f>IF(N369=N$113,IF(COUNT(N$113:Q369)&lt;DMAX(F$113:J$403,F$113,O369:O370),N$113,""),IF(COUNT(N$113:Q369)&lt;DMAX(F$113:J$403,F$113,Q369:Q370),COUNT(N$113:Q369)+1,""))</f>
        <v/>
      </c>
      <c r="Q370" s="199" t="str">
        <f>IF(O369=O$113,IF(COUNTA(L$111:L369)-2&lt;DMAX(F$113:J$403,F$113,Q368:Q369),O$113,""),IF(Q369&lt;&gt;"",IF(COUNTA(L$111:L369)-2&lt;DMAX(F$113:J$403,F$113,O368:O369),Protokoll!I$1,""),""))</f>
        <v/>
      </c>
      <c r="T370" s="331" t="str">
        <f>IF(OR(Protokoll!$X$5&lt;&gt;"",Lokalbeskrivn!$M$4&lt;&gt;""),"",U370)</f>
        <v/>
      </c>
      <c r="U370" s="330" t="s">
        <v>1169</v>
      </c>
      <c r="Y370" s="572" t="s">
        <v>1976</v>
      </c>
      <c r="Z370" s="572" t="s">
        <v>1977</v>
      </c>
      <c r="AB370" s="478" t="str">
        <f>IF(COUNT(AB363:AB369)&gt;0,MAX(AB363:AB369)+1,"")</f>
        <v/>
      </c>
      <c r="AC370" s="433" t="str">
        <f>IF(AND(AH370&lt;&gt;"",AG370&lt;&gt;"",AI370&gt;0,AH370&gt;0),MAX(AC$2:AC369)+1,"XX")</f>
        <v>XX</v>
      </c>
      <c r="AD370" s="429" t="str">
        <f>IF('Antal &amp; Längder (vikter)'!$C$53&lt;&gt;"",'Antal &amp; Längder (vikter)'!$C$53,"XX")</f>
        <v>XX</v>
      </c>
      <c r="AE370" s="419" t="str">
        <f>IF(AND('Antal &amp; Längder (vikter)'!B$55&lt;&gt;"",ISNUMBER($AH370)),'Antal &amp; Längder (vikter)'!B$55,"")</f>
        <v/>
      </c>
      <c r="AF370" s="425" t="str">
        <f t="shared" si="12"/>
        <v/>
      </c>
      <c r="AG370" s="426" t="str">
        <f t="shared" si="13"/>
        <v/>
      </c>
      <c r="AH370" s="410" t="str">
        <f>IF('Antal &amp; Längder (vikter)'!B64&lt;&gt;"",'Antal &amp; Längder (vikter)'!B64,"XX")</f>
        <v>XX</v>
      </c>
      <c r="AI370" s="405">
        <f>IF('Antal &amp; Längder (vikter)'!C$56="Vikt (g)",IF('Antal &amp; Längder (vikter)'!C64&lt;&gt;"",'Antal &amp; Längder (vikter)'!C64,-9),-9)</f>
        <v>-9</v>
      </c>
    </row>
    <row r="371" spans="6:35" x14ac:dyDescent="0.25">
      <c r="F371" s="199">
        <f>COUNTIF(J$113:J371,J371)</f>
        <v>46</v>
      </c>
      <c r="G371" t="s">
        <v>417</v>
      </c>
      <c r="H371" s="330">
        <v>1442</v>
      </c>
      <c r="I371" s="330">
        <v>14</v>
      </c>
      <c r="J371" t="s">
        <v>114</v>
      </c>
      <c r="K371" s="143"/>
      <c r="L371" s="220" t="str">
        <f>IF(Protokoll!I$1&lt;&gt;"",IF(N370=N$113,IF(AND(DMAX(F$113:J$403,F$113,O370:O371)&gt;COUNTA(L$111:L370)-2,DCOUNTA(F$113:J$403,G$113,N370:O371)=1),DGET(F$113:J$403,G$113,N370:O371),""),IF(AND(DMAX(F$113:J$403,F$113,Q370:Q371)&gt;COUNTA(L$111:L370)-2,DCOUNTA(F$113:J$403,G$113,P370:Q371)=1),DGET(F$113:J$403,G$113,P370:Q371),"")),G371)</f>
        <v/>
      </c>
      <c r="M371" s="143"/>
      <c r="N371" s="221" t="str">
        <f>IF(N370=N$113,IF(COUNT(N$113:Q370)&lt;DMAX(F$113:J$403,F$113,O370:O371),COUNT(N$113:Q370)+1,""),IF(COUNT(N$113:Q370)&lt;DMAX(F$113:J$403,F$113,Q370:Q371),N$113,""))</f>
        <v/>
      </c>
      <c r="O371" s="222" t="str">
        <f>IF(O370=O$113,IF(COUNTA(L$111:L370)-2&lt;DMAX(F$113:J$403,F$113,Q369:Q370),Protokoll!I$1,""),IF(O370&lt;&gt;"",IF(COUNTA(L$111:L370)-1&lt;DMAX(F$113:J$403,F$113,O369:O370),O$113,""),""))</f>
        <v/>
      </c>
      <c r="P371" s="223" t="str">
        <f>IF(N370=N$113,IF(COUNT(N$113:Q370)&lt;DMAX(F$113:J$403,F$113,O370:O371),N$113,""),IF(COUNT(N$113:Q370)&lt;DMAX(F$113:J$403,F$113,Q370:Q371),COUNT(N$113:Q370)+1,""))</f>
        <v/>
      </c>
      <c r="Q371" s="199" t="str">
        <f>IF(O370=O$113,IF(COUNTA(L$111:L370)-2&lt;DMAX(F$113:J$403,F$113,Q369:Q370),O$113,""),IF(Q370&lt;&gt;"",IF(COUNTA(L$111:L370)-2&lt;DMAX(F$113:J$403,F$113,O369:O370),Protokoll!I$1,""),""))</f>
        <v/>
      </c>
      <c r="T371" s="331" t="str">
        <f>IF(OR(Protokoll!$X$5&lt;&gt;"",Lokalbeskrivn!$M$4&lt;&gt;""),"",U371)</f>
        <v/>
      </c>
      <c r="U371" s="330" t="s">
        <v>1171</v>
      </c>
      <c r="Y371" s="572" t="s">
        <v>1699</v>
      </c>
      <c r="Z371" s="572" t="s">
        <v>1700</v>
      </c>
      <c r="AB371" s="472" t="str">
        <f>IF(COUNT(AB363:AB370)&gt;0,MAX(AB363:AB370)+1,"")</f>
        <v/>
      </c>
      <c r="AC371" s="433" t="str">
        <f>IF(AND(AH371&lt;&gt;"",AG371&lt;&gt;"",AI371&gt;0,AH371&gt;0),MAX(AC$2:AC370)+1,"XX")</f>
        <v>XX</v>
      </c>
      <c r="AD371" s="429" t="str">
        <f>IF('Antal &amp; Längder (vikter)'!$C$53&lt;&gt;"",'Antal &amp; Längder (vikter)'!$C$53,"XX")</f>
        <v>XX</v>
      </c>
      <c r="AE371" s="419" t="str">
        <f>IF(AND('Antal &amp; Längder (vikter)'!B$55&lt;&gt;"",ISNUMBER($AH371)),'Antal &amp; Längder (vikter)'!B$55,"")</f>
        <v/>
      </c>
      <c r="AF371" s="425" t="str">
        <f t="shared" si="12"/>
        <v/>
      </c>
      <c r="AG371" s="426" t="str">
        <f t="shared" si="13"/>
        <v/>
      </c>
      <c r="AH371" s="410" t="str">
        <f>IF('Antal &amp; Längder (vikter)'!B65&lt;&gt;"",'Antal &amp; Längder (vikter)'!B65,"XX")</f>
        <v>XX</v>
      </c>
      <c r="AI371" s="405">
        <f>IF('Antal &amp; Längder (vikter)'!C$56="Vikt (g)",IF('Antal &amp; Längder (vikter)'!C65&lt;&gt;"",'Antal &amp; Längder (vikter)'!C65,-9),-9)</f>
        <v>-9</v>
      </c>
    </row>
    <row r="372" spans="6:35" x14ac:dyDescent="0.25">
      <c r="F372" s="199">
        <f>COUNTIF(J$113:J372,J372)</f>
        <v>47</v>
      </c>
      <c r="G372" t="s">
        <v>418</v>
      </c>
      <c r="H372" s="330">
        <v>1487</v>
      </c>
      <c r="I372" s="330">
        <v>14</v>
      </c>
      <c r="J372" t="s">
        <v>114</v>
      </c>
      <c r="K372" s="143"/>
      <c r="L372" s="220" t="str">
        <f>IF(Protokoll!I$1&lt;&gt;"",IF(N371=N$113,IF(AND(DMAX(F$113:J$403,F$113,O371:O372)&gt;COUNTA(L$111:L371)-2,DCOUNTA(F$113:J$403,G$113,N371:O372)=1),DGET(F$113:J$403,G$113,N371:O372),""),IF(AND(DMAX(F$113:J$403,F$113,Q371:Q372)&gt;COUNTA(L$111:L371)-2,DCOUNTA(F$113:J$403,G$113,P371:Q372)=1),DGET(F$113:J$403,G$113,P371:Q372),"")),G372)</f>
        <v/>
      </c>
      <c r="M372" s="143"/>
      <c r="N372" s="221" t="str">
        <f>IF(N371=N$113,IF(COUNT(N$113:Q371)&lt;DMAX(F$113:J$403,F$113,O371:O372),COUNT(N$113:Q371)+1,""),IF(COUNT(N$113:Q371)&lt;DMAX(F$113:J$403,F$113,Q371:Q372),N$113,""))</f>
        <v/>
      </c>
      <c r="O372" s="222" t="str">
        <f>IF(O371=O$113,IF(COUNTA(L$111:L371)-2&lt;DMAX(F$113:J$403,F$113,Q370:Q371),Protokoll!I$1,""),IF(O371&lt;&gt;"",IF(COUNTA(L$111:L371)-1&lt;DMAX(F$113:J$403,F$113,O370:O371),O$113,""),""))</f>
        <v/>
      </c>
      <c r="P372" s="223" t="str">
        <f>IF(N371=N$113,IF(COUNT(N$113:Q371)&lt;DMAX(F$113:J$403,F$113,O371:O372),N$113,""),IF(COUNT(N$113:Q371)&lt;DMAX(F$113:J$403,F$113,Q371:Q372),COUNT(N$113:Q371)+1,""))</f>
        <v/>
      </c>
      <c r="Q372" s="199" t="str">
        <f>IF(O371=O$113,IF(COUNTA(L$111:L371)-2&lt;DMAX(F$113:J$403,F$113,Q370:Q371),O$113,""),IF(Q371&lt;&gt;"",IF(COUNTA(L$111:L371)-2&lt;DMAX(F$113:J$403,F$113,O370:O371),Protokoll!I$1,""),""))</f>
        <v/>
      </c>
      <c r="T372" s="331" t="str">
        <f>IF(OR(Protokoll!$X$5&lt;&gt;"",Lokalbeskrivn!$M$4&lt;&gt;""),"",U372)</f>
        <v/>
      </c>
      <c r="U372" s="330" t="s">
        <v>1173</v>
      </c>
      <c r="Y372" s="572" t="s">
        <v>1951</v>
      </c>
      <c r="Z372" s="572" t="s">
        <v>1952</v>
      </c>
      <c r="AB372" s="479" t="str">
        <f>IF(COUNT(AB363:AB371)&gt;0,MAX(AB363:AB371)+1,"")</f>
        <v/>
      </c>
      <c r="AC372" s="433" t="str">
        <f>IF(AND(AH372&lt;&gt;"",AG372&lt;&gt;"",AI372&gt;0,AH372&gt;0),MAX(AC$2:AC371)+1,"XX")</f>
        <v>XX</v>
      </c>
      <c r="AD372" s="429" t="str">
        <f>IF('Antal &amp; Längder (vikter)'!$C$53&lt;&gt;"",'Antal &amp; Längder (vikter)'!$C$53,"XX")</f>
        <v>XX</v>
      </c>
      <c r="AE372" s="419" t="str">
        <f>IF(AND('Antal &amp; Längder (vikter)'!B$55&lt;&gt;"",ISNUMBER($AH372)),'Antal &amp; Längder (vikter)'!B$55,"")</f>
        <v/>
      </c>
      <c r="AF372" s="425" t="str">
        <f t="shared" si="12"/>
        <v/>
      </c>
      <c r="AG372" s="426" t="str">
        <f t="shared" si="13"/>
        <v/>
      </c>
      <c r="AH372" s="410" t="str">
        <f>IF('Antal &amp; Längder (vikter)'!B66&lt;&gt;"",'Antal &amp; Längder (vikter)'!B66,"XX")</f>
        <v>XX</v>
      </c>
      <c r="AI372" s="405">
        <f>IF('Antal &amp; Längder (vikter)'!C$56="Vikt (g)",IF('Antal &amp; Längder (vikter)'!C66&lt;&gt;"",'Antal &amp; Längder (vikter)'!C66,-9),-9)</f>
        <v>-9</v>
      </c>
    </row>
    <row r="373" spans="6:35" ht="15" x14ac:dyDescent="0.25">
      <c r="F373" s="199">
        <f>COUNTIF(J$113:J373,J373)</f>
        <v>14</v>
      </c>
      <c r="G373" t="s">
        <v>419</v>
      </c>
      <c r="H373" s="330">
        <v>2460</v>
      </c>
      <c r="I373" s="330">
        <v>24</v>
      </c>
      <c r="J373" t="s">
        <v>142</v>
      </c>
      <c r="K373" s="143"/>
      <c r="L373" s="220" t="str">
        <f>IF(Protokoll!I$1&lt;&gt;"",IF(N372=N$113,IF(AND(DMAX(F$113:J$403,F$113,O372:O373)&gt;COUNTA(L$111:L372)-2,DCOUNTA(F$113:J$403,G$113,N372:O373)=1),DGET(F$113:J$403,G$113,N372:O373),""),IF(AND(DMAX(F$113:J$403,F$113,Q372:Q373)&gt;COUNTA(L$111:L372)-2,DCOUNTA(F$113:J$403,G$113,P372:Q373)=1),DGET(F$113:J$403,G$113,P372:Q373),"")),G373)</f>
        <v/>
      </c>
      <c r="M373" s="143"/>
      <c r="N373" s="221" t="str">
        <f>IF(N372=N$113,IF(COUNT(N$113:Q372)&lt;DMAX(F$113:J$403,F$113,O372:O373),COUNT(N$113:Q372)+1,""),IF(COUNT(N$113:Q372)&lt;DMAX(F$113:J$403,F$113,Q372:Q373),N$113,""))</f>
        <v/>
      </c>
      <c r="O373" s="222" t="str">
        <f>IF(O372=O$113,IF(COUNTA(L$111:L372)-2&lt;DMAX(F$113:J$403,F$113,Q371:Q372),Protokoll!I$1,""),IF(O372&lt;&gt;"",IF(COUNTA(L$111:L372)-1&lt;DMAX(F$113:J$403,F$113,O371:O372),O$113,""),""))</f>
        <v/>
      </c>
      <c r="P373" s="223" t="str">
        <f>IF(N372=N$113,IF(COUNT(N$113:Q372)&lt;DMAX(F$113:J$403,F$113,O372:O373),N$113,""),IF(COUNT(N$113:Q372)&lt;DMAX(F$113:J$403,F$113,Q372:Q373),COUNT(N$113:Q372)+1,""))</f>
        <v/>
      </c>
      <c r="Q373" s="199" t="str">
        <f>IF(O372=O$113,IF(COUNTA(L$111:L372)-2&lt;DMAX(F$113:J$403,F$113,Q371:Q372),O$113,""),IF(Q372&lt;&gt;"",IF(COUNTA(L$111:L372)-2&lt;DMAX(F$113:J$403,F$113,O371:O372),Protokoll!I$1,""),""))</f>
        <v/>
      </c>
      <c r="T373" s="331" t="str">
        <f>IF(OR(Protokoll!$X$5&lt;&gt;"",Lokalbeskrivn!$M$4&lt;&gt;""),"",U373)</f>
        <v/>
      </c>
      <c r="U373" s="330" t="s">
        <v>1175</v>
      </c>
      <c r="Y373" s="572" t="s">
        <v>2167</v>
      </c>
      <c r="Z373" s="572" t="s">
        <v>2168</v>
      </c>
      <c r="AB373" s="480" t="str">
        <f>IF(AND(ISNUMBER(AH373),AH373&gt;0),IF(MAX(AB$3:AB372)&gt;0,MAX(AB$3:AB372)+1,10+COUNTIF(F$38:F$49,"&gt;0")*10+1),"")</f>
        <v/>
      </c>
      <c r="AC373" s="433" t="str">
        <f>IF(AND(AH373&lt;&gt;"",AG373&lt;&gt;"",AI373&gt;0,AH373&gt;0),MAX(AC$2:AC372)+1,"XX")</f>
        <v>XX</v>
      </c>
      <c r="AD373" s="429" t="str">
        <f>IF('Antal &amp; Längder (vikter)'!$C$53&lt;&gt;"",'Antal &amp; Längder (vikter)'!$C$53,"XX")</f>
        <v>XX</v>
      </c>
      <c r="AE373" s="419" t="str">
        <f>IF(AND('Antal &amp; Längder (vikter)'!B$55&lt;&gt;"",ISNUMBER($AH373)),'Antal &amp; Längder (vikter)'!B$55,"")</f>
        <v/>
      </c>
      <c r="AF373" s="425" t="str">
        <f t="shared" si="12"/>
        <v/>
      </c>
      <c r="AG373" s="426" t="str">
        <f t="shared" si="13"/>
        <v/>
      </c>
      <c r="AH373" s="409" t="str">
        <f>IF('Antal &amp; Längder (vikter)'!C$56="Längd (mm)",IF('Antal &amp; Längder (vikter)'!C57&lt;&gt;"",'Antal &amp; Längder (vikter)'!C57,"XX"),"XX")</f>
        <v>XX</v>
      </c>
      <c r="AI373" s="158">
        <v>-9</v>
      </c>
    </row>
    <row r="374" spans="6:35" ht="15" x14ac:dyDescent="0.25">
      <c r="F374" s="199">
        <f>COUNTIF(J$113:J374,J374)</f>
        <v>25</v>
      </c>
      <c r="G374" t="s">
        <v>420</v>
      </c>
      <c r="H374" s="330">
        <v>120</v>
      </c>
      <c r="I374" s="330">
        <v>1</v>
      </c>
      <c r="J374" t="s">
        <v>136</v>
      </c>
      <c r="K374" s="143"/>
      <c r="L374" s="220" t="str">
        <f>IF(Protokoll!I$1&lt;&gt;"",IF(N373=N$113,IF(AND(DMAX(F$113:J$403,F$113,O373:O374)&gt;COUNTA(L$111:L373)-2,DCOUNTA(F$113:J$403,G$113,N373:O374)=1),DGET(F$113:J$403,G$113,N373:O374),""),IF(AND(DMAX(F$113:J$403,F$113,Q373:Q374)&gt;COUNTA(L$111:L373)-2,DCOUNTA(F$113:J$403,G$113,P373:Q374)=1),DGET(F$113:J$403,G$113,P373:Q374),"")),G374)</f>
        <v/>
      </c>
      <c r="M374" s="143"/>
      <c r="N374" s="221" t="str">
        <f>IF(N373=N$113,IF(COUNT(N$113:Q373)&lt;DMAX(F$113:J$403,F$113,O373:O374),COUNT(N$113:Q373)+1,""),IF(COUNT(N$113:Q373)&lt;DMAX(F$113:J$403,F$113,Q373:Q374),N$113,""))</f>
        <v/>
      </c>
      <c r="O374" s="222" t="str">
        <f>IF(O373=O$113,IF(COUNTA(L$111:L373)-2&lt;DMAX(F$113:J$403,F$113,Q372:Q373),Protokoll!I$1,""),IF(O373&lt;&gt;"",IF(COUNTA(L$111:L373)-1&lt;DMAX(F$113:J$403,F$113,O372:O373),O$113,""),""))</f>
        <v/>
      </c>
      <c r="P374" s="223" t="str">
        <f>IF(N373=N$113,IF(COUNT(N$113:Q373)&lt;DMAX(F$113:J$403,F$113,O373:O374),N$113,""),IF(COUNT(N$113:Q373)&lt;DMAX(F$113:J$403,F$113,Q373:Q374),COUNT(N$113:Q373)+1,""))</f>
        <v/>
      </c>
      <c r="Q374" s="199" t="str">
        <f>IF(O373=O$113,IF(COUNTA(L$111:L373)-2&lt;DMAX(F$113:J$403,F$113,Q372:Q373),O$113,""),IF(Q373&lt;&gt;"",IF(COUNTA(L$111:L373)-2&lt;DMAX(F$113:J$403,F$113,O372:O373),Protokoll!I$1,""),""))</f>
        <v/>
      </c>
      <c r="T374" s="331" t="str">
        <f>IF(OR(Protokoll!$X$5&lt;&gt;"",Lokalbeskrivn!$M$4&lt;&gt;""),"",U374)</f>
        <v/>
      </c>
      <c r="U374" s="330" t="s">
        <v>1177</v>
      </c>
      <c r="Y374" s="572" t="s">
        <v>2492</v>
      </c>
      <c r="Z374" s="572" t="s">
        <v>2493</v>
      </c>
      <c r="AB374" s="476" t="str">
        <f>IF(COUNT(AB373:AB373)&gt;0,MAX(AB373:AB373)+1,"")</f>
        <v/>
      </c>
      <c r="AC374" s="433" t="str">
        <f>IF(AND(AH374&lt;&gt;"",AG374&lt;&gt;"",AI374&gt;0,AH374&gt;0),MAX(AC$2:AC373)+1,"XX")</f>
        <v>XX</v>
      </c>
      <c r="AD374" s="429" t="str">
        <f>IF('Antal &amp; Längder (vikter)'!$C$53&lt;&gt;"",'Antal &amp; Längder (vikter)'!$C$53,"XX")</f>
        <v>XX</v>
      </c>
      <c r="AE374" s="419" t="str">
        <f>IF(AND('Antal &amp; Längder (vikter)'!B$55&lt;&gt;"",ISNUMBER($AH374)),'Antal &amp; Längder (vikter)'!B$55,"")</f>
        <v/>
      </c>
      <c r="AF374" s="425" t="str">
        <f t="shared" si="12"/>
        <v/>
      </c>
      <c r="AG374" s="426" t="str">
        <f t="shared" si="13"/>
        <v/>
      </c>
      <c r="AH374" s="409" t="str">
        <f>IF('Antal &amp; Längder (vikter)'!C$56="Längd (mm)",IF('Antal &amp; Längder (vikter)'!C58&lt;&gt;"",'Antal &amp; Längder (vikter)'!C58,"XX"),"XX")</f>
        <v>XX</v>
      </c>
      <c r="AI374" s="158">
        <v>-9</v>
      </c>
    </row>
    <row r="375" spans="6:35" ht="15" x14ac:dyDescent="0.25">
      <c r="F375" s="199">
        <f>COUNTIF(J$113:J375,J375)</f>
        <v>13</v>
      </c>
      <c r="G375" t="s">
        <v>421</v>
      </c>
      <c r="H375" s="330">
        <v>683</v>
      </c>
      <c r="I375" s="330">
        <v>6</v>
      </c>
      <c r="J375" t="s">
        <v>122</v>
      </c>
      <c r="K375" s="143"/>
      <c r="L375" s="220" t="str">
        <f>IF(Protokoll!I$1&lt;&gt;"",IF(N374=N$113,IF(AND(DMAX(F$113:J$403,F$113,O374:O375)&gt;COUNTA(L$111:L374)-2,DCOUNTA(F$113:J$403,G$113,N374:O375)=1),DGET(F$113:J$403,G$113,N374:O375),""),IF(AND(DMAX(F$113:J$403,F$113,Q374:Q375)&gt;COUNTA(L$111:L374)-2,DCOUNTA(F$113:J$403,G$113,P374:Q375)=1),DGET(F$113:J$403,G$113,P374:Q375),"")),G375)</f>
        <v/>
      </c>
      <c r="M375" s="143"/>
      <c r="N375" s="221" t="str">
        <f>IF(N374=N$113,IF(COUNT(N$113:Q374)&lt;DMAX(F$113:J$403,F$113,O374:O375),COUNT(N$113:Q374)+1,""),IF(COUNT(N$113:Q374)&lt;DMAX(F$113:J$403,F$113,Q374:Q375),N$113,""))</f>
        <v/>
      </c>
      <c r="O375" s="222" t="str">
        <f>IF(O374=O$113,IF(COUNTA(L$111:L374)-2&lt;DMAX(F$113:J$403,F$113,Q373:Q374),Protokoll!I$1,""),IF(O374&lt;&gt;"",IF(COUNTA(L$111:L374)-1&lt;DMAX(F$113:J$403,F$113,O373:O374),O$113,""),""))</f>
        <v/>
      </c>
      <c r="P375" s="223" t="str">
        <f>IF(N374=N$113,IF(COUNT(N$113:Q374)&lt;DMAX(F$113:J$403,F$113,O374:O375),N$113,""),IF(COUNT(N$113:Q374)&lt;DMAX(F$113:J$403,F$113,Q374:Q375),COUNT(N$113:Q374)+1,""))</f>
        <v/>
      </c>
      <c r="Q375" s="199" t="str">
        <f>IF(O374=O$113,IF(COUNTA(L$111:L374)-2&lt;DMAX(F$113:J$403,F$113,Q373:Q374),O$113,""),IF(Q374&lt;&gt;"",IF(COUNTA(L$111:L374)-2&lt;DMAX(F$113:J$403,F$113,O373:O374),Protokoll!I$1,""),""))</f>
        <v/>
      </c>
      <c r="T375" s="331" t="str">
        <f>IF(OR(Protokoll!$X$5&lt;&gt;"",Lokalbeskrivn!$M$4&lt;&gt;""),"",U375)</f>
        <v/>
      </c>
      <c r="U375" s="330" t="s">
        <v>1179</v>
      </c>
      <c r="Y375" s="572" t="s">
        <v>2268</v>
      </c>
      <c r="Z375" s="572" t="s">
        <v>2269</v>
      </c>
      <c r="AB375" s="477" t="str">
        <f>IF(COUNT(AB373:AB374)&gt;0,MAX(AB373:AB374)+1,"")</f>
        <v/>
      </c>
      <c r="AC375" s="433" t="str">
        <f>IF(AND(AH375&lt;&gt;"",AG375&lt;&gt;"",AI375&gt;0,AH375&gt;0),MAX(AC$2:AC374)+1,"XX")</f>
        <v>XX</v>
      </c>
      <c r="AD375" s="429" t="str">
        <f>IF('Antal &amp; Längder (vikter)'!$C$53&lt;&gt;"",'Antal &amp; Längder (vikter)'!$C$53,"XX")</f>
        <v>XX</v>
      </c>
      <c r="AE375" s="419" t="str">
        <f>IF(AND('Antal &amp; Längder (vikter)'!B$55&lt;&gt;"",ISNUMBER($AH375)),'Antal &amp; Längder (vikter)'!B$55,"")</f>
        <v/>
      </c>
      <c r="AF375" s="425" t="str">
        <f t="shared" si="12"/>
        <v/>
      </c>
      <c r="AG375" s="426" t="str">
        <f t="shared" si="13"/>
        <v/>
      </c>
      <c r="AH375" s="409" t="str">
        <f>IF('Antal &amp; Längder (vikter)'!C$56="Längd (mm)",IF('Antal &amp; Längder (vikter)'!C59&lt;&gt;"",'Antal &amp; Längder (vikter)'!C59,"XX"),"XX")</f>
        <v>XX</v>
      </c>
      <c r="AI375" s="158">
        <v>-9</v>
      </c>
    </row>
    <row r="376" spans="6:35" ht="15" x14ac:dyDescent="0.25">
      <c r="F376" s="199">
        <f>COUNTIF(J$113:J376,J376)</f>
        <v>12</v>
      </c>
      <c r="G376" t="s">
        <v>422</v>
      </c>
      <c r="H376" s="330">
        <v>883</v>
      </c>
      <c r="I376" s="330">
        <v>8</v>
      </c>
      <c r="J376" t="s">
        <v>128</v>
      </c>
      <c r="K376" s="143"/>
      <c r="L376" s="220" t="str">
        <f>IF(Protokoll!I$1&lt;&gt;"",IF(N375=N$113,IF(AND(DMAX(F$113:J$403,F$113,O375:O376)&gt;COUNTA(L$111:L375)-2,DCOUNTA(F$113:J$403,G$113,N375:O376)=1),DGET(F$113:J$403,G$113,N375:O376),""),IF(AND(DMAX(F$113:J$403,F$113,Q375:Q376)&gt;COUNTA(L$111:L375)-2,DCOUNTA(F$113:J$403,G$113,P375:Q376)=1),DGET(F$113:J$403,G$113,P375:Q376),"")),G376)</f>
        <v/>
      </c>
      <c r="M376" s="143"/>
      <c r="N376" s="221" t="str">
        <f>IF(N375=N$113,IF(COUNT(N$113:Q375)&lt;DMAX(F$113:J$403,F$113,O375:O376),COUNT(N$113:Q375)+1,""),IF(COUNT(N$113:Q375)&lt;DMAX(F$113:J$403,F$113,Q375:Q376),N$113,""))</f>
        <v/>
      </c>
      <c r="O376" s="222" t="str">
        <f>IF(O375=O$113,IF(COUNTA(L$111:L375)-2&lt;DMAX(F$113:J$403,F$113,Q374:Q375),Protokoll!I$1,""),IF(O375&lt;&gt;"",IF(COUNTA(L$111:L375)-1&lt;DMAX(F$113:J$403,F$113,O374:O375),O$113,""),""))</f>
        <v/>
      </c>
      <c r="P376" s="223" t="str">
        <f>IF(N375=N$113,IF(COUNT(N$113:Q375)&lt;DMAX(F$113:J$403,F$113,O375:O376),N$113,""),IF(COUNT(N$113:Q375)&lt;DMAX(F$113:J$403,F$113,Q375:Q376),COUNT(N$113:Q375)+1,""))</f>
        <v/>
      </c>
      <c r="Q376" s="199" t="str">
        <f>IF(O375=O$113,IF(COUNTA(L$111:L375)-2&lt;DMAX(F$113:J$403,F$113,Q374:Q375),O$113,""),IF(Q375&lt;&gt;"",IF(COUNTA(L$111:L375)-2&lt;DMAX(F$113:J$403,F$113,O374:O375),Protokoll!I$1,""),""))</f>
        <v/>
      </c>
      <c r="T376" s="331" t="str">
        <f>IF(OR(Protokoll!$X$5&lt;&gt;"",Lokalbeskrivn!$M$4&lt;&gt;""),"",U376)</f>
        <v/>
      </c>
      <c r="U376" s="330" t="s">
        <v>1181</v>
      </c>
      <c r="Y376" s="572" t="s">
        <v>2494</v>
      </c>
      <c r="Z376" s="572" t="s">
        <v>2495</v>
      </c>
      <c r="AB376" s="434" t="str">
        <f>IF(COUNT(AB373:AB375)&gt;0,MAX(AB373:AB375)+1,"")</f>
        <v/>
      </c>
      <c r="AC376" s="433" t="str">
        <f>IF(AND(AH376&lt;&gt;"",AG376&lt;&gt;"",AI376&gt;0,AH376&gt;0),MAX(AC$2:AC375)+1,"XX")</f>
        <v>XX</v>
      </c>
      <c r="AD376" s="429" t="str">
        <f>IF('Antal &amp; Längder (vikter)'!$C$53&lt;&gt;"",'Antal &amp; Längder (vikter)'!$C$53,"XX")</f>
        <v>XX</v>
      </c>
      <c r="AE376" s="419" t="str">
        <f>IF(AND('Antal &amp; Längder (vikter)'!B$55&lt;&gt;"",ISNUMBER($AH376)),'Antal &amp; Längder (vikter)'!B$55,"")</f>
        <v/>
      </c>
      <c r="AF376" s="425" t="str">
        <f t="shared" si="12"/>
        <v/>
      </c>
      <c r="AG376" s="426" t="str">
        <f t="shared" si="13"/>
        <v/>
      </c>
      <c r="AH376" s="409" t="str">
        <f>IF('Antal &amp; Längder (vikter)'!C$56="Längd (mm)",IF('Antal &amp; Längder (vikter)'!C60&lt;&gt;"",'Antal &amp; Längder (vikter)'!C60,"XX"),"XX")</f>
        <v>XX</v>
      </c>
      <c r="AI376" s="158">
        <v>-9</v>
      </c>
    </row>
    <row r="377" spans="6:35" ht="15" x14ac:dyDescent="0.25">
      <c r="F377" s="199">
        <f>COUNTIF(J$113:J377,J377)</f>
        <v>11</v>
      </c>
      <c r="G377" t="s">
        <v>423</v>
      </c>
      <c r="H377" s="330">
        <v>1980</v>
      </c>
      <c r="I377" s="330">
        <v>19</v>
      </c>
      <c r="J377" t="s">
        <v>125</v>
      </c>
      <c r="K377" s="143"/>
      <c r="L377" s="220" t="str">
        <f>IF(Protokoll!I$1&lt;&gt;"",IF(N376=N$113,IF(AND(DMAX(F$113:J$403,F$113,O376:O377)&gt;COUNTA(L$111:L376)-2,DCOUNTA(F$113:J$403,G$113,N376:O377)=1),DGET(F$113:J$403,G$113,N376:O377),""),IF(AND(DMAX(F$113:J$403,F$113,Q376:Q377)&gt;COUNTA(L$111:L376)-2,DCOUNTA(F$113:J$403,G$113,P376:Q377)=1),DGET(F$113:J$403,G$113,P376:Q377),"")),G377)</f>
        <v/>
      </c>
      <c r="M377" s="143"/>
      <c r="N377" s="221" t="str">
        <f>IF(N376=N$113,IF(COUNT(N$113:Q376)&lt;DMAX(F$113:J$403,F$113,O376:O377),COUNT(N$113:Q376)+1,""),IF(COUNT(N$113:Q376)&lt;DMAX(F$113:J$403,F$113,Q376:Q377),N$113,""))</f>
        <v/>
      </c>
      <c r="O377" s="222" t="str">
        <f>IF(O376=O$113,IF(COUNTA(L$111:L376)-2&lt;DMAX(F$113:J$403,F$113,Q375:Q376),Protokoll!I$1,""),IF(O376&lt;&gt;"",IF(COUNTA(L$111:L376)-1&lt;DMAX(F$113:J$403,F$113,O375:O376),O$113,""),""))</f>
        <v/>
      </c>
      <c r="P377" s="223" t="str">
        <f>IF(N376=N$113,IF(COUNT(N$113:Q376)&lt;DMAX(F$113:J$403,F$113,O376:O377),N$113,""),IF(COUNT(N$113:Q376)&lt;DMAX(F$113:J$403,F$113,Q376:Q377),COUNT(N$113:Q376)+1,""))</f>
        <v/>
      </c>
      <c r="Q377" s="199" t="str">
        <f>IF(O376=O$113,IF(COUNTA(L$111:L376)-2&lt;DMAX(F$113:J$403,F$113,Q375:Q376),O$113,""),IF(Q376&lt;&gt;"",IF(COUNTA(L$111:L376)-2&lt;DMAX(F$113:J$403,F$113,O375:O376),Protokoll!I$1,""),""))</f>
        <v/>
      </c>
      <c r="T377" s="331" t="str">
        <f>IF(OR(Protokoll!$X$5&lt;&gt;"",Lokalbeskrivn!$M$4&lt;&gt;""),"",U377)</f>
        <v/>
      </c>
      <c r="U377" s="330" t="s">
        <v>1183</v>
      </c>
      <c r="Y377" s="572" t="s">
        <v>1731</v>
      </c>
      <c r="Z377" s="572" t="s">
        <v>1732</v>
      </c>
      <c r="AB377" s="475" t="str">
        <f>IF(COUNT(AB373:AB376)&gt;0,MAX(AB373:AB376)+1,"")</f>
        <v/>
      </c>
      <c r="AC377" s="433" t="str">
        <f>IF(AND(AH377&lt;&gt;"",AG377&lt;&gt;"",AI377&gt;0,AH377&gt;0),MAX(AC$2:AC376)+1,"XX")</f>
        <v>XX</v>
      </c>
      <c r="AD377" s="429" t="str">
        <f>IF('Antal &amp; Längder (vikter)'!$C$53&lt;&gt;"",'Antal &amp; Längder (vikter)'!$C$53,"XX")</f>
        <v>XX</v>
      </c>
      <c r="AE377" s="419" t="str">
        <f>IF(AND('Antal &amp; Längder (vikter)'!B$55&lt;&gt;"",ISNUMBER($AH377)),'Antal &amp; Längder (vikter)'!B$55,"")</f>
        <v/>
      </c>
      <c r="AF377" s="425" t="str">
        <f t="shared" si="12"/>
        <v/>
      </c>
      <c r="AG377" s="426" t="str">
        <f t="shared" si="13"/>
        <v/>
      </c>
      <c r="AH377" s="409" t="str">
        <f>IF('Antal &amp; Längder (vikter)'!C$56="Längd (mm)",IF('Antal &amp; Längder (vikter)'!C61&lt;&gt;"",'Antal &amp; Längder (vikter)'!C61,"XX"),"XX")</f>
        <v>XX</v>
      </c>
      <c r="AI377" s="158">
        <v>-9</v>
      </c>
    </row>
    <row r="378" spans="6:35" ht="15" x14ac:dyDescent="0.25">
      <c r="F378" s="199">
        <f>COUNTIF(J$113:J378,J378)</f>
        <v>7</v>
      </c>
      <c r="G378" t="s">
        <v>424</v>
      </c>
      <c r="H378" s="330">
        <v>780</v>
      </c>
      <c r="I378" s="330">
        <v>7</v>
      </c>
      <c r="J378" t="s">
        <v>119</v>
      </c>
      <c r="K378" s="143"/>
      <c r="L378" s="220" t="str">
        <f>IF(Protokoll!I$1&lt;&gt;"",IF(N377=N$113,IF(AND(DMAX(F$113:J$403,F$113,O377:O378)&gt;COUNTA(L$111:L377)-2,DCOUNTA(F$113:J$403,G$113,N377:O378)=1),DGET(F$113:J$403,G$113,N377:O378),""),IF(AND(DMAX(F$113:J$403,F$113,Q377:Q378)&gt;COUNTA(L$111:L377)-2,DCOUNTA(F$113:J$403,G$113,P377:Q378)=1),DGET(F$113:J$403,G$113,P377:Q378),"")),G378)</f>
        <v/>
      </c>
      <c r="M378" s="143"/>
      <c r="N378" s="221" t="str">
        <f>IF(N377=N$113,IF(COUNT(N$113:Q377)&lt;DMAX(F$113:J$403,F$113,O377:O378),COUNT(N$113:Q377)+1,""),IF(COUNT(N$113:Q377)&lt;DMAX(F$113:J$403,F$113,Q377:Q378),N$113,""))</f>
        <v/>
      </c>
      <c r="O378" s="222" t="str">
        <f>IF(O377=O$113,IF(COUNTA(L$111:L377)-2&lt;DMAX(F$113:J$403,F$113,Q376:Q377),Protokoll!I$1,""),IF(O377&lt;&gt;"",IF(COUNTA(L$111:L377)-1&lt;DMAX(F$113:J$403,F$113,O376:O377),O$113,""),""))</f>
        <v/>
      </c>
      <c r="P378" s="223" t="str">
        <f>IF(N377=N$113,IF(COUNT(N$113:Q377)&lt;DMAX(F$113:J$403,F$113,O377:O378),N$113,""),IF(COUNT(N$113:Q377)&lt;DMAX(F$113:J$403,F$113,Q377:Q378),COUNT(N$113:Q377)+1,""))</f>
        <v/>
      </c>
      <c r="Q378" s="199" t="str">
        <f>IF(O377=O$113,IF(COUNTA(L$111:L377)-2&lt;DMAX(F$113:J$403,F$113,Q376:Q377),O$113,""),IF(Q377&lt;&gt;"",IF(COUNTA(L$111:L377)-2&lt;DMAX(F$113:J$403,F$113,O376:O377),Protokoll!I$1,""),""))</f>
        <v/>
      </c>
      <c r="T378" s="331" t="str">
        <f>IF(OR(Protokoll!$X$5&lt;&gt;"",Lokalbeskrivn!$M$4&lt;&gt;""),"",U378)</f>
        <v/>
      </c>
      <c r="U378" s="330" t="s">
        <v>1185</v>
      </c>
      <c r="Y378" s="572" t="s">
        <v>2270</v>
      </c>
      <c r="Z378" s="572" t="s">
        <v>2271</v>
      </c>
      <c r="AB378" s="471" t="str">
        <f>IF(COUNT(AB373:AB377)&gt;0,MAX(AB373:AB377)+1,"")</f>
        <v/>
      </c>
      <c r="AC378" s="433" t="str">
        <f>IF(AND(AH378&lt;&gt;"",AG378&lt;&gt;"",AI378&gt;0,AH378&gt;0),MAX(AC$2:AC377)+1,"XX")</f>
        <v>XX</v>
      </c>
      <c r="AD378" s="429" t="str">
        <f>IF('Antal &amp; Längder (vikter)'!$C$53&lt;&gt;"",'Antal &amp; Längder (vikter)'!$C$53,"XX")</f>
        <v>XX</v>
      </c>
      <c r="AE378" s="419" t="str">
        <f>IF(AND('Antal &amp; Längder (vikter)'!B$55&lt;&gt;"",ISNUMBER($AH378)),'Antal &amp; Längder (vikter)'!B$55,"")</f>
        <v/>
      </c>
      <c r="AF378" s="425" t="str">
        <f t="shared" si="12"/>
        <v/>
      </c>
      <c r="AG378" s="426" t="str">
        <f t="shared" si="13"/>
        <v/>
      </c>
      <c r="AH378" s="409" t="str">
        <f>IF('Antal &amp; Längder (vikter)'!C$56="Längd (mm)",IF('Antal &amp; Längder (vikter)'!C62&lt;&gt;"",'Antal &amp; Längder (vikter)'!C62,"XX"),"XX")</f>
        <v>XX</v>
      </c>
      <c r="AI378" s="158">
        <v>-9</v>
      </c>
    </row>
    <row r="379" spans="6:35" ht="15" x14ac:dyDescent="0.25">
      <c r="F379" s="199">
        <f>COUNTIF(J$113:J379,J379)</f>
        <v>11</v>
      </c>
      <c r="G379" t="s">
        <v>425</v>
      </c>
      <c r="H379" s="330">
        <v>512</v>
      </c>
      <c r="I379" s="330">
        <v>5</v>
      </c>
      <c r="J379" t="s">
        <v>150</v>
      </c>
      <c r="K379" s="143"/>
      <c r="L379" s="220" t="str">
        <f>IF(Protokoll!I$1&lt;&gt;"",IF(N378=N$113,IF(AND(DMAX(F$113:J$403,F$113,O378:O379)&gt;COUNTA(L$111:L378)-2,DCOUNTA(F$113:J$403,G$113,N378:O379)=1),DGET(F$113:J$403,G$113,N378:O379),""),IF(AND(DMAX(F$113:J$403,F$113,Q378:Q379)&gt;COUNTA(L$111:L378)-2,DCOUNTA(F$113:J$403,G$113,P378:Q379)=1),DGET(F$113:J$403,G$113,P378:Q379),"")),G379)</f>
        <v/>
      </c>
      <c r="M379" s="143"/>
      <c r="N379" s="221" t="str">
        <f>IF(N378=N$113,IF(COUNT(N$113:Q378)&lt;DMAX(F$113:J$403,F$113,O378:O379),COUNT(N$113:Q378)+1,""),IF(COUNT(N$113:Q378)&lt;DMAX(F$113:J$403,F$113,Q378:Q379),N$113,""))</f>
        <v/>
      </c>
      <c r="O379" s="222" t="str">
        <f>IF(O378=O$113,IF(COUNTA(L$111:L378)-2&lt;DMAX(F$113:J$403,F$113,Q377:Q378),Protokoll!I$1,""),IF(O378&lt;&gt;"",IF(COUNTA(L$111:L378)-1&lt;DMAX(F$113:J$403,F$113,O377:O378),O$113,""),""))</f>
        <v/>
      </c>
      <c r="P379" s="223" t="str">
        <f>IF(N378=N$113,IF(COUNT(N$113:Q378)&lt;DMAX(F$113:J$403,F$113,O378:O379),N$113,""),IF(COUNT(N$113:Q378)&lt;DMAX(F$113:J$403,F$113,Q378:Q379),COUNT(N$113:Q378)+1,""))</f>
        <v/>
      </c>
      <c r="Q379" s="199" t="str">
        <f>IF(O378=O$113,IF(COUNTA(L$111:L378)-2&lt;DMAX(F$113:J$403,F$113,Q377:Q378),O$113,""),IF(Q378&lt;&gt;"",IF(COUNTA(L$111:L378)-2&lt;DMAX(F$113:J$403,F$113,O377:O378),Protokoll!I$1,""),""))</f>
        <v/>
      </c>
      <c r="T379" s="331" t="str">
        <f>IF(OR(Protokoll!$X$5&lt;&gt;"",Lokalbeskrivn!$M$4&lt;&gt;""),"",U379)</f>
        <v/>
      </c>
      <c r="U379" s="330" t="s">
        <v>1187</v>
      </c>
      <c r="Y379" s="572" t="s">
        <v>2496</v>
      </c>
      <c r="Z379" s="572" t="s">
        <v>2497</v>
      </c>
      <c r="AB379" s="474" t="str">
        <f>IF(COUNT(AB373:AB378)&gt;0,MAX(AB373:AB378)+1,"")</f>
        <v/>
      </c>
      <c r="AC379" s="433" t="str">
        <f>IF(AND(AH379&lt;&gt;"",AG379&lt;&gt;"",AI379&gt;0,AH379&gt;0),MAX(AC$2:AC378)+1,"XX")</f>
        <v>XX</v>
      </c>
      <c r="AD379" s="429" t="str">
        <f>IF('Antal &amp; Längder (vikter)'!$C$53&lt;&gt;"",'Antal &amp; Längder (vikter)'!$C$53,"XX")</f>
        <v>XX</v>
      </c>
      <c r="AE379" s="419" t="str">
        <f>IF(AND('Antal &amp; Längder (vikter)'!B$55&lt;&gt;"",ISNUMBER($AH379)),'Antal &amp; Längder (vikter)'!B$55,"")</f>
        <v/>
      </c>
      <c r="AF379" s="425" t="str">
        <f t="shared" si="12"/>
        <v/>
      </c>
      <c r="AG379" s="426" t="str">
        <f t="shared" si="13"/>
        <v/>
      </c>
      <c r="AH379" s="409" t="str">
        <f>IF('Antal &amp; Längder (vikter)'!C$56="Längd (mm)",IF('Antal &amp; Längder (vikter)'!C63&lt;&gt;"",'Antal &amp; Längder (vikter)'!C63,"XX"),"XX")</f>
        <v>XX</v>
      </c>
      <c r="AI379" s="158">
        <v>-9</v>
      </c>
    </row>
    <row r="380" spans="6:35" ht="15" x14ac:dyDescent="0.25">
      <c r="F380" s="199">
        <f>COUNTIF(J$113:J380,J380)</f>
        <v>29</v>
      </c>
      <c r="G380" t="s">
        <v>426</v>
      </c>
      <c r="H380" s="330">
        <v>1286</v>
      </c>
      <c r="I380" s="330">
        <v>12</v>
      </c>
      <c r="J380" t="s">
        <v>134</v>
      </c>
      <c r="K380" s="143"/>
      <c r="L380" s="220" t="str">
        <f>IF(Protokoll!I$1&lt;&gt;"",IF(N379=N$113,IF(AND(DMAX(F$113:J$403,F$113,O379:O380)&gt;COUNTA(L$111:L379)-2,DCOUNTA(F$113:J$403,G$113,N379:O380)=1),DGET(F$113:J$403,G$113,N379:O380),""),IF(AND(DMAX(F$113:J$403,F$113,Q379:Q380)&gt;COUNTA(L$111:L379)-2,DCOUNTA(F$113:J$403,G$113,P379:Q380)=1),DGET(F$113:J$403,G$113,P379:Q380),"")),G380)</f>
        <v/>
      </c>
      <c r="M380" s="143"/>
      <c r="N380" s="221" t="str">
        <f>IF(N379=N$113,IF(COUNT(N$113:Q379)&lt;DMAX(F$113:J$403,F$113,O379:O380),COUNT(N$113:Q379)+1,""),IF(COUNT(N$113:Q379)&lt;DMAX(F$113:J$403,F$113,Q379:Q380),N$113,""))</f>
        <v/>
      </c>
      <c r="O380" s="222" t="str">
        <f>IF(O379=O$113,IF(COUNTA(L$111:L379)-2&lt;DMAX(F$113:J$403,F$113,Q378:Q379),Protokoll!I$1,""),IF(O379&lt;&gt;"",IF(COUNTA(L$111:L379)-1&lt;DMAX(F$113:J$403,F$113,O378:O379),O$113,""),""))</f>
        <v/>
      </c>
      <c r="P380" s="223" t="str">
        <f>IF(N379=N$113,IF(COUNT(N$113:Q379)&lt;DMAX(F$113:J$403,F$113,O379:O380),N$113,""),IF(COUNT(N$113:Q379)&lt;DMAX(F$113:J$403,F$113,Q379:Q380),COUNT(N$113:Q379)+1,""))</f>
        <v/>
      </c>
      <c r="Q380" s="199" t="str">
        <f>IF(O379=O$113,IF(COUNTA(L$111:L379)-2&lt;DMAX(F$113:J$403,F$113,Q378:Q379),O$113,""),IF(Q379&lt;&gt;"",IF(COUNTA(L$111:L379)-2&lt;DMAX(F$113:J$403,F$113,O378:O379),Protokoll!I$1,""),""))</f>
        <v/>
      </c>
      <c r="T380" s="331" t="str">
        <f>IF(OR(Protokoll!$X$5&lt;&gt;"",Lokalbeskrivn!$M$4&lt;&gt;""),"",U380)</f>
        <v/>
      </c>
      <c r="U380" s="330" t="s">
        <v>1189</v>
      </c>
      <c r="Y380" s="572" t="s">
        <v>1547</v>
      </c>
      <c r="Z380" s="572" t="s">
        <v>1548</v>
      </c>
      <c r="AB380" s="478" t="str">
        <f>IF(COUNT(AB373:AB379)&gt;0,MAX(AB373:AB379)+1,"")</f>
        <v/>
      </c>
      <c r="AC380" s="433" t="str">
        <f>IF(AND(AH380&lt;&gt;"",AG380&lt;&gt;"",AI380&gt;0,AH380&gt;0),MAX(AC$2:AC379)+1,"XX")</f>
        <v>XX</v>
      </c>
      <c r="AD380" s="429" t="str">
        <f>IF('Antal &amp; Längder (vikter)'!$C$53&lt;&gt;"",'Antal &amp; Längder (vikter)'!$C$53,"XX")</f>
        <v>XX</v>
      </c>
      <c r="AE380" s="419" t="str">
        <f>IF(AND('Antal &amp; Längder (vikter)'!B$55&lt;&gt;"",ISNUMBER($AH380)),'Antal &amp; Längder (vikter)'!B$55,"")</f>
        <v/>
      </c>
      <c r="AF380" s="425" t="str">
        <f t="shared" si="12"/>
        <v/>
      </c>
      <c r="AG380" s="426" t="str">
        <f t="shared" si="13"/>
        <v/>
      </c>
      <c r="AH380" s="409" t="str">
        <f>IF('Antal &amp; Längder (vikter)'!C$56="Längd (mm)",IF('Antal &amp; Längder (vikter)'!C64&lt;&gt;"",'Antal &amp; Längder (vikter)'!C64,"XX"),"XX")</f>
        <v>XX</v>
      </c>
      <c r="AI380" s="158">
        <v>-9</v>
      </c>
    </row>
    <row r="381" spans="6:35" ht="15" x14ac:dyDescent="0.25">
      <c r="F381" s="199">
        <f>COUNTIF(J$113:J381,J381)</f>
        <v>48</v>
      </c>
      <c r="G381" t="s">
        <v>427</v>
      </c>
      <c r="H381" s="330">
        <v>1492</v>
      </c>
      <c r="I381" s="330">
        <v>14</v>
      </c>
      <c r="J381" t="s">
        <v>114</v>
      </c>
      <c r="K381" s="143"/>
      <c r="L381" s="220" t="str">
        <f>IF(Protokoll!I$1&lt;&gt;"",IF(N380=N$113,IF(AND(DMAX(F$113:J$403,F$113,O380:O381)&gt;COUNTA(L$111:L380)-2,DCOUNTA(F$113:J$403,G$113,N380:O381)=1),DGET(F$113:J$403,G$113,N380:O381),""),IF(AND(DMAX(F$113:J$403,F$113,Q380:Q381)&gt;COUNTA(L$111:L380)-2,DCOUNTA(F$113:J$403,G$113,P380:Q381)=1),DGET(F$113:J$403,G$113,P380:Q381),"")),G381)</f>
        <v/>
      </c>
      <c r="M381" s="143"/>
      <c r="N381" s="221" t="str">
        <f>IF(N380=N$113,IF(COUNT(N$113:Q380)&lt;DMAX(F$113:J$403,F$113,O380:O381),COUNT(N$113:Q380)+1,""),IF(COUNT(N$113:Q380)&lt;DMAX(F$113:J$403,F$113,Q380:Q381),N$113,""))</f>
        <v/>
      </c>
      <c r="O381" s="222" t="str">
        <f>IF(O380=O$113,IF(COUNTA(L$111:L380)-2&lt;DMAX(F$113:J$403,F$113,Q379:Q380),Protokoll!I$1,""),IF(O380&lt;&gt;"",IF(COUNTA(L$111:L380)-1&lt;DMAX(F$113:J$403,F$113,O379:O380),O$113,""),""))</f>
        <v/>
      </c>
      <c r="P381" s="223" t="str">
        <f>IF(N380=N$113,IF(COUNT(N$113:Q380)&lt;DMAX(F$113:J$403,F$113,O380:O381),N$113,""),IF(COUNT(N$113:Q380)&lt;DMAX(F$113:J$403,F$113,Q380:Q381),COUNT(N$113:Q380)+1,""))</f>
        <v/>
      </c>
      <c r="Q381" s="199" t="str">
        <f>IF(O380=O$113,IF(COUNTA(L$111:L380)-2&lt;DMAX(F$113:J$403,F$113,Q379:Q380),O$113,""),IF(Q380&lt;&gt;"",IF(COUNTA(L$111:L380)-2&lt;DMAX(F$113:J$403,F$113,O379:O380),Protokoll!I$1,""),""))</f>
        <v/>
      </c>
      <c r="T381" s="331" t="str">
        <f>IF(OR(Protokoll!$X$5&lt;&gt;"",Lokalbeskrivn!$M$4&lt;&gt;""),"",U381)</f>
        <v/>
      </c>
      <c r="U381" s="330" t="s">
        <v>1191</v>
      </c>
      <c r="Y381" s="572" t="s">
        <v>1895</v>
      </c>
      <c r="Z381" s="572" t="s">
        <v>1896</v>
      </c>
      <c r="AB381" s="472" t="str">
        <f>IF(COUNT(AB373:AB380)&gt;0,MAX(AB373:AB380)+1,"")</f>
        <v/>
      </c>
      <c r="AC381" s="433" t="str">
        <f>IF(AND(AH381&lt;&gt;"",AG381&lt;&gt;"",AI381&gt;0,AH381&gt;0),MAX(AC$2:AC380)+1,"XX")</f>
        <v>XX</v>
      </c>
      <c r="AD381" s="429" t="str">
        <f>IF('Antal &amp; Längder (vikter)'!$C$53&lt;&gt;"",'Antal &amp; Längder (vikter)'!$C$53,"XX")</f>
        <v>XX</v>
      </c>
      <c r="AE381" s="419" t="str">
        <f>IF(AND('Antal &amp; Längder (vikter)'!B$55&lt;&gt;"",ISNUMBER($AH381)),'Antal &amp; Längder (vikter)'!B$55,"")</f>
        <v/>
      </c>
      <c r="AF381" s="425" t="str">
        <f t="shared" si="12"/>
        <v/>
      </c>
      <c r="AG381" s="426" t="str">
        <f t="shared" si="13"/>
        <v/>
      </c>
      <c r="AH381" s="409" t="str">
        <f>IF('Antal &amp; Längder (vikter)'!C$56="Längd (mm)",IF('Antal &amp; Längder (vikter)'!C65&lt;&gt;"",'Antal &amp; Längder (vikter)'!C65,"XX"),"XX")</f>
        <v>XX</v>
      </c>
      <c r="AI381" s="158">
        <v>-9</v>
      </c>
    </row>
    <row r="382" spans="6:35" ht="15" x14ac:dyDescent="0.25">
      <c r="F382" s="199">
        <f>COUNTIF(J$113:J382,J382)</f>
        <v>6</v>
      </c>
      <c r="G382" t="s">
        <v>428</v>
      </c>
      <c r="H382" s="330">
        <v>2260</v>
      </c>
      <c r="I382" s="330">
        <v>22</v>
      </c>
      <c r="J382" t="s">
        <v>145</v>
      </c>
      <c r="K382" s="143"/>
      <c r="L382" s="220" t="str">
        <f>IF(Protokoll!I$1&lt;&gt;"",IF(N381=N$113,IF(AND(DMAX(F$113:J$403,F$113,O381:O382)&gt;COUNTA(L$111:L381)-2,DCOUNTA(F$113:J$403,G$113,N381:O382)=1),DGET(F$113:J$403,G$113,N381:O382),""),IF(AND(DMAX(F$113:J$403,F$113,Q381:Q382)&gt;COUNTA(L$111:L381)-2,DCOUNTA(F$113:J$403,G$113,P381:Q382)=1),DGET(F$113:J$403,G$113,P381:Q382),"")),G382)</f>
        <v/>
      </c>
      <c r="M382" s="143"/>
      <c r="N382" s="221" t="str">
        <f>IF(N381=N$113,IF(COUNT(N$113:Q381)&lt;DMAX(F$113:J$403,F$113,O381:O382),COUNT(N$113:Q381)+1,""),IF(COUNT(N$113:Q381)&lt;DMAX(F$113:J$403,F$113,Q381:Q382),N$113,""))</f>
        <v/>
      </c>
      <c r="O382" s="222" t="str">
        <f>IF(O381=O$113,IF(COUNTA(L$111:L381)-2&lt;DMAX(F$113:J$403,F$113,Q380:Q381),Protokoll!I$1,""),IF(O381&lt;&gt;"",IF(COUNTA(L$111:L381)-1&lt;DMAX(F$113:J$403,F$113,O380:O381),O$113,""),""))</f>
        <v/>
      </c>
      <c r="P382" s="223" t="str">
        <f>IF(N381=N$113,IF(COUNT(N$113:Q381)&lt;DMAX(F$113:J$403,F$113,O381:O382),N$113,""),IF(COUNT(N$113:Q381)&lt;DMAX(F$113:J$403,F$113,Q381:Q382),COUNT(N$113:Q381)+1,""))</f>
        <v/>
      </c>
      <c r="Q382" s="199" t="str">
        <f>IF(O381=O$113,IF(COUNTA(L$111:L381)-2&lt;DMAX(F$113:J$403,F$113,Q380:Q381),O$113,""),IF(Q381&lt;&gt;"",IF(COUNTA(L$111:L381)-2&lt;DMAX(F$113:J$403,F$113,O380:O381),Protokoll!I$1,""),""))</f>
        <v/>
      </c>
      <c r="T382" s="331" t="str">
        <f>IF(OR(Protokoll!$X$5&lt;&gt;"",Lokalbeskrivn!$M$4&lt;&gt;""),"",U382)</f>
        <v/>
      </c>
      <c r="U382" s="330" t="s">
        <v>1193</v>
      </c>
      <c r="Y382" s="572" t="s">
        <v>1530</v>
      </c>
      <c r="Z382" s="572" t="s">
        <v>1531</v>
      </c>
      <c r="AB382" s="479" t="str">
        <f>IF(COUNT(AB373:AB381)&gt;0,MAX(AB373:AB381)+1,"")</f>
        <v/>
      </c>
      <c r="AC382" s="433" t="str">
        <f>IF(AND(AH382&lt;&gt;"",AG382&lt;&gt;"",AI382&gt;0,AH382&gt;0),MAX(AC$2:AC381)+1,"XX")</f>
        <v>XX</v>
      </c>
      <c r="AD382" s="429" t="str">
        <f>IF('Antal &amp; Längder (vikter)'!$C$53&lt;&gt;"",'Antal &amp; Längder (vikter)'!$C$53,"XX")</f>
        <v>XX</v>
      </c>
      <c r="AE382" s="419" t="str">
        <f>IF(AND('Antal &amp; Längder (vikter)'!B$55&lt;&gt;"",ISNUMBER($AH382)),'Antal &amp; Längder (vikter)'!B$55,"")</f>
        <v/>
      </c>
      <c r="AF382" s="425" t="str">
        <f t="shared" si="12"/>
        <v/>
      </c>
      <c r="AG382" s="426" t="str">
        <f t="shared" si="13"/>
        <v/>
      </c>
      <c r="AH382" s="409" t="str">
        <f>IF('Antal &amp; Längder (vikter)'!C$56="Längd (mm)",IF('Antal &amp; Längder (vikter)'!C66&lt;&gt;"",'Antal &amp; Längder (vikter)'!C66,"XX"),"XX")</f>
        <v>XX</v>
      </c>
      <c r="AI382" s="158">
        <v>-9</v>
      </c>
    </row>
    <row r="383" spans="6:35" x14ac:dyDescent="0.25">
      <c r="F383" s="199">
        <f>COUNTIF(J$113:J383,J383)</f>
        <v>7</v>
      </c>
      <c r="G383" t="s">
        <v>429</v>
      </c>
      <c r="H383" s="330">
        <v>2321</v>
      </c>
      <c r="I383" s="330">
        <v>23</v>
      </c>
      <c r="J383" t="s">
        <v>123</v>
      </c>
      <c r="K383" s="143"/>
      <c r="L383" s="220" t="str">
        <f>IF(Protokoll!I$1&lt;&gt;"",IF(N382=N$113,IF(AND(DMAX(F$113:J$403,F$113,O382:O383)&gt;COUNTA(L$111:L382)-2,DCOUNTA(F$113:J$403,G$113,N382:O383)=1),DGET(F$113:J$403,G$113,N382:O383),""),IF(AND(DMAX(F$113:J$403,F$113,Q382:Q383)&gt;COUNTA(L$111:L382)-2,DCOUNTA(F$113:J$403,G$113,P382:Q383)=1),DGET(F$113:J$403,G$113,P382:Q383),"")),G383)</f>
        <v/>
      </c>
      <c r="M383" s="143"/>
      <c r="N383" s="221" t="str">
        <f>IF(N382=N$113,IF(COUNT(N$113:Q382)&lt;DMAX(F$113:J$403,F$113,O382:O383),COUNT(N$113:Q382)+1,""),IF(COUNT(N$113:Q382)&lt;DMAX(F$113:J$403,F$113,Q382:Q383),N$113,""))</f>
        <v/>
      </c>
      <c r="O383" s="222" t="str">
        <f>IF(O382=O$113,IF(COUNTA(L$111:L382)-2&lt;DMAX(F$113:J$403,F$113,Q381:Q382),Protokoll!I$1,""),IF(O382&lt;&gt;"",IF(COUNTA(L$111:L382)-1&lt;DMAX(F$113:J$403,F$113,O381:O382),O$113,""),""))</f>
        <v/>
      </c>
      <c r="P383" s="223" t="str">
        <f>IF(N382=N$113,IF(COUNT(N$113:Q382)&lt;DMAX(F$113:J$403,F$113,O382:O383),N$113,""),IF(COUNT(N$113:Q382)&lt;DMAX(F$113:J$403,F$113,Q382:Q383),COUNT(N$113:Q382)+1,""))</f>
        <v/>
      </c>
      <c r="Q383" s="199" t="str">
        <f>IF(O382=O$113,IF(COUNTA(L$111:L382)-2&lt;DMAX(F$113:J$403,F$113,Q381:Q382),O$113,""),IF(Q382&lt;&gt;"",IF(COUNTA(L$111:L382)-2&lt;DMAX(F$113:J$403,F$113,O381:O382),Protokoll!I$1,""),""))</f>
        <v/>
      </c>
      <c r="T383" s="331" t="str">
        <f>IF(OR(Protokoll!$X$5&lt;&gt;"",Lokalbeskrivn!$M$4&lt;&gt;""),"",U383)</f>
        <v/>
      </c>
      <c r="U383" s="330" t="s">
        <v>1195</v>
      </c>
      <c r="Y383" s="572" t="s">
        <v>2243</v>
      </c>
      <c r="Z383" s="572" t="s">
        <v>2244</v>
      </c>
      <c r="AB383" s="480" t="str">
        <f>IF(AND(ISNUMBER(AH383),AH383&gt;0),IF(MAX(AB$3:AB382)&gt;0,MAX(AB$3:AB382)+1,10+COUNTIF(F$38:F$49,"&gt;0")*10+1),"")</f>
        <v/>
      </c>
      <c r="AC383" s="433" t="str">
        <f>IF(AND(AH383&lt;&gt;"",AG383&lt;&gt;"",AI383&gt;0,AH383&gt;0),MAX(AC$2:AC382)+1,"XX")</f>
        <v>XX</v>
      </c>
      <c r="AD383" s="429" t="str">
        <f>IF('Antal &amp; Längder (vikter)'!$C$53&lt;&gt;"",'Antal &amp; Längder (vikter)'!$C$53,"XX")</f>
        <v>XX</v>
      </c>
      <c r="AE383" s="420" t="str">
        <f>IF(AND('Antal &amp; Längder (vikter)'!D$55&lt;&gt;"",ISNUMBER($AH383)),'Antal &amp; Längder (vikter)'!D$55,"")</f>
        <v/>
      </c>
      <c r="AF383" s="425" t="str">
        <f t="shared" si="12"/>
        <v/>
      </c>
      <c r="AG383" s="426" t="str">
        <f t="shared" si="13"/>
        <v/>
      </c>
      <c r="AH383" s="410" t="str">
        <f>IF('Antal &amp; Längder (vikter)'!D57&lt;&gt;"",'Antal &amp; Längder (vikter)'!D57,"XX")</f>
        <v>XX</v>
      </c>
      <c r="AI383" s="405">
        <f>IF('Antal &amp; Längder (vikter)'!E$56="Vikt (g)",IF('Antal &amp; Längder (vikter)'!E57&lt;&gt;"",'Antal &amp; Längder (vikter)'!E57,-9),-9)</f>
        <v>-9</v>
      </c>
    </row>
    <row r="384" spans="6:35" x14ac:dyDescent="0.25">
      <c r="F384" s="199">
        <f>COUNTIF(J$113:J384,J384)</f>
        <v>16</v>
      </c>
      <c r="G384" t="s">
        <v>391</v>
      </c>
      <c r="H384" s="330">
        <v>1765</v>
      </c>
      <c r="I384" s="330">
        <v>17</v>
      </c>
      <c r="J384" t="s">
        <v>131</v>
      </c>
      <c r="K384" s="143"/>
      <c r="L384" s="220" t="str">
        <f>IF(Protokoll!I$1&lt;&gt;"",IF(N383=N$113,IF(AND(DMAX(F$113:J$403,F$113,O383:O384)&gt;COUNTA(L$111:L383)-2,DCOUNTA(F$113:J$403,G$113,N383:O384)=1),DGET(F$113:J$403,G$113,N383:O384),""),IF(AND(DMAX(F$113:J$403,F$113,Q383:Q384)&gt;COUNTA(L$111:L383)-2,DCOUNTA(F$113:J$403,G$113,P383:Q384)=1),DGET(F$113:J$403,G$113,P383:Q384),"")),G384)</f>
        <v/>
      </c>
      <c r="M384" s="143"/>
      <c r="N384" s="221" t="str">
        <f>IF(N383=N$113,IF(COUNT(N$113:Q383)&lt;DMAX(F$113:J$403,F$113,O383:O384),COUNT(N$113:Q383)+1,""),IF(COUNT(N$113:Q383)&lt;DMAX(F$113:J$403,F$113,Q383:Q384),N$113,""))</f>
        <v/>
      </c>
      <c r="O384" s="222" t="str">
        <f>IF(O383=O$113,IF(COUNTA(L$111:L383)-2&lt;DMAX(F$113:J$403,F$113,Q382:Q383),Protokoll!I$1,""),IF(O383&lt;&gt;"",IF(COUNTA(L$111:L383)-1&lt;DMAX(F$113:J$403,F$113,O382:O383),O$113,""),""))</f>
        <v/>
      </c>
      <c r="P384" s="223" t="str">
        <f>IF(N383=N$113,IF(COUNT(N$113:Q383)&lt;DMAX(F$113:J$403,F$113,O383:O384),N$113,""),IF(COUNT(N$113:Q383)&lt;DMAX(F$113:J$403,F$113,Q383:Q384),COUNT(N$113:Q383)+1,""))</f>
        <v/>
      </c>
      <c r="Q384" s="199" t="str">
        <f>IF(O383=O$113,IF(COUNTA(L$111:L383)-2&lt;DMAX(F$113:J$403,F$113,Q382:Q383),O$113,""),IF(Q383&lt;&gt;"",IF(COUNTA(L$111:L383)-2&lt;DMAX(F$113:J$403,F$113,O382:O383),Protokoll!I$1,""),""))</f>
        <v/>
      </c>
      <c r="T384" s="331" t="str">
        <f>IF(OR(Protokoll!$X$5&lt;&gt;"",Lokalbeskrivn!$M$4&lt;&gt;""),"",U384)</f>
        <v/>
      </c>
      <c r="U384" s="330" t="s">
        <v>1197</v>
      </c>
      <c r="Y384" s="572" t="s">
        <v>2149</v>
      </c>
      <c r="Z384" s="572" t="s">
        <v>2150</v>
      </c>
      <c r="AB384" s="476" t="str">
        <f>IF(COUNT(AB383:AB383)&gt;0,MAX(AB383:AB383)+1,"")</f>
        <v/>
      </c>
      <c r="AC384" s="433" t="str">
        <f>IF(AND(AH384&lt;&gt;"",AG384&lt;&gt;"",AI384&gt;0,AH384&gt;0),MAX(AC$2:AC383)+1,"XX")</f>
        <v>XX</v>
      </c>
      <c r="AD384" s="429" t="str">
        <f>IF('Antal &amp; Längder (vikter)'!$C$53&lt;&gt;"",'Antal &amp; Längder (vikter)'!$C$53,"XX")</f>
        <v>XX</v>
      </c>
      <c r="AE384" s="420" t="str">
        <f>IF(AND('Antal &amp; Längder (vikter)'!D$55&lt;&gt;"",ISNUMBER($AH384)),'Antal &amp; Längder (vikter)'!D$55,"")</f>
        <v/>
      </c>
      <c r="AF384" s="425" t="str">
        <f t="shared" si="12"/>
        <v/>
      </c>
      <c r="AG384" s="426" t="str">
        <f t="shared" si="13"/>
        <v/>
      </c>
      <c r="AH384" s="410" t="str">
        <f>IF('Antal &amp; Längder (vikter)'!D58&lt;&gt;"",'Antal &amp; Längder (vikter)'!D58,"XX")</f>
        <v>XX</v>
      </c>
      <c r="AI384" s="405">
        <f>IF('Antal &amp; Längder (vikter)'!E$56="Vikt (g)",IF('Antal &amp; Längder (vikter)'!E58&lt;&gt;"",'Antal &amp; Längder (vikter)'!E58,-9),-9)</f>
        <v>-9</v>
      </c>
    </row>
    <row r="385" spans="6:35" x14ac:dyDescent="0.25">
      <c r="F385" s="199">
        <f>COUNTIF(J$113:J385,J385)</f>
        <v>15</v>
      </c>
      <c r="G385" t="s">
        <v>430</v>
      </c>
      <c r="H385" s="330">
        <v>2463</v>
      </c>
      <c r="I385" s="330">
        <v>24</v>
      </c>
      <c r="J385" t="s">
        <v>142</v>
      </c>
      <c r="K385" s="143"/>
      <c r="L385" s="220" t="str">
        <f>IF(Protokoll!I$1&lt;&gt;"",IF(N384=N$113,IF(AND(DMAX(F$113:J$403,F$113,O384:O385)&gt;COUNTA(L$111:L384)-2,DCOUNTA(F$113:J$403,G$113,N384:O385)=1),DGET(F$113:J$403,G$113,N384:O385),""),IF(AND(DMAX(F$113:J$403,F$113,Q384:Q385)&gt;COUNTA(L$111:L384)-2,DCOUNTA(F$113:J$403,G$113,P384:Q385)=1),DGET(F$113:J$403,G$113,P384:Q385),"")),G385)</f>
        <v/>
      </c>
      <c r="M385" s="143"/>
      <c r="N385" s="221" t="str">
        <f>IF(N384=N$113,IF(COUNT(N$113:Q384)&lt;DMAX(F$113:J$403,F$113,O384:O385),COUNT(N$113:Q384)+1,""),IF(COUNT(N$113:Q384)&lt;DMAX(F$113:J$403,F$113,Q384:Q385),N$113,""))</f>
        <v/>
      </c>
      <c r="O385" s="222" t="str">
        <f>IF(O384=O$113,IF(COUNTA(L$111:L384)-2&lt;DMAX(F$113:J$403,F$113,Q383:Q384),Protokoll!I$1,""),IF(O384&lt;&gt;"",IF(COUNTA(L$111:L384)-1&lt;DMAX(F$113:J$403,F$113,O383:O384),O$113,""),""))</f>
        <v/>
      </c>
      <c r="P385" s="223" t="str">
        <f>IF(N384=N$113,IF(COUNT(N$113:Q384)&lt;DMAX(F$113:J$403,F$113,O384:O385),N$113,""),IF(COUNT(N$113:Q384)&lt;DMAX(F$113:J$403,F$113,Q384:Q385),COUNT(N$113:Q384)+1,""))</f>
        <v/>
      </c>
      <c r="Q385" s="199" t="str">
        <f>IF(O384=O$113,IF(COUNTA(L$111:L384)-2&lt;DMAX(F$113:J$403,F$113,Q383:Q384),O$113,""),IF(Q384&lt;&gt;"",IF(COUNTA(L$111:L384)-2&lt;DMAX(F$113:J$403,F$113,O383:O384),Protokoll!I$1,""),""))</f>
        <v/>
      </c>
      <c r="T385" s="331" t="str">
        <f>IF(OR(Protokoll!$X$5&lt;&gt;"",Lokalbeskrivn!$M$4&lt;&gt;""),"",U385)</f>
        <v/>
      </c>
      <c r="U385" s="330" t="s">
        <v>1199</v>
      </c>
      <c r="Y385" s="572" t="s">
        <v>2177</v>
      </c>
      <c r="Z385" s="572" t="s">
        <v>2178</v>
      </c>
      <c r="AB385" s="477" t="str">
        <f>IF(COUNT(AB383:AB384)&gt;0,MAX(AB383:AB384)+1,"")</f>
        <v/>
      </c>
      <c r="AC385" s="433" t="str">
        <f>IF(AND(AH385&lt;&gt;"",AG385&lt;&gt;"",AI385&gt;0,AH385&gt;0),MAX(AC$2:AC384)+1,"XX")</f>
        <v>XX</v>
      </c>
      <c r="AD385" s="429" t="str">
        <f>IF('Antal &amp; Längder (vikter)'!$C$53&lt;&gt;"",'Antal &amp; Längder (vikter)'!$C$53,"XX")</f>
        <v>XX</v>
      </c>
      <c r="AE385" s="420" t="str">
        <f>IF(AND('Antal &amp; Längder (vikter)'!D$55&lt;&gt;"",ISNUMBER($AH385)),'Antal &amp; Längder (vikter)'!D$55,"")</f>
        <v/>
      </c>
      <c r="AF385" s="425" t="str">
        <f t="shared" si="12"/>
        <v/>
      </c>
      <c r="AG385" s="426" t="str">
        <f t="shared" si="13"/>
        <v/>
      </c>
      <c r="AH385" s="410" t="str">
        <f>IF('Antal &amp; Längder (vikter)'!D59&lt;&gt;"",'Antal &amp; Längder (vikter)'!D59,"XX")</f>
        <v>XX</v>
      </c>
      <c r="AI385" s="405">
        <f>IF('Antal &amp; Längder (vikter)'!E$56="Vikt (g)",IF('Antal &amp; Längder (vikter)'!E59&lt;&gt;"",'Antal &amp; Längder (vikter)'!E59,-9),-9)</f>
        <v>-9</v>
      </c>
    </row>
    <row r="386" spans="6:35" x14ac:dyDescent="0.25">
      <c r="F386" s="199">
        <f>COUNTIF(J$113:J386,J386)</f>
        <v>30</v>
      </c>
      <c r="G386" t="s">
        <v>431</v>
      </c>
      <c r="H386" s="330">
        <v>1277</v>
      </c>
      <c r="I386" s="330">
        <v>12</v>
      </c>
      <c r="J386" t="s">
        <v>134</v>
      </c>
      <c r="K386" s="143"/>
      <c r="L386" s="220" t="str">
        <f>IF(Protokoll!I$1&lt;&gt;"",IF(N385=N$113,IF(AND(DMAX(F$113:J$403,F$113,O385:O386)&gt;COUNTA(L$111:L385)-2,DCOUNTA(F$113:J$403,G$113,N385:O386)=1),DGET(F$113:J$403,G$113,N385:O386),""),IF(AND(DMAX(F$113:J$403,F$113,Q385:Q386)&gt;COUNTA(L$111:L385)-2,DCOUNTA(F$113:J$403,G$113,P385:Q386)=1),DGET(F$113:J$403,G$113,P385:Q386),"")),G386)</f>
        <v/>
      </c>
      <c r="M386" s="143"/>
      <c r="N386" s="221" t="str">
        <f>IF(N385=N$113,IF(COUNT(N$113:Q385)&lt;DMAX(F$113:J$403,F$113,O385:O386),COUNT(N$113:Q385)+1,""),IF(COUNT(N$113:Q385)&lt;DMAX(F$113:J$403,F$113,Q385:Q386),N$113,""))</f>
        <v/>
      </c>
      <c r="O386" s="222" t="str">
        <f>IF(O385=O$113,IF(COUNTA(L$111:L385)-2&lt;DMAX(F$113:J$403,F$113,Q384:Q385),Protokoll!I$1,""),IF(O385&lt;&gt;"",IF(COUNTA(L$111:L385)-1&lt;DMAX(F$113:J$403,F$113,O384:O385),O$113,""),""))</f>
        <v/>
      </c>
      <c r="P386" s="223" t="str">
        <f>IF(N385=N$113,IF(COUNT(N$113:Q385)&lt;DMAX(F$113:J$403,F$113,O385:O386),N$113,""),IF(COUNT(N$113:Q385)&lt;DMAX(F$113:J$403,F$113,Q385:Q386),COUNT(N$113:Q385)+1,""))</f>
        <v/>
      </c>
      <c r="Q386" s="199" t="str">
        <f>IF(O385=O$113,IF(COUNTA(L$111:L385)-2&lt;DMAX(F$113:J$403,F$113,Q384:Q385),O$113,""),IF(Q385&lt;&gt;"",IF(COUNTA(L$111:L385)-2&lt;DMAX(F$113:J$403,F$113,O384:O385),Protokoll!I$1,""),""))</f>
        <v/>
      </c>
      <c r="T386" s="331" t="str">
        <f>IF(OR(Protokoll!$X$5&lt;&gt;"",Lokalbeskrivn!$M$4&lt;&gt;""),"",U386)</f>
        <v/>
      </c>
      <c r="U386" s="330" t="s">
        <v>1201</v>
      </c>
      <c r="Y386" s="572" t="s">
        <v>2498</v>
      </c>
      <c r="Z386" s="572" t="s">
        <v>2499</v>
      </c>
      <c r="AB386" s="434" t="str">
        <f>IF(COUNT(AB383:AB385)&gt;0,MAX(AB383:AB385)+1,"")</f>
        <v/>
      </c>
      <c r="AC386" s="433" t="str">
        <f>IF(AND(AH386&lt;&gt;"",AG386&lt;&gt;"",AI386&gt;0,AH386&gt;0),MAX(AC$2:AC385)+1,"XX")</f>
        <v>XX</v>
      </c>
      <c r="AD386" s="429" t="str">
        <f>IF('Antal &amp; Längder (vikter)'!$C$53&lt;&gt;"",'Antal &amp; Längder (vikter)'!$C$53,"XX")</f>
        <v>XX</v>
      </c>
      <c r="AE386" s="420" t="str">
        <f>IF(AND('Antal &amp; Längder (vikter)'!D$55&lt;&gt;"",ISNUMBER($AH386)),'Antal &amp; Längder (vikter)'!D$55,"")</f>
        <v/>
      </c>
      <c r="AF386" s="425" t="str">
        <f t="shared" si="12"/>
        <v/>
      </c>
      <c r="AG386" s="426" t="str">
        <f t="shared" si="13"/>
        <v/>
      </c>
      <c r="AH386" s="410" t="str">
        <f>IF('Antal &amp; Längder (vikter)'!D60&lt;&gt;"",'Antal &amp; Längder (vikter)'!D60,"XX")</f>
        <v>XX</v>
      </c>
      <c r="AI386" s="405">
        <f>IF('Antal &amp; Längder (vikter)'!E$56="Vikt (g)",IF('Antal &amp; Längder (vikter)'!E60&lt;&gt;"",'Antal &amp; Längder (vikter)'!E60,-9),-9)</f>
        <v>-9</v>
      </c>
    </row>
    <row r="387" spans="6:35" x14ac:dyDescent="0.25">
      <c r="F387" s="199">
        <f>COUNTIF(J$113:J387,J387)</f>
        <v>12</v>
      </c>
      <c r="G387" t="s">
        <v>432</v>
      </c>
      <c r="H387" s="330">
        <v>561</v>
      </c>
      <c r="I387" s="330">
        <v>5</v>
      </c>
      <c r="J387" t="s">
        <v>150</v>
      </c>
      <c r="K387" s="143"/>
      <c r="L387" s="220" t="str">
        <f>IF(Protokoll!I$1&lt;&gt;"",IF(N386=N$113,IF(AND(DMAX(F$113:J$403,F$113,O386:O387)&gt;COUNTA(L$111:L386)-2,DCOUNTA(F$113:J$403,G$113,N386:O387)=1),DGET(F$113:J$403,G$113,N386:O387),""),IF(AND(DMAX(F$113:J$403,F$113,Q386:Q387)&gt;COUNTA(L$111:L386)-2,DCOUNTA(F$113:J$403,G$113,P386:Q387)=1),DGET(F$113:J$403,G$113,P386:Q387),"")),G387)</f>
        <v/>
      </c>
      <c r="M387" s="143"/>
      <c r="N387" s="221" t="str">
        <f>IF(N386=N$113,IF(COUNT(N$113:Q386)&lt;DMAX(F$113:J$403,F$113,O386:O387),COUNT(N$113:Q386)+1,""),IF(COUNT(N$113:Q386)&lt;DMAX(F$113:J$403,F$113,Q386:Q387),N$113,""))</f>
        <v/>
      </c>
      <c r="O387" s="222" t="str">
        <f>IF(O386=O$113,IF(COUNTA(L$111:L386)-2&lt;DMAX(F$113:J$403,F$113,Q385:Q386),Protokoll!I$1,""),IF(O386&lt;&gt;"",IF(COUNTA(L$111:L386)-1&lt;DMAX(F$113:J$403,F$113,O385:O386),O$113,""),""))</f>
        <v/>
      </c>
      <c r="P387" s="223" t="str">
        <f>IF(N386=N$113,IF(COUNT(N$113:Q386)&lt;DMAX(F$113:J$403,F$113,O386:O387),N$113,""),IF(COUNT(N$113:Q386)&lt;DMAX(F$113:J$403,F$113,Q386:Q387),COUNT(N$113:Q386)+1,""))</f>
        <v/>
      </c>
      <c r="Q387" s="199" t="str">
        <f>IF(O386=O$113,IF(COUNTA(L$111:L386)-2&lt;DMAX(F$113:J$403,F$113,Q385:Q386),O$113,""),IF(Q386&lt;&gt;"",IF(COUNTA(L$111:L386)-2&lt;DMAX(F$113:J$403,F$113,O385:O386),Protokoll!I$1,""),""))</f>
        <v/>
      </c>
      <c r="T387" s="331" t="str">
        <f>IF(OR(Protokoll!$X$5&lt;&gt;"",Lokalbeskrivn!$M$4&lt;&gt;""),"",U387)</f>
        <v/>
      </c>
      <c r="U387" s="330" t="s">
        <v>1203</v>
      </c>
      <c r="Y387" s="572" t="s">
        <v>1753</v>
      </c>
      <c r="Z387" s="572" t="s">
        <v>1754</v>
      </c>
      <c r="AB387" s="475" t="str">
        <f>IF(COUNT(AB383:AB386)&gt;0,MAX(AB383:AB386)+1,"")</f>
        <v/>
      </c>
      <c r="AC387" s="433" t="str">
        <f>IF(AND(AH387&lt;&gt;"",AG387&lt;&gt;"",AI387&gt;0,AH387&gt;0),MAX(AC$2:AC386)+1,"XX")</f>
        <v>XX</v>
      </c>
      <c r="AD387" s="429" t="str">
        <f>IF('Antal &amp; Längder (vikter)'!$C$53&lt;&gt;"",'Antal &amp; Längder (vikter)'!$C$53,"XX")</f>
        <v>XX</v>
      </c>
      <c r="AE387" s="420" t="str">
        <f>IF(AND('Antal &amp; Längder (vikter)'!D$55&lt;&gt;"",ISNUMBER($AH387)),'Antal &amp; Längder (vikter)'!D$55,"")</f>
        <v/>
      </c>
      <c r="AF387" s="425" t="str">
        <f t="shared" ref="AF387:AF450" si="14">IF(AND(ISNUMBER(AH387),AE387&lt;&gt;""),VLOOKUP(AE387,$N$2:$O$60,2,FALSE),"")</f>
        <v/>
      </c>
      <c r="AG387" s="426" t="str">
        <f t="shared" ref="AG387:AG450" si="15">IF(AF387&lt;&gt;"",VLOOKUP(AF387,O$2:U$60,7,FALSE),"")</f>
        <v/>
      </c>
      <c r="AH387" s="410" t="str">
        <f>IF('Antal &amp; Längder (vikter)'!D61&lt;&gt;"",'Antal &amp; Längder (vikter)'!D61,"XX")</f>
        <v>XX</v>
      </c>
      <c r="AI387" s="405">
        <f>IF('Antal &amp; Längder (vikter)'!E$56="Vikt (g)",IF('Antal &amp; Längder (vikter)'!E61&lt;&gt;"",'Antal &amp; Längder (vikter)'!E61,-9),-9)</f>
        <v>-9</v>
      </c>
    </row>
    <row r="388" spans="6:35" x14ac:dyDescent="0.25">
      <c r="F388" s="199">
        <f>COUNTIF(J$113:J388,J388)</f>
        <v>8</v>
      </c>
      <c r="G388" t="s">
        <v>433</v>
      </c>
      <c r="H388" s="330">
        <v>765</v>
      </c>
      <c r="I388" s="330">
        <v>7</v>
      </c>
      <c r="J388" t="s">
        <v>119</v>
      </c>
      <c r="K388" s="143"/>
      <c r="L388" s="220" t="str">
        <f>IF(Protokoll!I$1&lt;&gt;"",IF(N387=N$113,IF(AND(DMAX(F$113:J$403,F$113,O387:O388)&gt;COUNTA(L$111:L387)-2,DCOUNTA(F$113:J$403,G$113,N387:O388)=1),DGET(F$113:J$403,G$113,N387:O388),""),IF(AND(DMAX(F$113:J$403,F$113,Q387:Q388)&gt;COUNTA(L$111:L387)-2,DCOUNTA(F$113:J$403,G$113,P387:Q388)=1),DGET(F$113:J$403,G$113,P387:Q388),"")),G388)</f>
        <v/>
      </c>
      <c r="M388" s="143"/>
      <c r="N388" s="221" t="str">
        <f>IF(N387=N$113,IF(COUNT(N$113:Q387)&lt;DMAX(F$113:J$403,F$113,O387:O388),COUNT(N$113:Q387)+1,""),IF(COUNT(N$113:Q387)&lt;DMAX(F$113:J$403,F$113,Q387:Q388),N$113,""))</f>
        <v/>
      </c>
      <c r="O388" s="222" t="str">
        <f>IF(O387=O$113,IF(COUNTA(L$111:L387)-2&lt;DMAX(F$113:J$403,F$113,Q386:Q387),Protokoll!I$1,""),IF(O387&lt;&gt;"",IF(COUNTA(L$111:L387)-1&lt;DMAX(F$113:J$403,F$113,O386:O387),O$113,""),""))</f>
        <v/>
      </c>
      <c r="P388" s="223" t="str">
        <f>IF(N387=N$113,IF(COUNT(N$113:Q387)&lt;DMAX(F$113:J$403,F$113,O387:O388),N$113,""),IF(COUNT(N$113:Q387)&lt;DMAX(F$113:J$403,F$113,Q387:Q388),COUNT(N$113:Q387)+1,""))</f>
        <v/>
      </c>
      <c r="Q388" s="199" t="str">
        <f>IF(O387=O$113,IF(COUNTA(L$111:L387)-2&lt;DMAX(F$113:J$403,F$113,Q386:Q387),O$113,""),IF(Q387&lt;&gt;"",IF(COUNTA(L$111:L387)-2&lt;DMAX(F$113:J$403,F$113,O386:O387),Protokoll!I$1,""),""))</f>
        <v/>
      </c>
      <c r="T388" s="331" t="str">
        <f>IF(OR(Protokoll!$X$5&lt;&gt;"",Lokalbeskrivn!$M$4&lt;&gt;""),"",U388)</f>
        <v/>
      </c>
      <c r="U388" s="330" t="s">
        <v>1205</v>
      </c>
      <c r="Y388" s="572" t="s">
        <v>2251</v>
      </c>
      <c r="Z388" s="572" t="s">
        <v>2252</v>
      </c>
      <c r="AB388" s="471" t="str">
        <f>IF(COUNT(AB383:AB387)&gt;0,MAX(AB383:AB387)+1,"")</f>
        <v/>
      </c>
      <c r="AC388" s="433" t="str">
        <f>IF(AND(AH388&lt;&gt;"",AG388&lt;&gt;"",AI388&gt;0,AH388&gt;0),MAX(AC$2:AC387)+1,"XX")</f>
        <v>XX</v>
      </c>
      <c r="AD388" s="429" t="str">
        <f>IF('Antal &amp; Längder (vikter)'!$C$53&lt;&gt;"",'Antal &amp; Längder (vikter)'!$C$53,"XX")</f>
        <v>XX</v>
      </c>
      <c r="AE388" s="420" t="str">
        <f>IF(AND('Antal &amp; Längder (vikter)'!D$55&lt;&gt;"",ISNUMBER($AH388)),'Antal &amp; Längder (vikter)'!D$55,"")</f>
        <v/>
      </c>
      <c r="AF388" s="425" t="str">
        <f t="shared" si="14"/>
        <v/>
      </c>
      <c r="AG388" s="426" t="str">
        <f t="shared" si="15"/>
        <v/>
      </c>
      <c r="AH388" s="410" t="str">
        <f>IF('Antal &amp; Längder (vikter)'!D62&lt;&gt;"",'Antal &amp; Längder (vikter)'!D62,"XX")</f>
        <v>XX</v>
      </c>
      <c r="AI388" s="405">
        <f>IF('Antal &amp; Längder (vikter)'!E$56="Vikt (g)",IF('Antal &amp; Längder (vikter)'!E62&lt;&gt;"",'Antal &amp; Längder (vikter)'!E62,-9),-9)</f>
        <v>-9</v>
      </c>
    </row>
    <row r="389" spans="6:35" x14ac:dyDescent="0.25">
      <c r="F389" s="199">
        <f>COUNTIF(J$113:J389,J389)</f>
        <v>15</v>
      </c>
      <c r="G389" t="s">
        <v>434</v>
      </c>
      <c r="H389" s="330">
        <v>2039</v>
      </c>
      <c r="I389" s="330">
        <v>20</v>
      </c>
      <c r="J389" t="s">
        <v>112</v>
      </c>
      <c r="K389" s="143"/>
      <c r="L389" s="220" t="str">
        <f>IF(Protokoll!I$1&lt;&gt;"",IF(N388=N$113,IF(AND(DMAX(F$113:J$403,F$113,O388:O389)&gt;COUNTA(L$111:L388)-2,DCOUNTA(F$113:J$403,G$113,N388:O389)=1),DGET(F$113:J$403,G$113,N388:O389),""),IF(AND(DMAX(F$113:J$403,F$113,Q388:Q389)&gt;COUNTA(L$111:L388)-2,DCOUNTA(F$113:J$403,G$113,P388:Q389)=1),DGET(F$113:J$403,G$113,P388:Q389),"")),G389)</f>
        <v/>
      </c>
      <c r="M389" s="143"/>
      <c r="N389" s="221" t="str">
        <f>IF(N388=N$113,IF(COUNT(N$113:Q388)&lt;DMAX(F$113:J$403,F$113,O388:O389),COUNT(N$113:Q388)+1,""),IF(COUNT(N$113:Q388)&lt;DMAX(F$113:J$403,F$113,Q388:Q389),N$113,""))</f>
        <v/>
      </c>
      <c r="O389" s="222" t="str">
        <f>IF(O388=O$113,IF(COUNTA(L$111:L388)-2&lt;DMAX(F$113:J$403,F$113,Q387:Q388),Protokoll!I$1,""),IF(O388&lt;&gt;"",IF(COUNTA(L$111:L388)-1&lt;DMAX(F$113:J$403,F$113,O387:O388),O$113,""),""))</f>
        <v/>
      </c>
      <c r="P389" s="223" t="str">
        <f>IF(N388=N$113,IF(COUNT(N$113:Q388)&lt;DMAX(F$113:J$403,F$113,O388:O389),N$113,""),IF(COUNT(N$113:Q388)&lt;DMAX(F$113:J$403,F$113,Q388:Q389),COUNT(N$113:Q388)+1,""))</f>
        <v/>
      </c>
      <c r="Q389" s="199" t="str">
        <f>IF(O388=O$113,IF(COUNTA(L$111:L388)-2&lt;DMAX(F$113:J$403,F$113,Q387:Q388),O$113,""),IF(Q388&lt;&gt;"",IF(COUNTA(L$111:L388)-2&lt;DMAX(F$113:J$403,F$113,O387:O388),Protokoll!I$1,""),""))</f>
        <v/>
      </c>
      <c r="T389" s="331" t="str">
        <f>IF(OR(Protokoll!$X$5&lt;&gt;"",Lokalbeskrivn!$M$4&lt;&gt;""),"",U389)</f>
        <v/>
      </c>
      <c r="U389" s="330" t="s">
        <v>1207</v>
      </c>
      <c r="W389" s="520"/>
      <c r="Y389" s="572" t="s">
        <v>1889</v>
      </c>
      <c r="Z389" s="572" t="s">
        <v>1890</v>
      </c>
      <c r="AB389" s="474" t="str">
        <f>IF(COUNT(AB383:AB388)&gt;0,MAX(AB383:AB388)+1,"")</f>
        <v/>
      </c>
      <c r="AC389" s="433" t="str">
        <f>IF(AND(AH389&lt;&gt;"",AG389&lt;&gt;"",AI389&gt;0,AH389&gt;0),MAX(AC$2:AC388)+1,"XX")</f>
        <v>XX</v>
      </c>
      <c r="AD389" s="429" t="str">
        <f>IF('Antal &amp; Längder (vikter)'!$C$53&lt;&gt;"",'Antal &amp; Längder (vikter)'!$C$53,"XX")</f>
        <v>XX</v>
      </c>
      <c r="AE389" s="420" t="str">
        <f>IF(AND('Antal &amp; Längder (vikter)'!D$55&lt;&gt;"",ISNUMBER($AH389)),'Antal &amp; Längder (vikter)'!D$55,"")</f>
        <v/>
      </c>
      <c r="AF389" s="425" t="str">
        <f t="shared" si="14"/>
        <v/>
      </c>
      <c r="AG389" s="426" t="str">
        <f t="shared" si="15"/>
        <v/>
      </c>
      <c r="AH389" s="410" t="str">
        <f>IF('Antal &amp; Längder (vikter)'!D63&lt;&gt;"",'Antal &amp; Längder (vikter)'!D63,"XX")</f>
        <v>XX</v>
      </c>
      <c r="AI389" s="405">
        <f>IF('Antal &amp; Längder (vikter)'!E$56="Vikt (g)",IF('Antal &amp; Längder (vikter)'!E63&lt;&gt;"",'Antal &amp; Längder (vikter)'!E63,-9),-9)</f>
        <v>-9</v>
      </c>
    </row>
    <row r="390" spans="6:35" x14ac:dyDescent="0.25">
      <c r="F390" s="199">
        <f>COUNTIF(J$113:J390,J390)</f>
        <v>6</v>
      </c>
      <c r="G390" t="s">
        <v>435</v>
      </c>
      <c r="H390" s="330">
        <v>319</v>
      </c>
      <c r="I390" s="330">
        <v>3</v>
      </c>
      <c r="J390" t="s">
        <v>140</v>
      </c>
      <c r="K390" s="143"/>
      <c r="L390" s="220" t="str">
        <f>IF(Protokoll!I$1&lt;&gt;"",IF(N389=N$113,IF(AND(DMAX(F$113:J$403,F$113,O389:O390)&gt;COUNTA(L$111:L389)-2,DCOUNTA(F$113:J$403,G$113,N389:O390)=1),DGET(F$113:J$403,G$113,N389:O390),""),IF(AND(DMAX(F$113:J$403,F$113,Q389:Q390)&gt;COUNTA(L$111:L389)-2,DCOUNTA(F$113:J$403,G$113,P389:Q390)=1),DGET(F$113:J$403,G$113,P389:Q390),"")),G390)</f>
        <v/>
      </c>
      <c r="M390" s="143"/>
      <c r="N390" s="221" t="str">
        <f>IF(N389=N$113,IF(COUNT(N$113:Q389)&lt;DMAX(F$113:J$403,F$113,O389:O390),COUNT(N$113:Q389)+1,""),IF(COUNT(N$113:Q389)&lt;DMAX(F$113:J$403,F$113,Q389:Q390),N$113,""))</f>
        <v/>
      </c>
      <c r="O390" s="222" t="str">
        <f>IF(O389=O$113,IF(COUNTA(L$111:L389)-2&lt;DMAX(F$113:J$403,F$113,Q388:Q389),Protokoll!I$1,""),IF(O389&lt;&gt;"",IF(COUNTA(L$111:L389)-1&lt;DMAX(F$113:J$403,F$113,O388:O389),O$113,""),""))</f>
        <v/>
      </c>
      <c r="P390" s="223" t="str">
        <f>IF(N389=N$113,IF(COUNT(N$113:Q389)&lt;DMAX(F$113:J$403,F$113,O389:O390),N$113,""),IF(COUNT(N$113:Q389)&lt;DMAX(F$113:J$403,F$113,Q389:Q390),COUNT(N$113:Q389)+1,""))</f>
        <v/>
      </c>
      <c r="Q390" s="199" t="str">
        <f>IF(O389=O$113,IF(COUNTA(L$111:L389)-2&lt;DMAX(F$113:J$403,F$113,Q388:Q389),O$113,""),IF(Q389&lt;&gt;"",IF(COUNTA(L$111:L389)-2&lt;DMAX(F$113:J$403,F$113,O388:O389),Protokoll!I$1,""),""))</f>
        <v/>
      </c>
      <c r="T390" s="331" t="str">
        <f>IF(OR(Protokoll!$X$5&lt;&gt;"",Lokalbeskrivn!$M$4&lt;&gt;""),"",U390)</f>
        <v/>
      </c>
      <c r="U390" s="330" t="s">
        <v>1209</v>
      </c>
      <c r="W390" s="520"/>
      <c r="Y390" s="572" t="s">
        <v>2500</v>
      </c>
      <c r="Z390" s="572" t="s">
        <v>2501</v>
      </c>
      <c r="AB390" s="478" t="str">
        <f>IF(COUNT(AB383:AB389)&gt;0,MAX(AB383:AB389)+1,"")</f>
        <v/>
      </c>
      <c r="AC390" s="433" t="str">
        <f>IF(AND(AH390&lt;&gt;"",AG390&lt;&gt;"",AI390&gt;0,AH390&gt;0),MAX(AC$2:AC389)+1,"XX")</f>
        <v>XX</v>
      </c>
      <c r="AD390" s="429" t="str">
        <f>IF('Antal &amp; Längder (vikter)'!$C$53&lt;&gt;"",'Antal &amp; Längder (vikter)'!$C$53,"XX")</f>
        <v>XX</v>
      </c>
      <c r="AE390" s="420" t="str">
        <f>IF(AND('Antal &amp; Längder (vikter)'!D$55&lt;&gt;"",ISNUMBER($AH390)),'Antal &amp; Längder (vikter)'!D$55,"")</f>
        <v/>
      </c>
      <c r="AF390" s="425" t="str">
        <f t="shared" si="14"/>
        <v/>
      </c>
      <c r="AG390" s="426" t="str">
        <f t="shared" si="15"/>
        <v/>
      </c>
      <c r="AH390" s="410" t="str">
        <f>IF('Antal &amp; Längder (vikter)'!D64&lt;&gt;"",'Antal &amp; Längder (vikter)'!D64,"XX")</f>
        <v>XX</v>
      </c>
      <c r="AI390" s="405">
        <f>IF('Antal &amp; Längder (vikter)'!E$56="Vikt (g)",IF('Antal &amp; Längder (vikter)'!E64&lt;&gt;"",'Antal &amp; Längder (vikter)'!E64,-9),-9)</f>
        <v>-9</v>
      </c>
    </row>
    <row r="391" spans="6:35" x14ac:dyDescent="0.25">
      <c r="F391" s="199">
        <f>COUNTIF(J$113:J391,J391)</f>
        <v>12</v>
      </c>
      <c r="G391" t="s">
        <v>436</v>
      </c>
      <c r="H391" s="330">
        <v>2560</v>
      </c>
      <c r="I391" s="330">
        <v>25</v>
      </c>
      <c r="J391" t="s">
        <v>127</v>
      </c>
      <c r="K391" s="143"/>
      <c r="L391" s="220" t="str">
        <f>IF(Protokoll!I$1&lt;&gt;"",IF(N390=N$113,IF(AND(DMAX(F$113:J$403,F$113,O390:O391)&gt;COUNTA(L$111:L390)-2,DCOUNTA(F$113:J$403,G$113,N390:O391)=1),DGET(F$113:J$403,G$113,N390:O391),""),IF(AND(DMAX(F$113:J$403,F$113,Q390:Q391)&gt;COUNTA(L$111:L390)-2,DCOUNTA(F$113:J$403,G$113,P390:Q391)=1),DGET(F$113:J$403,G$113,P390:Q391),"")),G391)</f>
        <v/>
      </c>
      <c r="M391" s="143"/>
      <c r="N391" s="221" t="str">
        <f>IF(N390=N$113,IF(COUNT(N$113:Q390)&lt;DMAX(F$113:J$403,F$113,O390:O391),COUNT(N$113:Q390)+1,""),IF(COUNT(N$113:Q390)&lt;DMAX(F$113:J$403,F$113,Q390:Q391),N$113,""))</f>
        <v/>
      </c>
      <c r="O391" s="222" t="str">
        <f>IF(O390=O$113,IF(COUNTA(L$111:L390)-2&lt;DMAX(F$113:J$403,F$113,Q389:Q390),Protokoll!I$1,""),IF(O390&lt;&gt;"",IF(COUNTA(L$111:L390)-1&lt;DMAX(F$113:J$403,F$113,O389:O390),O$113,""),""))</f>
        <v/>
      </c>
      <c r="P391" s="223" t="str">
        <f>IF(N390=N$113,IF(COUNT(N$113:Q390)&lt;DMAX(F$113:J$403,F$113,O390:O391),N$113,""),IF(COUNT(N$113:Q390)&lt;DMAX(F$113:J$403,F$113,Q390:Q391),COUNT(N$113:Q390)+1,""))</f>
        <v/>
      </c>
      <c r="Q391" s="199" t="str">
        <f>IF(O390=O$113,IF(COUNTA(L$111:L390)-2&lt;DMAX(F$113:J$403,F$113,Q389:Q390),O$113,""),IF(Q390&lt;&gt;"",IF(COUNTA(L$111:L390)-2&lt;DMAX(F$113:J$403,F$113,O389:O390),Protokoll!I$1,""),""))</f>
        <v/>
      </c>
      <c r="T391" s="331" t="str">
        <f>IF(OR(Protokoll!$X$5&lt;&gt;"",Lokalbeskrivn!$M$4&lt;&gt;""),"",U391)</f>
        <v/>
      </c>
      <c r="U391" s="330" t="s">
        <v>1211</v>
      </c>
      <c r="W391" s="520" t="s">
        <v>2054</v>
      </c>
      <c r="Y391" s="397"/>
      <c r="Z391" s="397"/>
      <c r="AB391" s="472" t="str">
        <f>IF(COUNT(AB383:AB390)&gt;0,MAX(AB383:AB390)+1,"")</f>
        <v/>
      </c>
      <c r="AC391" s="433" t="str">
        <f>IF(AND(AH391&lt;&gt;"",AG391&lt;&gt;"",AI391&gt;0,AH391&gt;0),MAX(AC$2:AC390)+1,"XX")</f>
        <v>XX</v>
      </c>
      <c r="AD391" s="429" t="str">
        <f>IF('Antal &amp; Längder (vikter)'!$C$53&lt;&gt;"",'Antal &amp; Längder (vikter)'!$C$53,"XX")</f>
        <v>XX</v>
      </c>
      <c r="AE391" s="420" t="str">
        <f>IF(AND('Antal &amp; Längder (vikter)'!D$55&lt;&gt;"",ISNUMBER($AH391)),'Antal &amp; Längder (vikter)'!D$55,"")</f>
        <v/>
      </c>
      <c r="AF391" s="425" t="str">
        <f t="shared" si="14"/>
        <v/>
      </c>
      <c r="AG391" s="426" t="str">
        <f t="shared" si="15"/>
        <v/>
      </c>
      <c r="AH391" s="410" t="str">
        <f>IF('Antal &amp; Längder (vikter)'!D65&lt;&gt;"",'Antal &amp; Längder (vikter)'!D65,"XX")</f>
        <v>XX</v>
      </c>
      <c r="AI391" s="405">
        <f>IF('Antal &amp; Längder (vikter)'!E$56="Vikt (g)",IF('Antal &amp; Längder (vikter)'!E65&lt;&gt;"",'Antal &amp; Längder (vikter)'!E65,-9),-9)</f>
        <v>-9</v>
      </c>
    </row>
    <row r="392" spans="6:35" x14ac:dyDescent="0.25">
      <c r="F392" s="199">
        <f>COUNTIF(J$113:J392,J392)</f>
        <v>31</v>
      </c>
      <c r="G392" t="s">
        <v>437</v>
      </c>
      <c r="H392" s="330">
        <v>1292</v>
      </c>
      <c r="I392" s="330">
        <v>12</v>
      </c>
      <c r="J392" t="s">
        <v>134</v>
      </c>
      <c r="K392" s="143"/>
      <c r="L392" s="220" t="str">
        <f>IF(Protokoll!I$1&lt;&gt;"",IF(N391=N$113,IF(AND(DMAX(F$113:J$403,F$113,O391:O392)&gt;COUNTA(L$111:L391)-2,DCOUNTA(F$113:J$403,G$113,N391:O392)=1),DGET(F$113:J$403,G$113,N391:O392),""),IF(AND(DMAX(F$113:J$403,F$113,Q391:Q392)&gt;COUNTA(L$111:L391)-2,DCOUNTA(F$113:J$403,G$113,P391:Q392)=1),DGET(F$113:J$403,G$113,P391:Q392),"")),G392)</f>
        <v/>
      </c>
      <c r="M392" s="143"/>
      <c r="N392" s="221" t="str">
        <f>IF(N391=N$113,IF(COUNT(N$113:Q391)&lt;DMAX(F$113:J$403,F$113,O391:O392),COUNT(N$113:Q391)+1,""),IF(COUNT(N$113:Q391)&lt;DMAX(F$113:J$403,F$113,Q391:Q392),N$113,""))</f>
        <v/>
      </c>
      <c r="O392" s="222" t="str">
        <f>IF(O391=O$113,IF(COUNTA(L$111:L391)-2&lt;DMAX(F$113:J$403,F$113,Q390:Q391),Protokoll!I$1,""),IF(O391&lt;&gt;"",IF(COUNTA(L$111:L391)-1&lt;DMAX(F$113:J$403,F$113,O390:O391),O$113,""),""))</f>
        <v/>
      </c>
      <c r="P392" s="223" t="str">
        <f>IF(N391=N$113,IF(COUNT(N$113:Q391)&lt;DMAX(F$113:J$403,F$113,O391:O392),N$113,""),IF(COUNT(N$113:Q391)&lt;DMAX(F$113:J$403,F$113,Q391:Q392),COUNT(N$113:Q391)+1,""))</f>
        <v/>
      </c>
      <c r="Q392" s="199" t="str">
        <f>IF(O391=O$113,IF(COUNTA(L$111:L391)-2&lt;DMAX(F$113:J$403,F$113,Q390:Q391),O$113,""),IF(Q391&lt;&gt;"",IF(COUNTA(L$111:L391)-2&lt;DMAX(F$113:J$403,F$113,O390:O391),Protokoll!I$1,""),""))</f>
        <v/>
      </c>
      <c r="T392" s="331" t="str">
        <f>IF(OR(Protokoll!$X$5&lt;&gt;"",Lokalbeskrivn!$M$4&lt;&gt;""),"",U392)</f>
        <v/>
      </c>
      <c r="U392" s="330" t="s">
        <v>1213</v>
      </c>
      <c r="Y392" s="397"/>
      <c r="Z392" s="397"/>
      <c r="AB392" s="479" t="str">
        <f>IF(COUNT(AB383:AB391)&gt;0,MAX(AB383:AB391)+1,"")</f>
        <v/>
      </c>
      <c r="AC392" s="433" t="str">
        <f>IF(AND(AH392&lt;&gt;"",AG392&lt;&gt;"",AI392&gt;0,AH392&gt;0),MAX(AC$2:AC391)+1,"XX")</f>
        <v>XX</v>
      </c>
      <c r="AD392" s="429" t="str">
        <f>IF('Antal &amp; Längder (vikter)'!$C$53&lt;&gt;"",'Antal &amp; Längder (vikter)'!$C$53,"XX")</f>
        <v>XX</v>
      </c>
      <c r="AE392" s="420" t="str">
        <f>IF(AND('Antal &amp; Längder (vikter)'!D$55&lt;&gt;"",ISNUMBER($AH392)),'Antal &amp; Längder (vikter)'!D$55,"")</f>
        <v/>
      </c>
      <c r="AF392" s="425" t="str">
        <f t="shared" si="14"/>
        <v/>
      </c>
      <c r="AG392" s="426" t="str">
        <f t="shared" si="15"/>
        <v/>
      </c>
      <c r="AH392" s="410" t="str">
        <f>IF('Antal &amp; Längder (vikter)'!D66&lt;&gt;"",'Antal &amp; Längder (vikter)'!D66,"XX")</f>
        <v>XX</v>
      </c>
      <c r="AI392" s="405">
        <f>IF('Antal &amp; Längder (vikter)'!E$56="Vikt (g)",IF('Antal &amp; Längder (vikter)'!E66&lt;&gt;"",'Antal &amp; Längder (vikter)'!E66,-9),-9)</f>
        <v>-9</v>
      </c>
    </row>
    <row r="393" spans="6:35" ht="15" x14ac:dyDescent="0.25">
      <c r="F393" s="199">
        <f>COUNTIF(J$113:J393,J393)</f>
        <v>49</v>
      </c>
      <c r="G393" t="s">
        <v>438</v>
      </c>
      <c r="H393" s="330">
        <v>1407</v>
      </c>
      <c r="I393" s="330">
        <v>14</v>
      </c>
      <c r="J393" t="s">
        <v>114</v>
      </c>
      <c r="K393" s="143"/>
      <c r="L393" s="220" t="str">
        <f>IF(Protokoll!I$1&lt;&gt;"",IF(N392=N$113,IF(AND(DMAX(F$113:J$403,F$113,O392:O393)&gt;COUNTA(L$111:L392)-2,DCOUNTA(F$113:J$403,G$113,N392:O393)=1),DGET(F$113:J$403,G$113,N392:O393),""),IF(AND(DMAX(F$113:J$403,F$113,Q392:Q393)&gt;COUNTA(L$111:L392)-2,DCOUNTA(F$113:J$403,G$113,P392:Q393)=1),DGET(F$113:J$403,G$113,P392:Q393),"")),G393)</f>
        <v/>
      </c>
      <c r="M393" s="143"/>
      <c r="N393" s="221" t="str">
        <f>IF(N392=N$113,IF(COUNT(N$113:Q392)&lt;DMAX(F$113:J$403,F$113,O392:O393),COUNT(N$113:Q392)+1,""),IF(COUNT(N$113:Q392)&lt;DMAX(F$113:J$403,F$113,Q392:Q393),N$113,""))</f>
        <v/>
      </c>
      <c r="O393" s="222" t="str">
        <f>IF(O392=O$113,IF(COUNTA(L$111:L392)-2&lt;DMAX(F$113:J$403,F$113,Q391:Q392),Protokoll!I$1,""),IF(O392&lt;&gt;"",IF(COUNTA(L$111:L392)-1&lt;DMAX(F$113:J$403,F$113,O391:O392),O$113,""),""))</f>
        <v/>
      </c>
      <c r="P393" s="223" t="str">
        <f>IF(N392=N$113,IF(COUNT(N$113:Q392)&lt;DMAX(F$113:J$403,F$113,O392:O393),N$113,""),IF(COUNT(N$113:Q392)&lt;DMAX(F$113:J$403,F$113,Q392:Q393),COUNT(N$113:Q392)+1,""))</f>
        <v/>
      </c>
      <c r="Q393" s="199" t="str">
        <f>IF(O392=O$113,IF(COUNTA(L$111:L392)-2&lt;DMAX(F$113:J$403,F$113,Q391:Q392),O$113,""),IF(Q392&lt;&gt;"",IF(COUNTA(L$111:L392)-2&lt;DMAX(F$113:J$403,F$113,O391:O392),Protokoll!I$1,""),""))</f>
        <v/>
      </c>
      <c r="T393" s="331" t="str">
        <f>IF(OR(Protokoll!$X$5&lt;&gt;"",Lokalbeskrivn!$M$4&lt;&gt;""),"",U393)</f>
        <v/>
      </c>
      <c r="U393" s="330" t="s">
        <v>1215</v>
      </c>
      <c r="Y393" s="397"/>
      <c r="Z393" s="397"/>
      <c r="AB393" s="480" t="str">
        <f>IF(AND(ISNUMBER(AH393),AH393&gt;0),IF(MAX(AB$3:AB392)&gt;0,MAX(AB$3:AB392)+1,10+COUNTIF(F$38:F$49,"&gt;0")*10+1),"")</f>
        <v/>
      </c>
      <c r="AC393" s="433" t="str">
        <f>IF(AND(AH393&lt;&gt;"",AG393&lt;&gt;"",AI393&gt;0,AH393&gt;0),MAX(AC$2:AC392)+1,"XX")</f>
        <v>XX</v>
      </c>
      <c r="AD393" s="429" t="str">
        <f>IF('Antal &amp; Längder (vikter)'!$C$53&lt;&gt;"",'Antal &amp; Längder (vikter)'!$C$53,"XX")</f>
        <v>XX</v>
      </c>
      <c r="AE393" s="420" t="str">
        <f>IF(AND('Antal &amp; Längder (vikter)'!D$55&lt;&gt;"",ISNUMBER($AH393)),'Antal &amp; Längder (vikter)'!D$55,"")</f>
        <v/>
      </c>
      <c r="AF393" s="425" t="str">
        <f t="shared" si="14"/>
        <v/>
      </c>
      <c r="AG393" s="426" t="str">
        <f t="shared" si="15"/>
        <v/>
      </c>
      <c r="AH393" s="409" t="str">
        <f>IF('Antal &amp; Längder (vikter)'!E$56="Längd (mm)",IF('Antal &amp; Längder (vikter)'!E57&lt;&gt;"",'Antal &amp; Längder (vikter)'!E57,"XX"),"XX")</f>
        <v>XX</v>
      </c>
      <c r="AI393" s="158">
        <v>-9</v>
      </c>
    </row>
    <row r="394" spans="6:35" ht="15" x14ac:dyDescent="0.25">
      <c r="F394" s="199">
        <f>COUNTIF(J$113:J394,J394)</f>
        <v>13</v>
      </c>
      <c r="G394" t="s">
        <v>439</v>
      </c>
      <c r="H394" s="330">
        <v>509</v>
      </c>
      <c r="I394" s="330">
        <v>5</v>
      </c>
      <c r="J394" t="s">
        <v>150</v>
      </c>
      <c r="K394" s="143"/>
      <c r="L394" s="220" t="str">
        <f>IF(Protokoll!I$1&lt;&gt;"",IF(N393=N$113,IF(AND(DMAX(F$113:J$403,F$113,O393:O394)&gt;COUNTA(L$111:L393)-2,DCOUNTA(F$113:J$403,G$113,N393:O394)=1),DGET(F$113:J$403,G$113,N393:O394),""),IF(AND(DMAX(F$113:J$403,F$113,Q393:Q394)&gt;COUNTA(L$111:L393)-2,DCOUNTA(F$113:J$403,G$113,P393:Q394)=1),DGET(F$113:J$403,G$113,P393:Q394),"")),G394)</f>
        <v/>
      </c>
      <c r="M394" s="143"/>
      <c r="N394" s="221" t="str">
        <f>IF(N393=N$113,IF(COUNT(N$113:Q393)&lt;DMAX(F$113:J$403,F$113,O393:O394),COUNT(N$113:Q393)+1,""),IF(COUNT(N$113:Q393)&lt;DMAX(F$113:J$403,F$113,Q393:Q394),N$113,""))</f>
        <v/>
      </c>
      <c r="O394" s="222" t="str">
        <f>IF(O393=O$113,IF(COUNTA(L$111:L393)-2&lt;DMAX(F$113:J$403,F$113,Q392:Q393),Protokoll!I$1,""),IF(O393&lt;&gt;"",IF(COUNTA(L$111:L393)-1&lt;DMAX(F$113:J$403,F$113,O392:O393),O$113,""),""))</f>
        <v/>
      </c>
      <c r="P394" s="223" t="str">
        <f>IF(N393=N$113,IF(COUNT(N$113:Q393)&lt;DMAX(F$113:J$403,F$113,O393:O394),N$113,""),IF(COUNT(N$113:Q393)&lt;DMAX(F$113:J$403,F$113,Q393:Q394),COUNT(N$113:Q393)+1,""))</f>
        <v/>
      </c>
      <c r="Q394" s="199" t="str">
        <f>IF(O393=O$113,IF(COUNTA(L$111:L393)-2&lt;DMAX(F$113:J$403,F$113,Q392:Q393),O$113,""),IF(Q393&lt;&gt;"",IF(COUNTA(L$111:L393)-2&lt;DMAX(F$113:J$403,F$113,O392:O393),Protokoll!I$1,""),""))</f>
        <v/>
      </c>
      <c r="T394" s="331" t="str">
        <f>IF(OR(Protokoll!$X$5&lt;&gt;"",Lokalbeskrivn!$M$4&lt;&gt;""),"",U394)</f>
        <v/>
      </c>
      <c r="U394" s="330" t="s">
        <v>1217</v>
      </c>
      <c r="Y394" s="397"/>
      <c r="Z394" s="397"/>
      <c r="AB394" s="476" t="str">
        <f>IF(COUNT(AB393:AB393)&gt;0,MAX(AB393:AB393)+1,"")</f>
        <v/>
      </c>
      <c r="AC394" s="433" t="str">
        <f>IF(AND(AH394&lt;&gt;"",AG394&lt;&gt;"",AI394&gt;0,AH394&gt;0),MAX(AC$2:AC393)+1,"XX")</f>
        <v>XX</v>
      </c>
      <c r="AD394" s="429" t="str">
        <f>IF('Antal &amp; Längder (vikter)'!$C$53&lt;&gt;"",'Antal &amp; Längder (vikter)'!$C$53,"XX")</f>
        <v>XX</v>
      </c>
      <c r="AE394" s="420" t="str">
        <f>IF(AND('Antal &amp; Längder (vikter)'!D$55&lt;&gt;"",ISNUMBER($AH394)),'Antal &amp; Längder (vikter)'!D$55,"")</f>
        <v/>
      </c>
      <c r="AF394" s="425" t="str">
        <f t="shared" si="14"/>
        <v/>
      </c>
      <c r="AG394" s="426" t="str">
        <f t="shared" si="15"/>
        <v/>
      </c>
      <c r="AH394" s="409" t="str">
        <f>IF('Antal &amp; Längder (vikter)'!E$56="Längd (mm)",IF('Antal &amp; Längder (vikter)'!E58&lt;&gt;"",'Antal &amp; Längder (vikter)'!E58,"XX"),"XX")</f>
        <v>XX</v>
      </c>
      <c r="AI394" s="158">
        <v>-9</v>
      </c>
    </row>
    <row r="395" spans="6:35" ht="15" x14ac:dyDescent="0.25">
      <c r="F395" s="199">
        <f>COUNTIF(J$113:J395,J395)</f>
        <v>12</v>
      </c>
      <c r="G395" t="s">
        <v>440</v>
      </c>
      <c r="H395" s="330">
        <v>1880</v>
      </c>
      <c r="I395" s="330">
        <v>18</v>
      </c>
      <c r="J395" t="s">
        <v>133</v>
      </c>
      <c r="K395" s="143"/>
      <c r="L395" s="220" t="str">
        <f>IF(Protokoll!I$1&lt;&gt;"",IF(N394=N$113,IF(AND(DMAX(F$113:J$403,F$113,O394:O395)&gt;COUNTA(L$111:L394)-2,DCOUNTA(F$113:J$403,G$113,N394:O395)=1),DGET(F$113:J$403,G$113,N394:O395),""),IF(AND(DMAX(F$113:J$403,F$113,Q394:Q395)&gt;COUNTA(L$111:L394)-2,DCOUNTA(F$113:J$403,G$113,P394:Q395)=1),DGET(F$113:J$403,G$113,P394:Q395),"")),G395)</f>
        <v/>
      </c>
      <c r="M395" s="143"/>
      <c r="N395" s="221" t="str">
        <f>IF(N394=N$113,IF(COUNT(N$113:Q394)&lt;DMAX(F$113:J$403,F$113,O394:O395),COUNT(N$113:Q394)+1,""),IF(COUNT(N$113:Q394)&lt;DMAX(F$113:J$403,F$113,Q394:Q395),N$113,""))</f>
        <v/>
      </c>
      <c r="O395" s="222" t="str">
        <f>IF(O394=O$113,IF(COUNTA(L$111:L394)-2&lt;DMAX(F$113:J$403,F$113,Q393:Q394),Protokoll!I$1,""),IF(O394&lt;&gt;"",IF(COUNTA(L$111:L394)-1&lt;DMAX(F$113:J$403,F$113,O393:O394),O$113,""),""))</f>
        <v/>
      </c>
      <c r="P395" s="223" t="str">
        <f>IF(N394=N$113,IF(COUNT(N$113:Q394)&lt;DMAX(F$113:J$403,F$113,O394:O395),N$113,""),IF(COUNT(N$113:Q394)&lt;DMAX(F$113:J$403,F$113,Q394:Q395),COUNT(N$113:Q394)+1,""))</f>
        <v/>
      </c>
      <c r="Q395" s="199" t="str">
        <f>IF(O394=O$113,IF(COUNTA(L$111:L394)-2&lt;DMAX(F$113:J$403,F$113,Q393:Q394),O$113,""),IF(Q394&lt;&gt;"",IF(COUNTA(L$111:L394)-2&lt;DMAX(F$113:J$403,F$113,O393:O394),Protokoll!I$1,""),""))</f>
        <v/>
      </c>
      <c r="T395" s="331" t="str">
        <f>IF(OR(Protokoll!$X$5&lt;&gt;"",Lokalbeskrivn!$M$4&lt;&gt;""),"",U395)</f>
        <v/>
      </c>
      <c r="U395" s="330" t="s">
        <v>1219</v>
      </c>
      <c r="Y395" s="397"/>
      <c r="Z395" s="397"/>
      <c r="AB395" s="477" t="str">
        <f>IF(COUNT(AB393:AB394)&gt;0,MAX(AB393:AB394)+1,"")</f>
        <v/>
      </c>
      <c r="AC395" s="433" t="str">
        <f>IF(AND(AH395&lt;&gt;"",AG395&lt;&gt;"",AI395&gt;0,AH395&gt;0),MAX(AC$2:AC394)+1,"XX")</f>
        <v>XX</v>
      </c>
      <c r="AD395" s="429" t="str">
        <f>IF('Antal &amp; Längder (vikter)'!$C$53&lt;&gt;"",'Antal &amp; Längder (vikter)'!$C$53,"XX")</f>
        <v>XX</v>
      </c>
      <c r="AE395" s="420" t="str">
        <f>IF(AND('Antal &amp; Längder (vikter)'!D$55&lt;&gt;"",ISNUMBER($AH395)),'Antal &amp; Längder (vikter)'!D$55,"")</f>
        <v/>
      </c>
      <c r="AF395" s="425" t="str">
        <f t="shared" si="14"/>
        <v/>
      </c>
      <c r="AG395" s="426" t="str">
        <f t="shared" si="15"/>
        <v/>
      </c>
      <c r="AH395" s="409" t="str">
        <f>IF('Antal &amp; Längder (vikter)'!E$56="Längd (mm)",IF('Antal &amp; Längder (vikter)'!E59&lt;&gt;"",'Antal &amp; Längder (vikter)'!E59,"XX"),"XX")</f>
        <v>XX</v>
      </c>
      <c r="AI395" s="158">
        <v>-9</v>
      </c>
    </row>
    <row r="396" spans="6:35" ht="15" x14ac:dyDescent="0.25">
      <c r="F396" s="199">
        <f>COUNTIF(J$113:J396,J396)</f>
        <v>32</v>
      </c>
      <c r="G396" t="s">
        <v>441</v>
      </c>
      <c r="H396" s="330">
        <v>1257</v>
      </c>
      <c r="I396" s="330">
        <v>12</v>
      </c>
      <c r="J396" t="s">
        <v>134</v>
      </c>
      <c r="K396" s="143"/>
      <c r="L396" s="220" t="str">
        <f>IF(Protokoll!I$1&lt;&gt;"",IF(N395=N$113,IF(AND(DMAX(F$113:J$403,F$113,O395:O396)&gt;COUNTA(L$111:L395)-2,DCOUNTA(F$113:J$403,G$113,N395:O396)=1),DGET(F$113:J$403,G$113,N395:O396),""),IF(AND(DMAX(F$113:J$403,F$113,Q395:Q396)&gt;COUNTA(L$111:L395)-2,DCOUNTA(F$113:J$403,G$113,P395:Q396)=1),DGET(F$113:J$403,G$113,P395:Q396),"")),G396)</f>
        <v/>
      </c>
      <c r="M396" s="143"/>
      <c r="N396" s="221" t="str">
        <f>IF(N395=N$113,IF(COUNT(N$113:Q395)&lt;DMAX(F$113:J$403,F$113,O395:O396),COUNT(N$113:Q395)+1,""),IF(COUNT(N$113:Q395)&lt;DMAX(F$113:J$403,F$113,Q395:Q396),N$113,""))</f>
        <v/>
      </c>
      <c r="O396" s="222" t="str">
        <f>IF(O395=O$113,IF(COUNTA(L$111:L395)-2&lt;DMAX(F$113:J$403,F$113,Q394:Q395),Protokoll!I$1,""),IF(O395&lt;&gt;"",IF(COUNTA(L$111:L395)-1&lt;DMAX(F$113:J$403,F$113,O394:O395),O$113,""),""))</f>
        <v/>
      </c>
      <c r="P396" s="223" t="str">
        <f>IF(N395=N$113,IF(COUNT(N$113:Q395)&lt;DMAX(F$113:J$403,F$113,O395:O396),N$113,""),IF(COUNT(N$113:Q395)&lt;DMAX(F$113:J$403,F$113,Q395:Q396),COUNT(N$113:Q395)+1,""))</f>
        <v/>
      </c>
      <c r="Q396" s="199" t="str">
        <f>IF(O395=O$113,IF(COUNTA(L$111:L395)-2&lt;DMAX(F$113:J$403,F$113,Q394:Q395),O$113,""),IF(Q395&lt;&gt;"",IF(COUNTA(L$111:L395)-2&lt;DMAX(F$113:J$403,F$113,O394:O395),Protokoll!I$1,""),""))</f>
        <v/>
      </c>
      <c r="T396" s="331" t="str">
        <f>IF(OR(Protokoll!$X$5&lt;&gt;"",Lokalbeskrivn!$M$4&lt;&gt;""),"",U396)</f>
        <v/>
      </c>
      <c r="U396" s="330" t="s">
        <v>1221</v>
      </c>
      <c r="Y396" s="397"/>
      <c r="Z396" s="397"/>
      <c r="AB396" s="434" t="str">
        <f>IF(COUNT(AB393:AB395)&gt;0,MAX(AB393:AB395)+1,"")</f>
        <v/>
      </c>
      <c r="AC396" s="433" t="str">
        <f>IF(AND(AH396&lt;&gt;"",AG396&lt;&gt;"",AI396&gt;0,AH396&gt;0),MAX(AC$2:AC395)+1,"XX")</f>
        <v>XX</v>
      </c>
      <c r="AD396" s="429" t="str">
        <f>IF('Antal &amp; Längder (vikter)'!$C$53&lt;&gt;"",'Antal &amp; Längder (vikter)'!$C$53,"XX")</f>
        <v>XX</v>
      </c>
      <c r="AE396" s="420" t="str">
        <f>IF(AND('Antal &amp; Längder (vikter)'!D$55&lt;&gt;"",ISNUMBER($AH396)),'Antal &amp; Längder (vikter)'!D$55,"")</f>
        <v/>
      </c>
      <c r="AF396" s="425" t="str">
        <f t="shared" si="14"/>
        <v/>
      </c>
      <c r="AG396" s="426" t="str">
        <f t="shared" si="15"/>
        <v/>
      </c>
      <c r="AH396" s="409" t="str">
        <f>IF('Antal &amp; Längder (vikter)'!E$56="Längd (mm)",IF('Antal &amp; Längder (vikter)'!E60&lt;&gt;"",'Antal &amp; Längder (vikter)'!E60,"XX"),"XX")</f>
        <v>XX</v>
      </c>
      <c r="AI396" s="158">
        <v>-9</v>
      </c>
    </row>
    <row r="397" spans="6:35" ht="15" x14ac:dyDescent="0.25">
      <c r="F397" s="199">
        <f>COUNTIF(J$113:J397,J397)</f>
        <v>7</v>
      </c>
      <c r="G397" t="s">
        <v>442</v>
      </c>
      <c r="H397" s="330">
        <v>2284</v>
      </c>
      <c r="I397" s="330">
        <v>22</v>
      </c>
      <c r="J397" t="s">
        <v>145</v>
      </c>
      <c r="K397" s="143"/>
      <c r="L397" s="220" t="str">
        <f>IF(Protokoll!I$1&lt;&gt;"",IF(N396=N$113,IF(AND(DMAX(F$113:J$403,F$113,O396:O397)&gt;COUNTA(L$111:L396)-2,DCOUNTA(F$113:J$403,G$113,N396:O397)=1),DGET(F$113:J$403,G$113,N396:O397),""),IF(AND(DMAX(F$113:J$403,F$113,Q396:Q397)&gt;COUNTA(L$111:L396)-2,DCOUNTA(F$113:J$403,G$113,P396:Q397)=1),DGET(F$113:J$403,G$113,P396:Q397),"")),G397)</f>
        <v/>
      </c>
      <c r="M397" s="143"/>
      <c r="N397" s="221" t="str">
        <f>IF(N396=N$113,IF(COUNT(N$113:Q396)&lt;DMAX(F$113:J$403,F$113,O396:O397),COUNT(N$113:Q396)+1,""),IF(COUNT(N$113:Q396)&lt;DMAX(F$113:J$403,F$113,Q396:Q397),N$113,""))</f>
        <v/>
      </c>
      <c r="O397" s="222" t="str">
        <f>IF(O396=O$113,IF(COUNTA(L$111:L396)-2&lt;DMAX(F$113:J$403,F$113,Q395:Q396),Protokoll!I$1,""),IF(O396&lt;&gt;"",IF(COUNTA(L$111:L396)-1&lt;DMAX(F$113:J$403,F$113,O395:O396),O$113,""),""))</f>
        <v/>
      </c>
      <c r="P397" s="223" t="str">
        <f>IF(N396=N$113,IF(COUNT(N$113:Q396)&lt;DMAX(F$113:J$403,F$113,O396:O397),N$113,""),IF(COUNT(N$113:Q396)&lt;DMAX(F$113:J$403,F$113,Q396:Q397),COUNT(N$113:Q396)+1,""))</f>
        <v/>
      </c>
      <c r="Q397" s="199" t="str">
        <f>IF(O396=O$113,IF(COUNTA(L$111:L396)-2&lt;DMAX(F$113:J$403,F$113,Q395:Q396),O$113,""),IF(Q396&lt;&gt;"",IF(COUNTA(L$111:L396)-2&lt;DMAX(F$113:J$403,F$113,O395:O396),Protokoll!I$1,""),""))</f>
        <v/>
      </c>
      <c r="T397" s="331" t="str">
        <f>IF(OR(Protokoll!$X$5&lt;&gt;"",Lokalbeskrivn!$M$4&lt;&gt;""),"",U397)</f>
        <v/>
      </c>
      <c r="U397" s="330" t="s">
        <v>1223</v>
      </c>
      <c r="Y397" s="397"/>
      <c r="Z397" s="397"/>
      <c r="AB397" s="475" t="str">
        <f>IF(COUNT(AB393:AB396)&gt;0,MAX(AB393:AB396)+1,"")</f>
        <v/>
      </c>
      <c r="AC397" s="433" t="str">
        <f>IF(AND(AH397&lt;&gt;"",AG397&lt;&gt;"",AI397&gt;0,AH397&gt;0),MAX(AC$2:AC396)+1,"XX")</f>
        <v>XX</v>
      </c>
      <c r="AD397" s="429" t="str">
        <f>IF('Antal &amp; Längder (vikter)'!$C$53&lt;&gt;"",'Antal &amp; Längder (vikter)'!$C$53,"XX")</f>
        <v>XX</v>
      </c>
      <c r="AE397" s="420" t="str">
        <f>IF(AND('Antal &amp; Längder (vikter)'!D$55&lt;&gt;"",ISNUMBER($AH397)),'Antal &amp; Längder (vikter)'!D$55,"")</f>
        <v/>
      </c>
      <c r="AF397" s="425" t="str">
        <f t="shared" si="14"/>
        <v/>
      </c>
      <c r="AG397" s="426" t="str">
        <f t="shared" si="15"/>
        <v/>
      </c>
      <c r="AH397" s="409" t="str">
        <f>IF('Antal &amp; Längder (vikter)'!E$56="Längd (mm)",IF('Antal &amp; Längder (vikter)'!E61&lt;&gt;"",'Antal &amp; Längder (vikter)'!E61,"XX"),"XX")</f>
        <v>XX</v>
      </c>
      <c r="AI397" s="158">
        <v>-9</v>
      </c>
    </row>
    <row r="398" spans="6:35" ht="15" x14ac:dyDescent="0.25">
      <c r="F398" s="199">
        <f>COUNTIF(J$113:J398,J398)</f>
        <v>8</v>
      </c>
      <c r="G398" t="s">
        <v>443</v>
      </c>
      <c r="H398" s="330">
        <v>2380</v>
      </c>
      <c r="I398" s="330">
        <v>23</v>
      </c>
      <c r="J398" t="s">
        <v>123</v>
      </c>
      <c r="K398" s="143"/>
      <c r="L398" s="220" t="str">
        <f>IF(Protokoll!I$1&lt;&gt;"",IF(N397=N$113,IF(AND(DMAX(F$113:J$403,F$113,O397:O398)&gt;COUNTA(L$111:L397)-2,DCOUNTA(F$113:J$403,G$113,N397:O398)=1),DGET(F$113:J$403,G$113,N397:O398),""),IF(AND(DMAX(F$113:J$403,F$113,Q397:Q398)&gt;COUNTA(L$111:L397)-2,DCOUNTA(F$113:J$403,G$113,P397:Q398)=1),DGET(F$113:J$403,G$113,P397:Q398),"")),G398)</f>
        <v/>
      </c>
      <c r="M398" s="143"/>
      <c r="N398" s="221" t="str">
        <f>IF(N397=N$113,IF(COUNT(N$113:Q397)&lt;DMAX(F$113:J$403,F$113,O397:O398),COUNT(N$113:Q397)+1,""),IF(COUNT(N$113:Q397)&lt;DMAX(F$113:J$403,F$113,Q397:Q398),N$113,""))</f>
        <v/>
      </c>
      <c r="O398" s="222" t="str">
        <f>IF(O397=O$113,IF(COUNTA(L$111:L397)-2&lt;DMAX(F$113:J$403,F$113,Q396:Q397),Protokoll!I$1,""),IF(O397&lt;&gt;"",IF(COUNTA(L$111:L397)-1&lt;DMAX(F$113:J$403,F$113,O396:O397),O$113,""),""))</f>
        <v/>
      </c>
      <c r="P398" s="223" t="str">
        <f>IF(N397=N$113,IF(COUNT(N$113:Q397)&lt;DMAX(F$113:J$403,F$113,O397:O398),N$113,""),IF(COUNT(N$113:Q397)&lt;DMAX(F$113:J$403,F$113,Q397:Q398),COUNT(N$113:Q397)+1,""))</f>
        <v/>
      </c>
      <c r="Q398" s="199" t="str">
        <f>IF(O397=O$113,IF(COUNTA(L$111:L397)-2&lt;DMAX(F$113:J$403,F$113,Q396:Q397),O$113,""),IF(Q397&lt;&gt;"",IF(COUNTA(L$111:L397)-2&lt;DMAX(F$113:J$403,F$113,O396:O397),Protokoll!I$1,""),""))</f>
        <v/>
      </c>
      <c r="T398" s="331" t="str">
        <f>IF(OR(Protokoll!$X$5&lt;&gt;"",Lokalbeskrivn!$M$4&lt;&gt;""),"",U398)</f>
        <v/>
      </c>
      <c r="U398" s="330" t="s">
        <v>1225</v>
      </c>
      <c r="Y398" s="397"/>
      <c r="Z398" s="397"/>
      <c r="AB398" s="471" t="str">
        <f>IF(COUNT(AB393:AB397)&gt;0,MAX(AB393:AB397)+1,"")</f>
        <v/>
      </c>
      <c r="AC398" s="433" t="str">
        <f>IF(AND(AH398&lt;&gt;"",AG398&lt;&gt;"",AI398&gt;0,AH398&gt;0),MAX(AC$2:AC397)+1,"XX")</f>
        <v>XX</v>
      </c>
      <c r="AD398" s="429" t="str">
        <f>IF('Antal &amp; Längder (vikter)'!$C$53&lt;&gt;"",'Antal &amp; Längder (vikter)'!$C$53,"XX")</f>
        <v>XX</v>
      </c>
      <c r="AE398" s="420" t="str">
        <f>IF(AND('Antal &amp; Längder (vikter)'!D$55&lt;&gt;"",ISNUMBER($AH398)),'Antal &amp; Längder (vikter)'!D$55,"")</f>
        <v/>
      </c>
      <c r="AF398" s="425" t="str">
        <f t="shared" si="14"/>
        <v/>
      </c>
      <c r="AG398" s="426" t="str">
        <f t="shared" si="15"/>
        <v/>
      </c>
      <c r="AH398" s="409" t="str">
        <f>IF('Antal &amp; Längder (vikter)'!E$56="Längd (mm)",IF('Antal &amp; Längder (vikter)'!E62&lt;&gt;"",'Antal &amp; Längder (vikter)'!E62,"XX"),"XX")</f>
        <v>XX</v>
      </c>
      <c r="AI398" s="158">
        <v>-9</v>
      </c>
    </row>
    <row r="399" spans="6:35" ht="15" x14ac:dyDescent="0.25">
      <c r="F399" s="199">
        <f>COUNTIF(J$113:J399,J399)</f>
        <v>26</v>
      </c>
      <c r="G399" t="s">
        <v>444</v>
      </c>
      <c r="H399" s="330">
        <v>117</v>
      </c>
      <c r="I399" s="330">
        <v>1</v>
      </c>
      <c r="J399" t="s">
        <v>136</v>
      </c>
      <c r="K399" s="143"/>
      <c r="L399" s="220" t="str">
        <f>IF(Protokoll!I$1&lt;&gt;"",IF(N398=N$113,IF(AND(DMAX(F$113:J$403,F$113,O398:O399)&gt;COUNTA(L$111:L398)-2,DCOUNTA(F$113:J$403,G$113,N398:O399)=1),DGET(F$113:J$403,G$113,N398:O399),""),IF(AND(DMAX(F$113:J$403,F$113,Q398:Q399)&gt;COUNTA(L$111:L398)-2,DCOUNTA(F$113:J$403,G$113,P398:Q399)=1),DGET(F$113:J$403,G$113,P398:Q399),"")),G399)</f>
        <v/>
      </c>
      <c r="M399" s="143"/>
      <c r="N399" s="221" t="str">
        <f>IF(N398=N$113,IF(COUNT(N$113:Q398)&lt;DMAX(F$113:J$403,F$113,O398:O399),COUNT(N$113:Q398)+1,""),IF(COUNT(N$113:Q398)&lt;DMAX(F$113:J$403,F$113,Q398:Q399),N$113,""))</f>
        <v/>
      </c>
      <c r="O399" s="222" t="str">
        <f>IF(O398=O$113,IF(COUNTA(L$111:L398)-2&lt;DMAX(F$113:J$403,F$113,Q397:Q398),Protokoll!I$1,""),IF(O398&lt;&gt;"",IF(COUNTA(L$111:L398)-1&lt;DMAX(F$113:J$403,F$113,O397:O398),O$113,""),""))</f>
        <v/>
      </c>
      <c r="P399" s="223" t="str">
        <f>IF(N398=N$113,IF(COUNT(N$113:Q398)&lt;DMAX(F$113:J$403,F$113,O398:O399),N$113,""),IF(COUNT(N$113:Q398)&lt;DMAX(F$113:J$403,F$113,Q398:Q399),COUNT(N$113:Q398)+1,""))</f>
        <v/>
      </c>
      <c r="Q399" s="199" t="str">
        <f>IF(O398=O$113,IF(COUNTA(L$111:L398)-2&lt;DMAX(F$113:J$403,F$113,Q397:Q398),O$113,""),IF(Q398&lt;&gt;"",IF(COUNTA(L$111:L398)-2&lt;DMAX(F$113:J$403,F$113,O397:O398),Protokoll!I$1,""),""))</f>
        <v/>
      </c>
      <c r="T399" s="331" t="str">
        <f>IF(OR(Protokoll!$X$5&lt;&gt;"",Lokalbeskrivn!$M$4&lt;&gt;""),"",U399)</f>
        <v/>
      </c>
      <c r="U399" s="330" t="s">
        <v>1227</v>
      </c>
      <c r="Y399" s="397"/>
      <c r="Z399" s="397"/>
      <c r="AB399" s="474" t="str">
        <f>IF(COUNT(AB393:AB398)&gt;0,MAX(AB393:AB398)+1,"")</f>
        <v/>
      </c>
      <c r="AC399" s="433" t="str">
        <f>IF(AND(AH399&lt;&gt;"",AG399&lt;&gt;"",AI399&gt;0,AH399&gt;0),MAX(AC$2:AC398)+1,"XX")</f>
        <v>XX</v>
      </c>
      <c r="AD399" s="429" t="str">
        <f>IF('Antal &amp; Längder (vikter)'!$C$53&lt;&gt;"",'Antal &amp; Längder (vikter)'!$C$53,"XX")</f>
        <v>XX</v>
      </c>
      <c r="AE399" s="420" t="str">
        <f>IF(AND('Antal &amp; Längder (vikter)'!D$55&lt;&gt;"",ISNUMBER($AH399)),'Antal &amp; Längder (vikter)'!D$55,"")</f>
        <v/>
      </c>
      <c r="AF399" s="425" t="str">
        <f t="shared" si="14"/>
        <v/>
      </c>
      <c r="AG399" s="426" t="str">
        <f t="shared" si="15"/>
        <v/>
      </c>
      <c r="AH399" s="409" t="str">
        <f>IF('Antal &amp; Längder (vikter)'!E$56="Längd (mm)",IF('Antal &amp; Längder (vikter)'!E63&lt;&gt;"",'Antal &amp; Längder (vikter)'!E63,"XX"),"XX")</f>
        <v>XX</v>
      </c>
      <c r="AI399" s="158">
        <v>-9</v>
      </c>
    </row>
    <row r="400" spans="6:35" ht="15" x14ac:dyDescent="0.25">
      <c r="F400" s="199">
        <f>COUNTIF(J$113:J400,J400)</f>
        <v>7</v>
      </c>
      <c r="G400" t="s">
        <v>445</v>
      </c>
      <c r="H400" s="330">
        <v>382</v>
      </c>
      <c r="I400" s="330">
        <v>3</v>
      </c>
      <c r="J400" t="s">
        <v>140</v>
      </c>
      <c r="K400" s="143"/>
      <c r="L400" s="220" t="str">
        <f>IF(Protokoll!I$1&lt;&gt;"",IF(N399=N$113,IF(AND(DMAX(F$113:J$403,F$113,O399:O400)&gt;COUNTA(L$111:L399)-2,DCOUNTA(F$113:J$403,G$113,N399:O400)=1),DGET(F$113:J$403,G$113,N399:O400),""),IF(AND(DMAX(F$113:J$403,F$113,Q399:Q400)&gt;COUNTA(L$111:L399)-2,DCOUNTA(F$113:J$403,G$113,P399:Q400)=1),DGET(F$113:J$403,G$113,P399:Q400),"")),G400)</f>
        <v/>
      </c>
      <c r="M400" s="143"/>
      <c r="N400" s="221" t="str">
        <f>IF(N399=N$113,IF(COUNT(N$113:Q399)&lt;DMAX(F$113:J$403,F$113,O399:O400),COUNT(N$113:Q399)+1,""),IF(COUNT(N$113:Q399)&lt;DMAX(F$113:J$403,F$113,Q399:Q400),N$113,""))</f>
        <v/>
      </c>
      <c r="O400" s="222" t="str">
        <f>IF(O399=O$113,IF(COUNTA(L$111:L399)-2&lt;DMAX(F$113:J$403,F$113,Q398:Q399),Protokoll!I$1,""),IF(O399&lt;&gt;"",IF(COUNTA(L$111:L399)-1&lt;DMAX(F$113:J$403,F$113,O398:O399),O$113,""),""))</f>
        <v/>
      </c>
      <c r="P400" s="223" t="str">
        <f>IF(N399=N$113,IF(COUNT(N$113:Q399)&lt;DMAX(F$113:J$403,F$113,O399:O400),N$113,""),IF(COUNT(N$113:Q399)&lt;DMAX(F$113:J$403,F$113,Q399:Q400),COUNT(N$113:Q399)+1,""))</f>
        <v/>
      </c>
      <c r="Q400" s="199" t="str">
        <f>IF(O399=O$113,IF(COUNTA(L$111:L399)-2&lt;DMAX(F$113:J$403,F$113,Q398:Q399),O$113,""),IF(Q399&lt;&gt;"",IF(COUNTA(L$111:L399)-2&lt;DMAX(F$113:J$403,F$113,O398:O399),Protokoll!I$1,""),""))</f>
        <v/>
      </c>
      <c r="T400" s="331" t="str">
        <f>IF(OR(Protokoll!$X$5&lt;&gt;"",Lokalbeskrivn!$M$4&lt;&gt;""),"",U400)</f>
        <v/>
      </c>
      <c r="U400" s="330" t="s">
        <v>1229</v>
      </c>
      <c r="Y400" s="397"/>
      <c r="Z400" s="397"/>
      <c r="AB400" s="478" t="str">
        <f>IF(COUNT(AB393:AB399)&gt;0,MAX(AB393:AB399)+1,"")</f>
        <v/>
      </c>
      <c r="AC400" s="433" t="str">
        <f>IF(AND(AH400&lt;&gt;"",AG400&lt;&gt;"",AI400&gt;0,AH400&gt;0),MAX(AC$2:AC399)+1,"XX")</f>
        <v>XX</v>
      </c>
      <c r="AD400" s="429" t="str">
        <f>IF('Antal &amp; Längder (vikter)'!$C$53&lt;&gt;"",'Antal &amp; Längder (vikter)'!$C$53,"XX")</f>
        <v>XX</v>
      </c>
      <c r="AE400" s="420" t="str">
        <f>IF(AND('Antal &amp; Längder (vikter)'!D$55&lt;&gt;"",ISNUMBER($AH400)),'Antal &amp; Längder (vikter)'!D$55,"")</f>
        <v/>
      </c>
      <c r="AF400" s="425" t="str">
        <f t="shared" si="14"/>
        <v/>
      </c>
      <c r="AG400" s="426" t="str">
        <f t="shared" si="15"/>
        <v/>
      </c>
      <c r="AH400" s="409" t="str">
        <f>IF('Antal &amp; Längder (vikter)'!E$56="Längd (mm)",IF('Antal &amp; Längder (vikter)'!E64&lt;&gt;"",'Antal &amp; Längder (vikter)'!E64,"XX"),"XX")</f>
        <v>XX</v>
      </c>
      <c r="AI400" s="158">
        <v>-9</v>
      </c>
    </row>
    <row r="401" spans="6:35" ht="15" x14ac:dyDescent="0.25">
      <c r="F401" s="199">
        <f>COUNTIF(J$113:J401,J401)</f>
        <v>33</v>
      </c>
      <c r="G401" t="s">
        <v>446</v>
      </c>
      <c r="H401" s="330">
        <v>1256</v>
      </c>
      <c r="I401" s="330">
        <v>12</v>
      </c>
      <c r="J401" t="s">
        <v>134</v>
      </c>
      <c r="K401"/>
      <c r="L401" s="220" t="str">
        <f>IF(Protokoll!I$1&lt;&gt;"",IF(N400=N$113,IF(AND(DMAX(F$113:J$403,F$113,O400:O401)&gt;COUNTA(L$111:L400)-2,DCOUNTA(F$113:J$403,G$113,N400:O401)=1),DGET(F$113:J$403,G$113,N400:O401),""),IF(AND(DMAX(F$113:J$403,F$113,Q400:Q401)&gt;COUNTA(L$111:L400)-2,DCOUNTA(F$113:J$403,G$113,P400:Q401)=1),DGET(F$113:J$403,G$113,P400:Q401),"")),G401)</f>
        <v/>
      </c>
      <c r="M401" s="143"/>
      <c r="N401" s="221" t="str">
        <f>IF(N400=N$113,IF(COUNT(N$113:Q400)&lt;DMAX(F$113:J$403,F$113,O400:O401),COUNT(N$113:Q400)+1,""),IF(COUNT(N$113:Q400)&lt;DMAX(F$113:J$403,F$113,Q400:Q401),N$113,""))</f>
        <v/>
      </c>
      <c r="O401" s="222" t="str">
        <f>IF(O400=O$113,IF(COUNTA(L$111:L400)-2&lt;DMAX(F$113:J$403,F$113,Q399:Q400),Protokoll!I$1,""),IF(O400&lt;&gt;"",IF(COUNTA(L$111:L400)-1&lt;DMAX(F$113:J$403,F$113,O399:O400),O$113,""),""))</f>
        <v/>
      </c>
      <c r="P401" s="223" t="str">
        <f>IF(N400=N$113,IF(COUNT(N$113:Q400)&lt;DMAX(F$113:J$403,F$113,O400:O401),N$113,""),IF(COUNT(N$113:Q400)&lt;DMAX(F$113:J$403,F$113,Q400:Q401),COUNT(N$113:Q400)+1,""))</f>
        <v/>
      </c>
      <c r="Q401" s="199" t="str">
        <f>IF(O400=O$113,IF(COUNTA(L$111:L400)-2&lt;DMAX(F$113:J$403,F$113,Q399:Q400),O$113,""),IF(Q400&lt;&gt;"",IF(COUNTA(L$111:L400)-2&lt;DMAX(F$113:J$403,F$113,O399:O400),Protokoll!I$1,""),""))</f>
        <v/>
      </c>
      <c r="T401" s="331" t="str">
        <f>IF(OR(Protokoll!$X$5&lt;&gt;"",Lokalbeskrivn!$M$4&lt;&gt;""),"",U401)</f>
        <v/>
      </c>
      <c r="U401" s="330" t="s">
        <v>1231</v>
      </c>
      <c r="Y401" s="397"/>
      <c r="Z401" s="397"/>
      <c r="AB401" s="472" t="str">
        <f>IF(COUNT(AB393:AB400)&gt;0,MAX(AB393:AB400)+1,"")</f>
        <v/>
      </c>
      <c r="AC401" s="433" t="str">
        <f>IF(AND(AH401&lt;&gt;"",AG401&lt;&gt;"",AI401&gt;0,AH401&gt;0),MAX(AC$2:AC400)+1,"XX")</f>
        <v>XX</v>
      </c>
      <c r="AD401" s="429" t="str">
        <f>IF('Antal &amp; Längder (vikter)'!$C$53&lt;&gt;"",'Antal &amp; Längder (vikter)'!$C$53,"XX")</f>
        <v>XX</v>
      </c>
      <c r="AE401" s="420" t="str">
        <f>IF(AND('Antal &amp; Längder (vikter)'!D$55&lt;&gt;"",ISNUMBER($AH401)),'Antal &amp; Längder (vikter)'!D$55,"")</f>
        <v/>
      </c>
      <c r="AF401" s="425" t="str">
        <f t="shared" si="14"/>
        <v/>
      </c>
      <c r="AG401" s="426" t="str">
        <f t="shared" si="15"/>
        <v/>
      </c>
      <c r="AH401" s="409" t="str">
        <f>IF('Antal &amp; Längder (vikter)'!E$56="Längd (mm)",IF('Antal &amp; Längder (vikter)'!E65&lt;&gt;"",'Antal &amp; Längder (vikter)'!E65,"XX"),"XX")</f>
        <v>XX</v>
      </c>
      <c r="AI401" s="158">
        <v>-9</v>
      </c>
    </row>
    <row r="402" spans="6:35" ht="15" x14ac:dyDescent="0.25">
      <c r="F402" s="199">
        <f>COUNTIF(J$113:J402,J402)</f>
        <v>13</v>
      </c>
      <c r="G402" t="s">
        <v>447</v>
      </c>
      <c r="H402" s="330">
        <v>2513</v>
      </c>
      <c r="I402" s="330">
        <v>25</v>
      </c>
      <c r="J402" t="s">
        <v>127</v>
      </c>
      <c r="K402"/>
      <c r="L402" s="220" t="str">
        <f>IF(Protokoll!I$1&lt;&gt;"",IF(N401=N$113,IF(AND(DMAX(F$113:J$403,F$113,O401:O402)&gt;COUNTA(L$111:L401)-2,DCOUNTA(F$113:J$403,G$113,N401:O402)=1),DGET(F$113:J$403,G$113,N401:O402),""),IF(AND(DMAX(F$113:J$403,F$113,Q401:Q402)&gt;COUNTA(L$111:L401)-2,DCOUNTA(F$113:J$403,G$113,P401:Q402)=1),DGET(F$113:J$403,G$113,P401:Q402),"")),G402)</f>
        <v/>
      </c>
      <c r="M402" s="143"/>
      <c r="N402" s="221" t="str">
        <f>IF(N401=N$113,IF(COUNT(N$113:Q401)&lt;DMAX(F$113:J$403,F$113,O401:O402),COUNT(N$113:Q401)+1,""),IF(COUNT(N$113:Q401)&lt;DMAX(F$113:J$403,F$113,Q401:Q402),N$113,""))</f>
        <v/>
      </c>
      <c r="O402" s="222" t="str">
        <f>IF(O401=O$113,IF(COUNTA(L$111:L401)-2&lt;DMAX(F$113:J$403,F$113,Q400:Q401),Protokoll!I$1,""),IF(O401&lt;&gt;"",IF(COUNTA(L$111:L401)-1&lt;DMAX(F$113:J$403,F$113,O400:O401),O$113,""),""))</f>
        <v/>
      </c>
      <c r="P402" s="223" t="str">
        <f>IF(N401=N$113,IF(COUNT(N$113:Q401)&lt;DMAX(F$113:J$403,F$113,O401:O402),N$113,""),IF(COUNT(N$113:Q401)&lt;DMAX(F$113:J$403,F$113,Q401:Q402),COUNT(N$113:Q401)+1,""))</f>
        <v/>
      </c>
      <c r="Q402" s="199" t="str">
        <f>IF(O401=O$113,IF(COUNTA(L$111:L401)-2&lt;DMAX(F$113:J$403,F$113,Q400:Q401),O$113,""),IF(Q401&lt;&gt;"",IF(COUNTA(L$111:L401)-2&lt;DMAX(F$113:J$403,F$113,O400:O401),Protokoll!I$1,""),""))</f>
        <v/>
      </c>
      <c r="T402" s="331" t="str">
        <f>IF(OR(Protokoll!$X$5&lt;&gt;"",Lokalbeskrivn!$M$4&lt;&gt;""),"",U402)</f>
        <v/>
      </c>
      <c r="U402" s="330" t="s">
        <v>1233</v>
      </c>
      <c r="Y402" s="397"/>
      <c r="Z402" s="397"/>
      <c r="AB402" s="479" t="str">
        <f>IF(COUNT(AB393:AB401)&gt;0,MAX(AB393:AB401)+1,"")</f>
        <v/>
      </c>
      <c r="AC402" s="433" t="str">
        <f>IF(AND(AH402&lt;&gt;"",AG402&lt;&gt;"",AI402&gt;0,AH402&gt;0),MAX(AC$2:AC401)+1,"XX")</f>
        <v>XX</v>
      </c>
      <c r="AD402" s="429" t="str">
        <f>IF('Antal &amp; Längder (vikter)'!$C$53&lt;&gt;"",'Antal &amp; Längder (vikter)'!$C$53,"XX")</f>
        <v>XX</v>
      </c>
      <c r="AE402" s="420" t="str">
        <f>IF(AND('Antal &amp; Längder (vikter)'!D$55&lt;&gt;"",ISNUMBER($AH402)),'Antal &amp; Längder (vikter)'!D$55,"")</f>
        <v/>
      </c>
      <c r="AF402" s="425" t="str">
        <f t="shared" si="14"/>
        <v/>
      </c>
      <c r="AG402" s="426" t="str">
        <f t="shared" si="15"/>
        <v/>
      </c>
      <c r="AH402" s="409" t="str">
        <f>IF('Antal &amp; Längder (vikter)'!E$56="Längd (mm)",IF('Antal &amp; Längder (vikter)'!E66&lt;&gt;"",'Antal &amp; Längder (vikter)'!E66,"XX"),"XX")</f>
        <v>XX</v>
      </c>
      <c r="AI402" s="158">
        <v>-9</v>
      </c>
    </row>
    <row r="403" spans="6:35" x14ac:dyDescent="0.25">
      <c r="F403" s="199">
        <f>COUNTIF(J$113:J403,J403)</f>
        <v>14</v>
      </c>
      <c r="G403" t="s">
        <v>448</v>
      </c>
      <c r="H403" s="330">
        <v>2518</v>
      </c>
      <c r="I403" s="330">
        <v>25</v>
      </c>
      <c r="J403" t="s">
        <v>127</v>
      </c>
      <c r="K403"/>
      <c r="L403" s="220" t="str">
        <f>IF(Protokoll!I$1&lt;&gt;"",IF(N402=N$113,IF(AND(DMAX(F$113:J$403,F$113,O402:O403)&gt;COUNTA(L$111:L402)-2,DCOUNTA(F$113:J$403,G$113,N402:O403)=1),DGET(F$113:J$403,G$113,N402:O403),""),IF(AND(DMAX(F$113:J$403,F$113,Q402:Q403)&gt;COUNTA(L$111:L402)-2,DCOUNTA(F$113:J$403,G$113,P402:Q403)=1),DGET(F$113:J$403,G$113,P402:Q403),"")),G403)</f>
        <v/>
      </c>
      <c r="M403" s="143"/>
      <c r="N403" s="221" t="str">
        <f>IF(N402=N$113,IF(COUNT(N$113:Q402)&lt;DMAX(F$113:J$403,F$113,O402:O403),COUNT(N$113:Q402)+1,""),IF(COUNT(N$113:Q402)&lt;DMAX(F$113:J$403,F$113,Q402:Q403),N$113,""))</f>
        <v/>
      </c>
      <c r="O403" s="222" t="str">
        <f>IF(O402=O$113,IF(COUNTA(L$111:L402)-2&lt;DMAX(F$113:J$403,F$113,Q401:Q402),Protokoll!I$1,""),IF(O402&lt;&gt;"",IF(COUNTA(L$111:L402)-1&lt;DMAX(F$113:J$403,F$113,O401:O402),O$113,""),""))</f>
        <v/>
      </c>
      <c r="P403" s="223" t="str">
        <f>IF(N402=N$113,IF(COUNT(N$113:Q402)&lt;DMAX(F$113:J$403,F$113,O402:O403),N$113,""),IF(COUNT(N$113:Q402)&lt;DMAX(F$113:J$403,F$113,Q402:Q403),COUNT(N$113:Q402)+1,""))</f>
        <v/>
      </c>
      <c r="Q403" s="199" t="str">
        <f>IF(O402=O$113,IF(COUNTA(L$111:L402)-2&lt;DMAX(F$113:J$403,F$113,Q401:Q402),O$113,""),IF(Q402&lt;&gt;"",IF(COUNTA(L$111:L402)-2&lt;DMAX(F$113:J$403,F$113,O401:O402),Protokoll!I$1,""),""))</f>
        <v/>
      </c>
      <c r="T403" s="331" t="str">
        <f>IF(OR(Protokoll!$X$5&lt;&gt;"",Lokalbeskrivn!$M$4&lt;&gt;""),"",U403)</f>
        <v/>
      </c>
      <c r="U403" s="330" t="s">
        <v>1235</v>
      </c>
      <c r="Y403" s="397"/>
      <c r="Z403" s="397"/>
      <c r="AB403" s="480" t="str">
        <f>IF(AND(ISNUMBER(AH403),AH403&gt;0),IF(MAX(AB$3:AB402)&gt;0,MAX(AB$3:AB402)+1,10+COUNTIF(F$38:F$49,"&gt;0")*10+1),"")</f>
        <v/>
      </c>
      <c r="AC403" s="433" t="str">
        <f>IF(AND(AH403&lt;&gt;"",AG403&lt;&gt;"",AI403&gt;0,AH403&gt;0),MAX(AC$2:AC402)+1,"XX")</f>
        <v>XX</v>
      </c>
      <c r="AD403" s="429" t="str">
        <f>IF('Antal &amp; Längder (vikter)'!$C$53&lt;&gt;"",'Antal &amp; Längder (vikter)'!$C$53,"XX")</f>
        <v>XX</v>
      </c>
      <c r="AE403" s="419" t="str">
        <f>IF(AND('Antal &amp; Längder (vikter)'!F$55&lt;&gt;"",ISNUMBER($AH403)),'Antal &amp; Längder (vikter)'!F$55,"")</f>
        <v/>
      </c>
      <c r="AF403" s="425" t="str">
        <f t="shared" si="14"/>
        <v/>
      </c>
      <c r="AG403" s="426" t="str">
        <f t="shared" si="15"/>
        <v/>
      </c>
      <c r="AH403" s="410" t="str">
        <f>IF('Antal &amp; Längder (vikter)'!F57&lt;&gt;"",'Antal &amp; Längder (vikter)'!F57,"XX")</f>
        <v>XX</v>
      </c>
      <c r="AI403" s="405">
        <f>IF('Antal &amp; Längder (vikter)'!G$56="Vikt (g)",IF('Antal &amp; Längder (vikter)'!G57&lt;&gt;"",'Antal &amp; Längder (vikter)'!G57,-9),-9)</f>
        <v>-9</v>
      </c>
    </row>
    <row r="404" spans="6:35" x14ac:dyDescent="0.25">
      <c r="T404" s="331" t="str">
        <f>IF(OR(Protokoll!$X$5&lt;&gt;"",Lokalbeskrivn!$M$4&lt;&gt;""),"",U404)</f>
        <v/>
      </c>
      <c r="U404" s="330" t="s">
        <v>1237</v>
      </c>
      <c r="Y404" s="397"/>
      <c r="Z404" s="397"/>
      <c r="AB404" s="476" t="str">
        <f>IF(COUNT(AB403:AB403)&gt;0,MAX(AB403:AB403)+1,"")</f>
        <v/>
      </c>
      <c r="AC404" s="433" t="str">
        <f>IF(AND(AH404&lt;&gt;"",AG404&lt;&gt;"",AI404&gt;0,AH404&gt;0),MAX(AC$2:AC403)+1,"XX")</f>
        <v>XX</v>
      </c>
      <c r="AD404" s="429" t="str">
        <f>IF('Antal &amp; Längder (vikter)'!$C$53&lt;&gt;"",'Antal &amp; Längder (vikter)'!$C$53,"XX")</f>
        <v>XX</v>
      </c>
      <c r="AE404" s="419" t="str">
        <f>IF(AND('Antal &amp; Längder (vikter)'!F$55&lt;&gt;"",ISNUMBER($AH404)),'Antal &amp; Längder (vikter)'!F$55,"")</f>
        <v/>
      </c>
      <c r="AF404" s="425" t="str">
        <f t="shared" si="14"/>
        <v/>
      </c>
      <c r="AG404" s="426" t="str">
        <f t="shared" si="15"/>
        <v/>
      </c>
      <c r="AH404" s="410" t="str">
        <f>IF('Antal &amp; Längder (vikter)'!F58&lt;&gt;"",'Antal &amp; Längder (vikter)'!F58,"XX")</f>
        <v>XX</v>
      </c>
      <c r="AI404" s="405">
        <f>IF('Antal &amp; Längder (vikter)'!G$56="Vikt (g)",IF('Antal &amp; Längder (vikter)'!G58&lt;&gt;"",'Antal &amp; Längder (vikter)'!G58,-9),-9)</f>
        <v>-9</v>
      </c>
    </row>
    <row r="405" spans="6:35" x14ac:dyDescent="0.25">
      <c r="T405" s="331" t="str">
        <f>IF(OR(Protokoll!$X$5&lt;&gt;"",Lokalbeskrivn!$M$4&lt;&gt;""),"",U405)</f>
        <v/>
      </c>
      <c r="U405" s="330" t="s">
        <v>1239</v>
      </c>
      <c r="Y405" s="397"/>
      <c r="Z405" s="397"/>
      <c r="AB405" s="477" t="str">
        <f>IF(COUNT(AB403:AB404)&gt;0,MAX(AB403:AB404)+1,"")</f>
        <v/>
      </c>
      <c r="AC405" s="433" t="str">
        <f>IF(AND(AH405&lt;&gt;"",AG405&lt;&gt;"",AI405&gt;0,AH405&gt;0),MAX(AC$2:AC404)+1,"XX")</f>
        <v>XX</v>
      </c>
      <c r="AD405" s="429" t="str">
        <f>IF('Antal &amp; Längder (vikter)'!$C$53&lt;&gt;"",'Antal &amp; Längder (vikter)'!$C$53,"XX")</f>
        <v>XX</v>
      </c>
      <c r="AE405" s="419" t="str">
        <f>IF(AND('Antal &amp; Längder (vikter)'!F$55&lt;&gt;"",ISNUMBER($AH405)),'Antal &amp; Längder (vikter)'!F$55,"")</f>
        <v/>
      </c>
      <c r="AF405" s="425" t="str">
        <f t="shared" si="14"/>
        <v/>
      </c>
      <c r="AG405" s="426" t="str">
        <f t="shared" si="15"/>
        <v/>
      </c>
      <c r="AH405" s="410" t="str">
        <f>IF('Antal &amp; Längder (vikter)'!F59&lt;&gt;"",'Antal &amp; Längder (vikter)'!F59,"XX")</f>
        <v>XX</v>
      </c>
      <c r="AI405" s="405">
        <f>IF('Antal &amp; Längder (vikter)'!G$56="Vikt (g)",IF('Antal &amp; Längder (vikter)'!G59&lt;&gt;"",'Antal &amp; Längder (vikter)'!G59,-9),-9)</f>
        <v>-9</v>
      </c>
    </row>
    <row r="406" spans="6:35" x14ac:dyDescent="0.25">
      <c r="T406" s="331" t="str">
        <f>IF(OR(Protokoll!$X$5&lt;&gt;"",Lokalbeskrivn!$M$4&lt;&gt;""),"",U406)</f>
        <v/>
      </c>
      <c r="U406" s="330" t="s">
        <v>1241</v>
      </c>
      <c r="Y406" s="397"/>
      <c r="Z406" s="397"/>
      <c r="AB406" s="434" t="str">
        <f>IF(COUNT(AB403:AB405)&gt;0,MAX(AB403:AB405)+1,"")</f>
        <v/>
      </c>
      <c r="AC406" s="433" t="str">
        <f>IF(AND(AH406&lt;&gt;"",AG406&lt;&gt;"",AI406&gt;0,AH406&gt;0),MAX(AC$2:AC405)+1,"XX")</f>
        <v>XX</v>
      </c>
      <c r="AD406" s="429" t="str">
        <f>IF('Antal &amp; Längder (vikter)'!$C$53&lt;&gt;"",'Antal &amp; Längder (vikter)'!$C$53,"XX")</f>
        <v>XX</v>
      </c>
      <c r="AE406" s="419" t="str">
        <f>IF(AND('Antal &amp; Längder (vikter)'!F$55&lt;&gt;"",ISNUMBER($AH406)),'Antal &amp; Längder (vikter)'!F$55,"")</f>
        <v/>
      </c>
      <c r="AF406" s="425" t="str">
        <f t="shared" si="14"/>
        <v/>
      </c>
      <c r="AG406" s="426" t="str">
        <f t="shared" si="15"/>
        <v/>
      </c>
      <c r="AH406" s="410" t="str">
        <f>IF('Antal &amp; Längder (vikter)'!F60&lt;&gt;"",'Antal &amp; Längder (vikter)'!F60,"XX")</f>
        <v>XX</v>
      </c>
      <c r="AI406" s="405">
        <f>IF('Antal &amp; Längder (vikter)'!G$56="Vikt (g)",IF('Antal &amp; Längder (vikter)'!G60&lt;&gt;"",'Antal &amp; Längder (vikter)'!G60,-9),-9)</f>
        <v>-9</v>
      </c>
    </row>
    <row r="407" spans="6:35" x14ac:dyDescent="0.25">
      <c r="T407" s="331" t="str">
        <f>IF(OR(Protokoll!$X$5&lt;&gt;"",Lokalbeskrivn!$M$4&lt;&gt;""),"",U407)</f>
        <v/>
      </c>
      <c r="U407" s="330" t="s">
        <v>1243</v>
      </c>
      <c r="Y407" s="397"/>
      <c r="Z407" s="397"/>
      <c r="AB407" s="475" t="str">
        <f>IF(COUNT(AB403:AB406)&gt;0,MAX(AB403:AB406)+1,"")</f>
        <v/>
      </c>
      <c r="AC407" s="433" t="str">
        <f>IF(AND(AH407&lt;&gt;"",AG407&lt;&gt;"",AI407&gt;0,AH407&gt;0),MAX(AC$2:AC406)+1,"XX")</f>
        <v>XX</v>
      </c>
      <c r="AD407" s="429" t="str">
        <f>IF('Antal &amp; Längder (vikter)'!$C$53&lt;&gt;"",'Antal &amp; Längder (vikter)'!$C$53,"XX")</f>
        <v>XX</v>
      </c>
      <c r="AE407" s="419" t="str">
        <f>IF(AND('Antal &amp; Längder (vikter)'!F$55&lt;&gt;"",ISNUMBER($AH407)),'Antal &amp; Längder (vikter)'!F$55,"")</f>
        <v/>
      </c>
      <c r="AF407" s="425" t="str">
        <f t="shared" si="14"/>
        <v/>
      </c>
      <c r="AG407" s="426" t="str">
        <f t="shared" si="15"/>
        <v/>
      </c>
      <c r="AH407" s="410" t="str">
        <f>IF('Antal &amp; Längder (vikter)'!F61&lt;&gt;"",'Antal &amp; Längder (vikter)'!F61,"XX")</f>
        <v>XX</v>
      </c>
      <c r="AI407" s="405">
        <f>IF('Antal &amp; Längder (vikter)'!G$56="Vikt (g)",IF('Antal &amp; Längder (vikter)'!G61&lt;&gt;"",'Antal &amp; Längder (vikter)'!G61,-9),-9)</f>
        <v>-9</v>
      </c>
    </row>
    <row r="408" spans="6:35" x14ac:dyDescent="0.25">
      <c r="T408" s="331" t="str">
        <f>IF(OR(Protokoll!$X$5&lt;&gt;"",Lokalbeskrivn!$M$4&lt;&gt;""),"",U408)</f>
        <v/>
      </c>
      <c r="U408" s="330" t="s">
        <v>1245</v>
      </c>
      <c r="Y408" s="397"/>
      <c r="Z408" s="397"/>
      <c r="AB408" s="471" t="str">
        <f>IF(COUNT(AB403:AB407)&gt;0,MAX(AB403:AB407)+1,"")</f>
        <v/>
      </c>
      <c r="AC408" s="433" t="str">
        <f>IF(AND(AH408&lt;&gt;"",AG408&lt;&gt;"",AI408&gt;0,AH408&gt;0),MAX(AC$2:AC407)+1,"XX")</f>
        <v>XX</v>
      </c>
      <c r="AD408" s="429" t="str">
        <f>IF('Antal &amp; Längder (vikter)'!$C$53&lt;&gt;"",'Antal &amp; Längder (vikter)'!$C$53,"XX")</f>
        <v>XX</v>
      </c>
      <c r="AE408" s="419" t="str">
        <f>IF(AND('Antal &amp; Längder (vikter)'!F$55&lt;&gt;"",ISNUMBER($AH408)),'Antal &amp; Längder (vikter)'!F$55,"")</f>
        <v/>
      </c>
      <c r="AF408" s="425" t="str">
        <f t="shared" si="14"/>
        <v/>
      </c>
      <c r="AG408" s="426" t="str">
        <f t="shared" si="15"/>
        <v/>
      </c>
      <c r="AH408" s="410" t="str">
        <f>IF('Antal &amp; Längder (vikter)'!F62&lt;&gt;"",'Antal &amp; Längder (vikter)'!F62,"XX")</f>
        <v>XX</v>
      </c>
      <c r="AI408" s="405">
        <f>IF('Antal &amp; Längder (vikter)'!G$56="Vikt (g)",IF('Antal &amp; Längder (vikter)'!G62&lt;&gt;"",'Antal &amp; Längder (vikter)'!G62,-9),-9)</f>
        <v>-9</v>
      </c>
    </row>
    <row r="409" spans="6:35" x14ac:dyDescent="0.25">
      <c r="L409" s="204"/>
      <c r="M409" s="204"/>
      <c r="N409" s="204"/>
      <c r="T409" s="331" t="str">
        <f>IF(OR(Protokoll!$X$5&lt;&gt;"",Lokalbeskrivn!$M$4&lt;&gt;""),"",U409)</f>
        <v/>
      </c>
      <c r="U409" s="330" t="s">
        <v>1247</v>
      </c>
      <c r="Y409" s="397"/>
      <c r="Z409" s="397"/>
      <c r="AB409" s="474" t="str">
        <f>IF(COUNT(AB403:AB408)&gt;0,MAX(AB403:AB408)+1,"")</f>
        <v/>
      </c>
      <c r="AC409" s="433" t="str">
        <f>IF(AND(AH409&lt;&gt;"",AG409&lt;&gt;"",AI409&gt;0,AH409&gt;0),MAX(AC$2:AC408)+1,"XX")</f>
        <v>XX</v>
      </c>
      <c r="AD409" s="429" t="str">
        <f>IF('Antal &amp; Längder (vikter)'!$C$53&lt;&gt;"",'Antal &amp; Längder (vikter)'!$C$53,"XX")</f>
        <v>XX</v>
      </c>
      <c r="AE409" s="419" t="str">
        <f>IF(AND('Antal &amp; Längder (vikter)'!F$55&lt;&gt;"",ISNUMBER($AH409)),'Antal &amp; Längder (vikter)'!F$55,"")</f>
        <v/>
      </c>
      <c r="AF409" s="425" t="str">
        <f t="shared" si="14"/>
        <v/>
      </c>
      <c r="AG409" s="426" t="str">
        <f t="shared" si="15"/>
        <v/>
      </c>
      <c r="AH409" s="410" t="str">
        <f>IF('Antal &amp; Längder (vikter)'!F63&lt;&gt;"",'Antal &amp; Längder (vikter)'!F63,"XX")</f>
        <v>XX</v>
      </c>
      <c r="AI409" s="405">
        <f>IF('Antal &amp; Längder (vikter)'!G$56="Vikt (g)",IF('Antal &amp; Längder (vikter)'!G63&lt;&gt;"",'Antal &amp; Längder (vikter)'!G63,-9),-9)</f>
        <v>-9</v>
      </c>
    </row>
    <row r="410" spans="6:35" x14ac:dyDescent="0.25">
      <c r="L410" s="204"/>
      <c r="M410" s="204"/>
      <c r="N410" s="204"/>
      <c r="T410" s="331" t="str">
        <f>IF(OR(Protokoll!$X$5&lt;&gt;"",Lokalbeskrivn!$M$4&lt;&gt;""),"",U410)</f>
        <v/>
      </c>
      <c r="U410" s="330" t="s">
        <v>1249</v>
      </c>
      <c r="Y410" s="397"/>
      <c r="Z410" s="397"/>
      <c r="AB410" s="478" t="str">
        <f>IF(COUNT(AB403:AB409)&gt;0,MAX(AB403:AB409)+1,"")</f>
        <v/>
      </c>
      <c r="AC410" s="433" t="str">
        <f>IF(AND(AH410&lt;&gt;"",AG410&lt;&gt;"",AI410&gt;0,AH410&gt;0),MAX(AC$2:AC409)+1,"XX")</f>
        <v>XX</v>
      </c>
      <c r="AD410" s="429" t="str">
        <f>IF('Antal &amp; Längder (vikter)'!$C$53&lt;&gt;"",'Antal &amp; Längder (vikter)'!$C$53,"XX")</f>
        <v>XX</v>
      </c>
      <c r="AE410" s="419" t="str">
        <f>IF(AND('Antal &amp; Längder (vikter)'!F$55&lt;&gt;"",ISNUMBER($AH410)),'Antal &amp; Längder (vikter)'!F$55,"")</f>
        <v/>
      </c>
      <c r="AF410" s="425" t="str">
        <f t="shared" si="14"/>
        <v/>
      </c>
      <c r="AG410" s="426" t="str">
        <f t="shared" si="15"/>
        <v/>
      </c>
      <c r="AH410" s="410" t="str">
        <f>IF('Antal &amp; Längder (vikter)'!F64&lt;&gt;"",'Antal &amp; Längder (vikter)'!F64,"XX")</f>
        <v>XX</v>
      </c>
      <c r="AI410" s="405">
        <f>IF('Antal &amp; Längder (vikter)'!G$56="Vikt (g)",IF('Antal &amp; Längder (vikter)'!G64&lt;&gt;"",'Antal &amp; Längder (vikter)'!G64,-9),-9)</f>
        <v>-9</v>
      </c>
    </row>
    <row r="411" spans="6:35" x14ac:dyDescent="0.25">
      <c r="L411" s="204"/>
      <c r="M411" s="204"/>
      <c r="N411" s="204"/>
      <c r="T411" s="331" t="str">
        <f>IF(OR(Protokoll!$X$5&lt;&gt;"",Lokalbeskrivn!$M$4&lt;&gt;""),"",U411)</f>
        <v/>
      </c>
      <c r="U411" s="330" t="s">
        <v>1251</v>
      </c>
      <c r="Y411" s="397"/>
      <c r="Z411" s="397"/>
      <c r="AB411" s="472" t="str">
        <f>IF(COUNT(AB403:AB410)&gt;0,MAX(AB403:AB410)+1,"")</f>
        <v/>
      </c>
      <c r="AC411" s="433" t="str">
        <f>IF(AND(AH411&lt;&gt;"",AG411&lt;&gt;"",AI411&gt;0,AH411&gt;0),MAX(AC$2:AC410)+1,"XX")</f>
        <v>XX</v>
      </c>
      <c r="AD411" s="429" t="str">
        <f>IF('Antal &amp; Längder (vikter)'!$C$53&lt;&gt;"",'Antal &amp; Längder (vikter)'!$C$53,"XX")</f>
        <v>XX</v>
      </c>
      <c r="AE411" s="419" t="str">
        <f>IF(AND('Antal &amp; Längder (vikter)'!F$55&lt;&gt;"",ISNUMBER($AH411)),'Antal &amp; Längder (vikter)'!F$55,"")</f>
        <v/>
      </c>
      <c r="AF411" s="425" t="str">
        <f t="shared" si="14"/>
        <v/>
      </c>
      <c r="AG411" s="426" t="str">
        <f t="shared" si="15"/>
        <v/>
      </c>
      <c r="AH411" s="410" t="str">
        <f>IF('Antal &amp; Längder (vikter)'!F65&lt;&gt;"",'Antal &amp; Längder (vikter)'!F65,"XX")</f>
        <v>XX</v>
      </c>
      <c r="AI411" s="405">
        <f>IF('Antal &amp; Längder (vikter)'!G$56="Vikt (g)",IF('Antal &amp; Längder (vikter)'!G65&lt;&gt;"",'Antal &amp; Längder (vikter)'!G65,-9),-9)</f>
        <v>-9</v>
      </c>
    </row>
    <row r="412" spans="6:35" x14ac:dyDescent="0.25">
      <c r="L412" s="204"/>
      <c r="M412" s="204"/>
      <c r="N412" s="204"/>
      <c r="T412" s="331" t="str">
        <f>IF(OR(Protokoll!$X$5&lt;&gt;"",Lokalbeskrivn!$M$4&lt;&gt;""),"",U412)</f>
        <v/>
      </c>
      <c r="U412" s="330" t="s">
        <v>1253</v>
      </c>
      <c r="Y412" s="397"/>
      <c r="Z412" s="397"/>
      <c r="AB412" s="479" t="str">
        <f>IF(COUNT(AB403:AB411)&gt;0,MAX(AB403:AB411)+1,"")</f>
        <v/>
      </c>
      <c r="AC412" s="433" t="str">
        <f>IF(AND(AH412&lt;&gt;"",AG412&lt;&gt;"",AI412&gt;0,AH412&gt;0),MAX(AC$2:AC411)+1,"XX")</f>
        <v>XX</v>
      </c>
      <c r="AD412" s="429" t="str">
        <f>IF('Antal &amp; Längder (vikter)'!$C$53&lt;&gt;"",'Antal &amp; Längder (vikter)'!$C$53,"XX")</f>
        <v>XX</v>
      </c>
      <c r="AE412" s="419" t="str">
        <f>IF(AND('Antal &amp; Längder (vikter)'!F$55&lt;&gt;"",ISNUMBER($AH412)),'Antal &amp; Längder (vikter)'!F$55,"")</f>
        <v/>
      </c>
      <c r="AF412" s="425" t="str">
        <f t="shared" si="14"/>
        <v/>
      </c>
      <c r="AG412" s="426" t="str">
        <f t="shared" si="15"/>
        <v/>
      </c>
      <c r="AH412" s="410" t="str">
        <f>IF('Antal &amp; Längder (vikter)'!F66&lt;&gt;"",'Antal &amp; Längder (vikter)'!F66,"XX")</f>
        <v>XX</v>
      </c>
      <c r="AI412" s="405">
        <f>IF('Antal &amp; Längder (vikter)'!G$56="Vikt (g)",IF('Antal &amp; Längder (vikter)'!G66&lt;&gt;"",'Antal &amp; Längder (vikter)'!G66,-9),-9)</f>
        <v>-9</v>
      </c>
    </row>
    <row r="413" spans="6:35" ht="15" x14ac:dyDescent="0.25">
      <c r="L413" s="204"/>
      <c r="M413" s="204"/>
      <c r="N413" s="204"/>
      <c r="T413" s="331" t="str">
        <f>IF(OR(Protokoll!$X$5&lt;&gt;"",Lokalbeskrivn!$M$4&lt;&gt;""),"",U413)</f>
        <v/>
      </c>
      <c r="U413" s="330" t="s">
        <v>1255</v>
      </c>
      <c r="Y413" s="397"/>
      <c r="Z413" s="397"/>
      <c r="AB413" s="480" t="str">
        <f>IF(AND(ISNUMBER(AH413),AH413&gt;0),IF(MAX(AB$3:AB412)&gt;0,MAX(AB$3:AB412)+1,10+COUNTIF(F$38:F$49,"&gt;0")*10+1),"")</f>
        <v/>
      </c>
      <c r="AC413" s="433" t="str">
        <f>IF(AND(AH413&lt;&gt;"",AG413&lt;&gt;"",AI413&gt;0,AH413&gt;0),MAX(AC$2:AC412)+1,"XX")</f>
        <v>XX</v>
      </c>
      <c r="AD413" s="429" t="str">
        <f>IF('Antal &amp; Längder (vikter)'!$C$53&lt;&gt;"",'Antal &amp; Längder (vikter)'!$C$53,"XX")</f>
        <v>XX</v>
      </c>
      <c r="AE413" s="419" t="str">
        <f>IF(AND('Antal &amp; Längder (vikter)'!F$55&lt;&gt;"",ISNUMBER($AH413)),'Antal &amp; Längder (vikter)'!F$55,"")</f>
        <v/>
      </c>
      <c r="AF413" s="425" t="str">
        <f t="shared" si="14"/>
        <v/>
      </c>
      <c r="AG413" s="426" t="str">
        <f t="shared" si="15"/>
        <v/>
      </c>
      <c r="AH413" s="409" t="str">
        <f>IF('Antal &amp; Längder (vikter)'!G$56="Längd (mm)",IF('Antal &amp; Längder (vikter)'!G57&lt;&gt;"",'Antal &amp; Längder (vikter)'!G57,"XX"),"XX")</f>
        <v>XX</v>
      </c>
      <c r="AI413" s="158">
        <v>-9</v>
      </c>
    </row>
    <row r="414" spans="6:35" ht="15" x14ac:dyDescent="0.25">
      <c r="L414" s="204"/>
      <c r="M414" s="204"/>
      <c r="N414" s="204"/>
      <c r="T414" s="331" t="str">
        <f>IF(OR(Protokoll!$X$5&lt;&gt;"",Lokalbeskrivn!$M$4&lt;&gt;""),"",U414)</f>
        <v/>
      </c>
      <c r="U414" s="330" t="s">
        <v>1257</v>
      </c>
      <c r="Y414" s="397"/>
      <c r="Z414" s="397"/>
      <c r="AB414" s="476" t="str">
        <f>IF(COUNT(AB413:AB413)&gt;0,MAX(AB413:AB413)+1,"")</f>
        <v/>
      </c>
      <c r="AC414" s="433" t="str">
        <f>IF(AND(AH414&lt;&gt;"",AG414&lt;&gt;"",AI414&gt;0,AH414&gt;0),MAX(AC$2:AC413)+1,"XX")</f>
        <v>XX</v>
      </c>
      <c r="AD414" s="429" t="str">
        <f>IF('Antal &amp; Längder (vikter)'!$C$53&lt;&gt;"",'Antal &amp; Längder (vikter)'!$C$53,"XX")</f>
        <v>XX</v>
      </c>
      <c r="AE414" s="419" t="str">
        <f>IF(AND('Antal &amp; Längder (vikter)'!F$55&lt;&gt;"",ISNUMBER($AH414)),'Antal &amp; Längder (vikter)'!F$55,"")</f>
        <v/>
      </c>
      <c r="AF414" s="425" t="str">
        <f t="shared" si="14"/>
        <v/>
      </c>
      <c r="AG414" s="426" t="str">
        <f t="shared" si="15"/>
        <v/>
      </c>
      <c r="AH414" s="409" t="str">
        <f>IF('Antal &amp; Längder (vikter)'!G$56="Längd (mm)",IF('Antal &amp; Längder (vikter)'!G58&lt;&gt;"",'Antal &amp; Längder (vikter)'!G58,"XX"),"XX")</f>
        <v>XX</v>
      </c>
      <c r="AI414" s="158">
        <v>-9</v>
      </c>
    </row>
    <row r="415" spans="6:35" ht="15" x14ac:dyDescent="0.25">
      <c r="L415" s="204"/>
      <c r="M415" s="204"/>
      <c r="N415" s="204"/>
      <c r="T415" s="331" t="str">
        <f>IF(OR(Protokoll!$X$5&lt;&gt;"",Lokalbeskrivn!$M$4&lt;&gt;""),"",U415)</f>
        <v/>
      </c>
      <c r="U415" s="330" t="s">
        <v>1259</v>
      </c>
      <c r="Y415" s="397"/>
      <c r="Z415" s="397"/>
      <c r="AB415" s="477" t="str">
        <f>IF(COUNT(AB413:AB414)&gt;0,MAX(AB413:AB414)+1,"")</f>
        <v/>
      </c>
      <c r="AC415" s="433" t="str">
        <f>IF(AND(AH415&lt;&gt;"",AG415&lt;&gt;"",AI415&gt;0,AH415&gt;0),MAX(AC$2:AC414)+1,"XX")</f>
        <v>XX</v>
      </c>
      <c r="AD415" s="429" t="str">
        <f>IF('Antal &amp; Längder (vikter)'!$C$53&lt;&gt;"",'Antal &amp; Längder (vikter)'!$C$53,"XX")</f>
        <v>XX</v>
      </c>
      <c r="AE415" s="419" t="str">
        <f>IF(AND('Antal &amp; Längder (vikter)'!F$55&lt;&gt;"",ISNUMBER($AH415)),'Antal &amp; Längder (vikter)'!F$55,"")</f>
        <v/>
      </c>
      <c r="AF415" s="425" t="str">
        <f t="shared" si="14"/>
        <v/>
      </c>
      <c r="AG415" s="426" t="str">
        <f t="shared" si="15"/>
        <v/>
      </c>
      <c r="AH415" s="409" t="str">
        <f>IF('Antal &amp; Längder (vikter)'!G$56="Längd (mm)",IF('Antal &amp; Längder (vikter)'!G59&lt;&gt;"",'Antal &amp; Längder (vikter)'!G59,"XX"),"XX")</f>
        <v>XX</v>
      </c>
      <c r="AI415" s="158">
        <v>-9</v>
      </c>
    </row>
    <row r="416" spans="6:35" ht="15" x14ac:dyDescent="0.25">
      <c r="L416" s="204"/>
      <c r="M416" s="204"/>
      <c r="N416" s="204"/>
      <c r="T416" s="331" t="str">
        <f>IF(OR(Protokoll!$X$5&lt;&gt;"",Lokalbeskrivn!$M$4&lt;&gt;""),"",U416)</f>
        <v/>
      </c>
      <c r="U416" s="330" t="s">
        <v>1261</v>
      </c>
      <c r="Y416" s="397"/>
      <c r="Z416" s="397"/>
      <c r="AB416" s="434" t="str">
        <f>IF(COUNT(AB413:AB415)&gt;0,MAX(AB413:AB415)+1,"")</f>
        <v/>
      </c>
      <c r="AC416" s="433" t="str">
        <f>IF(AND(AH416&lt;&gt;"",AG416&lt;&gt;"",AI416&gt;0,AH416&gt;0),MAX(AC$2:AC415)+1,"XX")</f>
        <v>XX</v>
      </c>
      <c r="AD416" s="429" t="str">
        <f>IF('Antal &amp; Längder (vikter)'!$C$53&lt;&gt;"",'Antal &amp; Längder (vikter)'!$C$53,"XX")</f>
        <v>XX</v>
      </c>
      <c r="AE416" s="419" t="str">
        <f>IF(AND('Antal &amp; Längder (vikter)'!F$55&lt;&gt;"",ISNUMBER($AH416)),'Antal &amp; Längder (vikter)'!F$55,"")</f>
        <v/>
      </c>
      <c r="AF416" s="425" t="str">
        <f t="shared" si="14"/>
        <v/>
      </c>
      <c r="AG416" s="426" t="str">
        <f t="shared" si="15"/>
        <v/>
      </c>
      <c r="AH416" s="409" t="str">
        <f>IF('Antal &amp; Längder (vikter)'!G$56="Längd (mm)",IF('Antal &amp; Längder (vikter)'!G60&lt;&gt;"",'Antal &amp; Längder (vikter)'!G60,"XX"),"XX")</f>
        <v>XX</v>
      </c>
      <c r="AI416" s="158">
        <v>-9</v>
      </c>
    </row>
    <row r="417" spans="12:35" ht="15" x14ac:dyDescent="0.25">
      <c r="L417" s="204"/>
      <c r="M417" s="204"/>
      <c r="N417" s="204"/>
      <c r="T417" s="331" t="str">
        <f>IF(OR(Protokoll!$X$5&lt;&gt;"",Lokalbeskrivn!$M$4&lt;&gt;""),"",U417)</f>
        <v/>
      </c>
      <c r="U417" s="330" t="s">
        <v>1263</v>
      </c>
      <c r="Y417" s="397"/>
      <c r="Z417" s="397"/>
      <c r="AB417" s="475" t="str">
        <f>IF(COUNT(AB413:AB416)&gt;0,MAX(AB413:AB416)+1,"")</f>
        <v/>
      </c>
      <c r="AC417" s="433" t="str">
        <f>IF(AND(AH417&lt;&gt;"",AG417&lt;&gt;"",AI417&gt;0,AH417&gt;0),MAX(AC$2:AC416)+1,"XX")</f>
        <v>XX</v>
      </c>
      <c r="AD417" s="429" t="str">
        <f>IF('Antal &amp; Längder (vikter)'!$C$53&lt;&gt;"",'Antal &amp; Längder (vikter)'!$C$53,"XX")</f>
        <v>XX</v>
      </c>
      <c r="AE417" s="419" t="str">
        <f>IF(AND('Antal &amp; Längder (vikter)'!F$55&lt;&gt;"",ISNUMBER($AH417)),'Antal &amp; Längder (vikter)'!F$55,"")</f>
        <v/>
      </c>
      <c r="AF417" s="425" t="str">
        <f t="shared" si="14"/>
        <v/>
      </c>
      <c r="AG417" s="426" t="str">
        <f t="shared" si="15"/>
        <v/>
      </c>
      <c r="AH417" s="409" t="str">
        <f>IF('Antal &amp; Längder (vikter)'!G$56="Längd (mm)",IF('Antal &amp; Längder (vikter)'!G61&lt;&gt;"",'Antal &amp; Längder (vikter)'!G61,"XX"),"XX")</f>
        <v>XX</v>
      </c>
      <c r="AI417" s="158">
        <v>-9</v>
      </c>
    </row>
    <row r="418" spans="12:35" ht="15" x14ac:dyDescent="0.25">
      <c r="L418" s="204"/>
      <c r="M418" s="204"/>
      <c r="N418" s="204"/>
      <c r="T418" s="331" t="str">
        <f>IF(OR(Protokoll!$X$5&lt;&gt;"",Lokalbeskrivn!$M$4&lt;&gt;""),"",U418)</f>
        <v/>
      </c>
      <c r="U418" s="330" t="s">
        <v>1265</v>
      </c>
      <c r="Y418" s="397"/>
      <c r="Z418" s="397"/>
      <c r="AB418" s="471" t="str">
        <f>IF(COUNT(AB413:AB417)&gt;0,MAX(AB413:AB417)+1,"")</f>
        <v/>
      </c>
      <c r="AC418" s="433" t="str">
        <f>IF(AND(AH418&lt;&gt;"",AG418&lt;&gt;"",AI418&gt;0,AH418&gt;0),MAX(AC$2:AC417)+1,"XX")</f>
        <v>XX</v>
      </c>
      <c r="AD418" s="429" t="str">
        <f>IF('Antal &amp; Längder (vikter)'!$C$53&lt;&gt;"",'Antal &amp; Längder (vikter)'!$C$53,"XX")</f>
        <v>XX</v>
      </c>
      <c r="AE418" s="419" t="str">
        <f>IF(AND('Antal &amp; Längder (vikter)'!F$55&lt;&gt;"",ISNUMBER($AH418)),'Antal &amp; Längder (vikter)'!F$55,"")</f>
        <v/>
      </c>
      <c r="AF418" s="425" t="str">
        <f t="shared" si="14"/>
        <v/>
      </c>
      <c r="AG418" s="426" t="str">
        <f t="shared" si="15"/>
        <v/>
      </c>
      <c r="AH418" s="409" t="str">
        <f>IF('Antal &amp; Längder (vikter)'!G$56="Längd (mm)",IF('Antal &amp; Längder (vikter)'!G62&lt;&gt;"",'Antal &amp; Längder (vikter)'!G62,"XX"),"XX")</f>
        <v>XX</v>
      </c>
      <c r="AI418" s="158">
        <v>-9</v>
      </c>
    </row>
    <row r="419" spans="12:35" ht="15" x14ac:dyDescent="0.25">
      <c r="L419" s="204"/>
      <c r="M419" s="204"/>
      <c r="N419" s="204"/>
      <c r="T419" s="331" t="str">
        <f>IF(OR(Protokoll!$X$5&lt;&gt;"",Lokalbeskrivn!$M$4&lt;&gt;""),"",U419)</f>
        <v/>
      </c>
      <c r="U419" s="330" t="s">
        <v>1267</v>
      </c>
      <c r="Y419" s="397"/>
      <c r="Z419" s="397"/>
      <c r="AB419" s="474" t="str">
        <f>IF(COUNT(AB413:AB418)&gt;0,MAX(AB413:AB418)+1,"")</f>
        <v/>
      </c>
      <c r="AC419" s="433" t="str">
        <f>IF(AND(AH419&lt;&gt;"",AG419&lt;&gt;"",AI419&gt;0,AH419&gt;0),MAX(AC$2:AC418)+1,"XX")</f>
        <v>XX</v>
      </c>
      <c r="AD419" s="429" t="str">
        <f>IF('Antal &amp; Längder (vikter)'!$C$53&lt;&gt;"",'Antal &amp; Längder (vikter)'!$C$53,"XX")</f>
        <v>XX</v>
      </c>
      <c r="AE419" s="419" t="str">
        <f>IF(AND('Antal &amp; Längder (vikter)'!F$55&lt;&gt;"",ISNUMBER($AH419)),'Antal &amp; Längder (vikter)'!F$55,"")</f>
        <v/>
      </c>
      <c r="AF419" s="425" t="str">
        <f t="shared" si="14"/>
        <v/>
      </c>
      <c r="AG419" s="426" t="str">
        <f t="shared" si="15"/>
        <v/>
      </c>
      <c r="AH419" s="409" t="str">
        <f>IF('Antal &amp; Längder (vikter)'!G$56="Längd (mm)",IF('Antal &amp; Längder (vikter)'!G63&lt;&gt;"",'Antal &amp; Längder (vikter)'!G63,"XX"),"XX")</f>
        <v>XX</v>
      </c>
      <c r="AI419" s="158">
        <v>-9</v>
      </c>
    </row>
    <row r="420" spans="12:35" ht="15" x14ac:dyDescent="0.25">
      <c r="L420" s="204"/>
      <c r="M420" s="204"/>
      <c r="N420" s="204"/>
      <c r="T420" s="331" t="str">
        <f>IF(OR(Protokoll!$X$5&lt;&gt;"",Lokalbeskrivn!$M$4&lt;&gt;""),"",U420)</f>
        <v/>
      </c>
      <c r="U420" s="330" t="s">
        <v>1269</v>
      </c>
      <c r="Y420" s="397"/>
      <c r="Z420" s="397"/>
      <c r="AB420" s="478" t="str">
        <f>IF(COUNT(AB413:AB419)&gt;0,MAX(AB413:AB419)+1,"")</f>
        <v/>
      </c>
      <c r="AC420" s="433" t="str">
        <f>IF(AND(AH420&lt;&gt;"",AG420&lt;&gt;"",AI420&gt;0,AH420&gt;0),MAX(AC$2:AC419)+1,"XX")</f>
        <v>XX</v>
      </c>
      <c r="AD420" s="429" t="str">
        <f>IF('Antal &amp; Längder (vikter)'!$C$53&lt;&gt;"",'Antal &amp; Längder (vikter)'!$C$53,"XX")</f>
        <v>XX</v>
      </c>
      <c r="AE420" s="419" t="str">
        <f>IF(AND('Antal &amp; Längder (vikter)'!F$55&lt;&gt;"",ISNUMBER($AH420)),'Antal &amp; Längder (vikter)'!F$55,"")</f>
        <v/>
      </c>
      <c r="AF420" s="425" t="str">
        <f t="shared" si="14"/>
        <v/>
      </c>
      <c r="AG420" s="426" t="str">
        <f t="shared" si="15"/>
        <v/>
      </c>
      <c r="AH420" s="409" t="str">
        <f>IF('Antal &amp; Längder (vikter)'!G$56="Längd (mm)",IF('Antal &amp; Längder (vikter)'!G64&lt;&gt;"",'Antal &amp; Längder (vikter)'!G64,"XX"),"XX")</f>
        <v>XX</v>
      </c>
      <c r="AI420" s="158">
        <v>-9</v>
      </c>
    </row>
    <row r="421" spans="12:35" ht="15" x14ac:dyDescent="0.25">
      <c r="L421" s="204"/>
      <c r="M421" s="204"/>
      <c r="N421" s="204"/>
      <c r="T421" s="331" t="str">
        <f>IF(OR(Protokoll!$X$5&lt;&gt;"",Lokalbeskrivn!$M$4&lt;&gt;""),"",U421)</f>
        <v/>
      </c>
      <c r="U421" s="330" t="s">
        <v>1271</v>
      </c>
      <c r="Y421" s="397"/>
      <c r="Z421" s="397"/>
      <c r="AB421" s="472" t="str">
        <f>IF(COUNT(AB413:AB420)&gt;0,MAX(AB413:AB420)+1,"")</f>
        <v/>
      </c>
      <c r="AC421" s="433" t="str">
        <f>IF(AND(AH421&lt;&gt;"",AG421&lt;&gt;"",AI421&gt;0,AH421&gt;0),MAX(AC$2:AC420)+1,"XX")</f>
        <v>XX</v>
      </c>
      <c r="AD421" s="429" t="str">
        <f>IF('Antal &amp; Längder (vikter)'!$C$53&lt;&gt;"",'Antal &amp; Längder (vikter)'!$C$53,"XX")</f>
        <v>XX</v>
      </c>
      <c r="AE421" s="419" t="str">
        <f>IF(AND('Antal &amp; Längder (vikter)'!F$55&lt;&gt;"",ISNUMBER($AH421)),'Antal &amp; Längder (vikter)'!F$55,"")</f>
        <v/>
      </c>
      <c r="AF421" s="425" t="str">
        <f t="shared" si="14"/>
        <v/>
      </c>
      <c r="AG421" s="426" t="str">
        <f t="shared" si="15"/>
        <v/>
      </c>
      <c r="AH421" s="409" t="str">
        <f>IF('Antal &amp; Längder (vikter)'!G$56="Längd (mm)",IF('Antal &amp; Längder (vikter)'!G65&lt;&gt;"",'Antal &amp; Längder (vikter)'!G65,"XX"),"XX")</f>
        <v>XX</v>
      </c>
      <c r="AI421" s="158">
        <v>-9</v>
      </c>
    </row>
    <row r="422" spans="12:35" ht="15" x14ac:dyDescent="0.25">
      <c r="L422" s="204"/>
      <c r="M422" s="204"/>
      <c r="N422" s="204"/>
      <c r="T422" s="331" t="str">
        <f>IF(OR(Protokoll!$X$5&lt;&gt;"",Lokalbeskrivn!$M$4&lt;&gt;""),"",U422)</f>
        <v/>
      </c>
      <c r="U422" s="330" t="s">
        <v>1273</v>
      </c>
      <c r="Y422" s="397"/>
      <c r="Z422" s="397"/>
      <c r="AB422" s="479" t="str">
        <f>IF(COUNT(AB413:AB421)&gt;0,MAX(AB413:AB421)+1,"")</f>
        <v/>
      </c>
      <c r="AC422" s="433" t="str">
        <f>IF(AND(AH422&lt;&gt;"",AG422&lt;&gt;"",AI422&gt;0,AH422&gt;0),MAX(AC$2:AC421)+1,"XX")</f>
        <v>XX</v>
      </c>
      <c r="AD422" s="429" t="str">
        <f>IF('Antal &amp; Längder (vikter)'!$C$53&lt;&gt;"",'Antal &amp; Längder (vikter)'!$C$53,"XX")</f>
        <v>XX</v>
      </c>
      <c r="AE422" s="419" t="str">
        <f>IF(AND('Antal &amp; Längder (vikter)'!F$55&lt;&gt;"",ISNUMBER($AH422)),'Antal &amp; Längder (vikter)'!F$55,"")</f>
        <v/>
      </c>
      <c r="AF422" s="425" t="str">
        <f t="shared" si="14"/>
        <v/>
      </c>
      <c r="AG422" s="426" t="str">
        <f t="shared" si="15"/>
        <v/>
      </c>
      <c r="AH422" s="409" t="str">
        <f>IF('Antal &amp; Längder (vikter)'!G$56="Längd (mm)",IF('Antal &amp; Längder (vikter)'!G66&lt;&gt;"",'Antal &amp; Längder (vikter)'!G66,"XX"),"XX")</f>
        <v>XX</v>
      </c>
      <c r="AI422" s="158">
        <v>-9</v>
      </c>
    </row>
    <row r="423" spans="12:35" x14ac:dyDescent="0.25">
      <c r="L423" s="204"/>
      <c r="M423" s="204"/>
      <c r="N423" s="204"/>
      <c r="T423" s="331" t="str">
        <f>IF(OR(Protokoll!$X$5&lt;&gt;"",Lokalbeskrivn!$M$4&lt;&gt;""),"",U423)</f>
        <v/>
      </c>
      <c r="U423" s="330" t="s">
        <v>1275</v>
      </c>
      <c r="Y423" s="397"/>
      <c r="Z423" s="397"/>
      <c r="AB423" s="480" t="str">
        <f>IF(AND(ISNUMBER(AH423),AH423&gt;0),IF(MAX(AB$3:AB422)&gt;0,MAX(AB$3:AB422)+1,10+COUNTIF(F$38:F$49,"&gt;0")*10+1),"")</f>
        <v/>
      </c>
      <c r="AC423" s="433" t="str">
        <f>IF(AND(AH423&lt;&gt;"",AG423&lt;&gt;"",AI423&gt;0,AH423&gt;0),MAX(AC$2:AC422)+1,"XX")</f>
        <v>XX</v>
      </c>
      <c r="AD423" s="429" t="str">
        <f>IF('Antal &amp; Längder (vikter)'!$C$53&lt;&gt;"",'Antal &amp; Längder (vikter)'!$C$53,"XX")</f>
        <v>XX</v>
      </c>
      <c r="AE423" s="420" t="str">
        <f>IF(AND('Antal &amp; Längder (vikter)'!H$55&lt;&gt;"",ISNUMBER($AH423)),'Antal &amp; Längder (vikter)'!H$55,"")</f>
        <v/>
      </c>
      <c r="AF423" s="425" t="str">
        <f t="shared" si="14"/>
        <v/>
      </c>
      <c r="AG423" s="426" t="str">
        <f t="shared" si="15"/>
        <v/>
      </c>
      <c r="AH423" s="410" t="str">
        <f>IF('Antal &amp; Längder (vikter)'!H57&lt;&gt;"",'Antal &amp; Längder (vikter)'!H57,"XX")</f>
        <v>XX</v>
      </c>
      <c r="AI423" s="405">
        <f>IF('Antal &amp; Längder (vikter)'!I$56="Vikt (g)",IF('Antal &amp; Längder (vikter)'!I57&lt;&gt;"",'Antal &amp; Längder (vikter)'!I57,-9),-9)</f>
        <v>-9</v>
      </c>
    </row>
    <row r="424" spans="12:35" x14ac:dyDescent="0.25">
      <c r="L424" s="204"/>
      <c r="M424" s="204"/>
      <c r="N424" s="204"/>
      <c r="T424" s="331" t="str">
        <f>IF(OR(Protokoll!$X$5&lt;&gt;"",Lokalbeskrivn!$M$4&lt;&gt;""),"",U424)</f>
        <v/>
      </c>
      <c r="U424" s="330" t="s">
        <v>1277</v>
      </c>
      <c r="Y424" s="397"/>
      <c r="Z424" s="397"/>
      <c r="AB424" s="476" t="str">
        <f>IF(COUNT(AB423:AB423)&gt;0,MAX(AB423:AB423)+1,"")</f>
        <v/>
      </c>
      <c r="AC424" s="433" t="str">
        <f>IF(AND(AH424&lt;&gt;"",AG424&lt;&gt;"",AI424&gt;0,AH424&gt;0),MAX(AC$2:AC423)+1,"XX")</f>
        <v>XX</v>
      </c>
      <c r="AD424" s="429" t="str">
        <f>IF('Antal &amp; Längder (vikter)'!$C$53&lt;&gt;"",'Antal &amp; Längder (vikter)'!$C$53,"XX")</f>
        <v>XX</v>
      </c>
      <c r="AE424" s="420" t="str">
        <f>IF(AND('Antal &amp; Längder (vikter)'!H$55&lt;&gt;"",ISNUMBER($AH424)),'Antal &amp; Längder (vikter)'!H$55,"")</f>
        <v/>
      </c>
      <c r="AF424" s="425" t="str">
        <f t="shared" si="14"/>
        <v/>
      </c>
      <c r="AG424" s="426" t="str">
        <f t="shared" si="15"/>
        <v/>
      </c>
      <c r="AH424" s="410" t="str">
        <f>IF('Antal &amp; Längder (vikter)'!H58&lt;&gt;"",'Antal &amp; Längder (vikter)'!H58,"XX")</f>
        <v>XX</v>
      </c>
      <c r="AI424" s="405">
        <f>IF('Antal &amp; Längder (vikter)'!I$56="Vikt (g)",IF('Antal &amp; Längder (vikter)'!I58&lt;&gt;"",'Antal &amp; Längder (vikter)'!I58,-9),-9)</f>
        <v>-9</v>
      </c>
    </row>
    <row r="425" spans="12:35" x14ac:dyDescent="0.25">
      <c r="L425" s="204"/>
      <c r="M425" s="204"/>
      <c r="N425" s="204"/>
      <c r="T425" s="331" t="str">
        <f>IF(OR(Protokoll!$X$5&lt;&gt;"",Lokalbeskrivn!$M$4&lt;&gt;""),"",U425)</f>
        <v/>
      </c>
      <c r="U425" s="330" t="s">
        <v>1279</v>
      </c>
      <c r="Y425" s="397"/>
      <c r="Z425" s="397"/>
      <c r="AB425" s="477" t="str">
        <f>IF(COUNT(AB423:AB424)&gt;0,MAX(AB423:AB424)+1,"")</f>
        <v/>
      </c>
      <c r="AC425" s="433" t="str">
        <f>IF(AND(AH425&lt;&gt;"",AG425&lt;&gt;"",AI425&gt;0,AH425&gt;0),MAX(AC$2:AC424)+1,"XX")</f>
        <v>XX</v>
      </c>
      <c r="AD425" s="429" t="str">
        <f>IF('Antal &amp; Längder (vikter)'!$C$53&lt;&gt;"",'Antal &amp; Längder (vikter)'!$C$53,"XX")</f>
        <v>XX</v>
      </c>
      <c r="AE425" s="420" t="str">
        <f>IF(AND('Antal &amp; Längder (vikter)'!H$55&lt;&gt;"",ISNUMBER($AH425)),'Antal &amp; Längder (vikter)'!H$55,"")</f>
        <v/>
      </c>
      <c r="AF425" s="425" t="str">
        <f t="shared" si="14"/>
        <v/>
      </c>
      <c r="AG425" s="426" t="str">
        <f t="shared" si="15"/>
        <v/>
      </c>
      <c r="AH425" s="410" t="str">
        <f>IF('Antal &amp; Längder (vikter)'!H59&lt;&gt;"",'Antal &amp; Längder (vikter)'!H59,"XX")</f>
        <v>XX</v>
      </c>
      <c r="AI425" s="405">
        <f>IF('Antal &amp; Längder (vikter)'!I$56="Vikt (g)",IF('Antal &amp; Längder (vikter)'!I59&lt;&gt;"",'Antal &amp; Längder (vikter)'!I59,-9),-9)</f>
        <v>-9</v>
      </c>
    </row>
    <row r="426" spans="12:35" x14ac:dyDescent="0.25">
      <c r="L426" s="204"/>
      <c r="M426" s="204"/>
      <c r="N426" s="204"/>
      <c r="T426" s="331" t="str">
        <f>IF(OR(Protokoll!$X$5&lt;&gt;"",Lokalbeskrivn!$M$4&lt;&gt;""),"",U426)</f>
        <v/>
      </c>
      <c r="U426" s="330" t="s">
        <v>1281</v>
      </c>
      <c r="Y426" s="397"/>
      <c r="Z426" s="397"/>
      <c r="AB426" s="434" t="str">
        <f>IF(COUNT(AB423:AB425)&gt;0,MAX(AB423:AB425)+1,"")</f>
        <v/>
      </c>
      <c r="AC426" s="433" t="str">
        <f>IF(AND(AH426&lt;&gt;"",AG426&lt;&gt;"",AI426&gt;0,AH426&gt;0),MAX(AC$2:AC425)+1,"XX")</f>
        <v>XX</v>
      </c>
      <c r="AD426" s="429" t="str">
        <f>IF('Antal &amp; Längder (vikter)'!$C$53&lt;&gt;"",'Antal &amp; Längder (vikter)'!$C$53,"XX")</f>
        <v>XX</v>
      </c>
      <c r="AE426" s="420" t="str">
        <f>IF(AND('Antal &amp; Längder (vikter)'!H$55&lt;&gt;"",ISNUMBER($AH426)),'Antal &amp; Längder (vikter)'!H$55,"")</f>
        <v/>
      </c>
      <c r="AF426" s="425" t="str">
        <f t="shared" si="14"/>
        <v/>
      </c>
      <c r="AG426" s="426" t="str">
        <f t="shared" si="15"/>
        <v/>
      </c>
      <c r="AH426" s="410" t="str">
        <f>IF('Antal &amp; Längder (vikter)'!H60&lt;&gt;"",'Antal &amp; Längder (vikter)'!H60,"XX")</f>
        <v>XX</v>
      </c>
      <c r="AI426" s="405">
        <f>IF('Antal &amp; Längder (vikter)'!I$56="Vikt (g)",IF('Antal &amp; Längder (vikter)'!I60&lt;&gt;"",'Antal &amp; Längder (vikter)'!I60,-9),-9)</f>
        <v>-9</v>
      </c>
    </row>
    <row r="427" spans="12:35" x14ac:dyDescent="0.25">
      <c r="L427" s="204"/>
      <c r="M427" s="204"/>
      <c r="N427" s="204"/>
      <c r="T427" s="331" t="str">
        <f>IF(OR(Protokoll!$X$5&lt;&gt;"",Lokalbeskrivn!$M$4&lt;&gt;""),"",U427)</f>
        <v/>
      </c>
      <c r="U427" s="330" t="s">
        <v>1283</v>
      </c>
      <c r="Y427" s="397"/>
      <c r="Z427" s="397"/>
      <c r="AB427" s="475" t="str">
        <f>IF(COUNT(AB423:AB426)&gt;0,MAX(AB423:AB426)+1,"")</f>
        <v/>
      </c>
      <c r="AC427" s="433" t="str">
        <f>IF(AND(AH427&lt;&gt;"",AG427&lt;&gt;"",AI427&gt;0,AH427&gt;0),MAX(AC$2:AC426)+1,"XX")</f>
        <v>XX</v>
      </c>
      <c r="AD427" s="429" t="str">
        <f>IF('Antal &amp; Längder (vikter)'!$C$53&lt;&gt;"",'Antal &amp; Längder (vikter)'!$C$53,"XX")</f>
        <v>XX</v>
      </c>
      <c r="AE427" s="420" t="str">
        <f>IF(AND('Antal &amp; Längder (vikter)'!H$55&lt;&gt;"",ISNUMBER($AH427)),'Antal &amp; Längder (vikter)'!H$55,"")</f>
        <v/>
      </c>
      <c r="AF427" s="425" t="str">
        <f t="shared" si="14"/>
        <v/>
      </c>
      <c r="AG427" s="426" t="str">
        <f t="shared" si="15"/>
        <v/>
      </c>
      <c r="AH427" s="410" t="str">
        <f>IF('Antal &amp; Längder (vikter)'!H61&lt;&gt;"",'Antal &amp; Längder (vikter)'!H61,"XX")</f>
        <v>XX</v>
      </c>
      <c r="AI427" s="405">
        <f>IF('Antal &amp; Längder (vikter)'!I$56="Vikt (g)",IF('Antal &amp; Längder (vikter)'!I61&lt;&gt;"",'Antal &amp; Längder (vikter)'!I61,-9),-9)</f>
        <v>-9</v>
      </c>
    </row>
    <row r="428" spans="12:35" x14ac:dyDescent="0.25">
      <c r="L428" s="204"/>
      <c r="M428" s="204"/>
      <c r="N428" s="204"/>
      <c r="T428" s="331" t="str">
        <f>IF(OR(Protokoll!$X$5&lt;&gt;"",Lokalbeskrivn!$M$4&lt;&gt;""),"",U428)</f>
        <v/>
      </c>
      <c r="U428" s="330" t="s">
        <v>1285</v>
      </c>
      <c r="Y428" s="397"/>
      <c r="Z428" s="397"/>
      <c r="AB428" s="471" t="str">
        <f>IF(COUNT(AB423:AB427)&gt;0,MAX(AB423:AB427)+1,"")</f>
        <v/>
      </c>
      <c r="AC428" s="433" t="str">
        <f>IF(AND(AH428&lt;&gt;"",AG428&lt;&gt;"",AI428&gt;0,AH428&gt;0),MAX(AC$2:AC427)+1,"XX")</f>
        <v>XX</v>
      </c>
      <c r="AD428" s="429" t="str">
        <f>IF('Antal &amp; Längder (vikter)'!$C$53&lt;&gt;"",'Antal &amp; Längder (vikter)'!$C$53,"XX")</f>
        <v>XX</v>
      </c>
      <c r="AE428" s="420" t="str">
        <f>IF(AND('Antal &amp; Längder (vikter)'!H$55&lt;&gt;"",ISNUMBER($AH428)),'Antal &amp; Längder (vikter)'!H$55,"")</f>
        <v/>
      </c>
      <c r="AF428" s="425" t="str">
        <f t="shared" si="14"/>
        <v/>
      </c>
      <c r="AG428" s="426" t="str">
        <f t="shared" si="15"/>
        <v/>
      </c>
      <c r="AH428" s="410" t="str">
        <f>IF('Antal &amp; Längder (vikter)'!H62&lt;&gt;"",'Antal &amp; Längder (vikter)'!H62,"XX")</f>
        <v>XX</v>
      </c>
      <c r="AI428" s="405">
        <f>IF('Antal &amp; Längder (vikter)'!I$56="Vikt (g)",IF('Antal &amp; Längder (vikter)'!I62&lt;&gt;"",'Antal &amp; Längder (vikter)'!I62,-9),-9)</f>
        <v>-9</v>
      </c>
    </row>
    <row r="429" spans="12:35" x14ac:dyDescent="0.25">
      <c r="L429" s="204"/>
      <c r="M429" s="204"/>
      <c r="N429" s="204"/>
      <c r="T429" s="331" t="str">
        <f>IF(OR(Protokoll!$X$5&lt;&gt;"",Lokalbeskrivn!$M$4&lt;&gt;""),"",U429)</f>
        <v/>
      </c>
      <c r="U429" s="330" t="s">
        <v>1287</v>
      </c>
      <c r="Y429" s="397"/>
      <c r="Z429" s="397"/>
      <c r="AB429" s="474" t="str">
        <f>IF(COUNT(AB423:AB428)&gt;0,MAX(AB423:AB428)+1,"")</f>
        <v/>
      </c>
      <c r="AC429" s="433" t="str">
        <f>IF(AND(AH429&lt;&gt;"",AG429&lt;&gt;"",AI429&gt;0,AH429&gt;0),MAX(AC$2:AC428)+1,"XX")</f>
        <v>XX</v>
      </c>
      <c r="AD429" s="429" t="str">
        <f>IF('Antal &amp; Längder (vikter)'!$C$53&lt;&gt;"",'Antal &amp; Längder (vikter)'!$C$53,"XX")</f>
        <v>XX</v>
      </c>
      <c r="AE429" s="420" t="str">
        <f>IF(AND('Antal &amp; Längder (vikter)'!H$55&lt;&gt;"",ISNUMBER($AH429)),'Antal &amp; Längder (vikter)'!H$55,"")</f>
        <v/>
      </c>
      <c r="AF429" s="425" t="str">
        <f t="shared" si="14"/>
        <v/>
      </c>
      <c r="AG429" s="426" t="str">
        <f t="shared" si="15"/>
        <v/>
      </c>
      <c r="AH429" s="410" t="str">
        <f>IF('Antal &amp; Längder (vikter)'!H63&lt;&gt;"",'Antal &amp; Längder (vikter)'!H63,"XX")</f>
        <v>XX</v>
      </c>
      <c r="AI429" s="405">
        <f>IF('Antal &amp; Längder (vikter)'!I$56="Vikt (g)",IF('Antal &amp; Längder (vikter)'!I63&lt;&gt;"",'Antal &amp; Längder (vikter)'!I63,-9),-9)</f>
        <v>-9</v>
      </c>
    </row>
    <row r="430" spans="12:35" x14ac:dyDescent="0.25">
      <c r="L430" s="204"/>
      <c r="M430" s="204"/>
      <c r="N430" s="204"/>
      <c r="T430" s="331" t="str">
        <f>IF(OR(Protokoll!$X$5&lt;&gt;"",Lokalbeskrivn!$M$4&lt;&gt;""),"",U430)</f>
        <v/>
      </c>
      <c r="U430" s="330" t="s">
        <v>1289</v>
      </c>
      <c r="Y430" s="397"/>
      <c r="Z430" s="397"/>
      <c r="AB430" s="478" t="str">
        <f>IF(COUNT(AB423:AB429)&gt;0,MAX(AB423:AB429)+1,"")</f>
        <v/>
      </c>
      <c r="AC430" s="433" t="str">
        <f>IF(AND(AH430&lt;&gt;"",AG430&lt;&gt;"",AI430&gt;0,AH430&gt;0),MAX(AC$2:AC429)+1,"XX")</f>
        <v>XX</v>
      </c>
      <c r="AD430" s="429" t="str">
        <f>IF('Antal &amp; Längder (vikter)'!$C$53&lt;&gt;"",'Antal &amp; Längder (vikter)'!$C$53,"XX")</f>
        <v>XX</v>
      </c>
      <c r="AE430" s="420" t="str">
        <f>IF(AND('Antal &amp; Längder (vikter)'!H$55&lt;&gt;"",ISNUMBER($AH430)),'Antal &amp; Längder (vikter)'!H$55,"")</f>
        <v/>
      </c>
      <c r="AF430" s="425" t="str">
        <f t="shared" si="14"/>
        <v/>
      </c>
      <c r="AG430" s="426" t="str">
        <f t="shared" si="15"/>
        <v/>
      </c>
      <c r="AH430" s="410" t="str">
        <f>IF('Antal &amp; Längder (vikter)'!H64&lt;&gt;"",'Antal &amp; Längder (vikter)'!H64,"XX")</f>
        <v>XX</v>
      </c>
      <c r="AI430" s="405">
        <f>IF('Antal &amp; Längder (vikter)'!I$56="Vikt (g)",IF('Antal &amp; Längder (vikter)'!I64&lt;&gt;"",'Antal &amp; Längder (vikter)'!I64,-9),-9)</f>
        <v>-9</v>
      </c>
    </row>
    <row r="431" spans="12:35" x14ac:dyDescent="0.25">
      <c r="L431" s="204"/>
      <c r="M431" s="204"/>
      <c r="N431" s="204"/>
      <c r="T431" s="331" t="str">
        <f>IF(OR(Protokoll!$X$5&lt;&gt;"",Lokalbeskrivn!$M$4&lt;&gt;""),"",U431)</f>
        <v/>
      </c>
      <c r="U431" s="330" t="s">
        <v>1291</v>
      </c>
      <c r="Y431" s="397"/>
      <c r="Z431" s="397"/>
      <c r="AB431" s="472" t="str">
        <f>IF(COUNT(AB423:AB430)&gt;0,MAX(AB423:AB430)+1,"")</f>
        <v/>
      </c>
      <c r="AC431" s="433" t="str">
        <f>IF(AND(AH431&lt;&gt;"",AG431&lt;&gt;"",AI431&gt;0,AH431&gt;0),MAX(AC$2:AC430)+1,"XX")</f>
        <v>XX</v>
      </c>
      <c r="AD431" s="429" t="str">
        <f>IF('Antal &amp; Längder (vikter)'!$C$53&lt;&gt;"",'Antal &amp; Längder (vikter)'!$C$53,"XX")</f>
        <v>XX</v>
      </c>
      <c r="AE431" s="420" t="str">
        <f>IF(AND('Antal &amp; Längder (vikter)'!H$55&lt;&gt;"",ISNUMBER($AH431)),'Antal &amp; Längder (vikter)'!H$55,"")</f>
        <v/>
      </c>
      <c r="AF431" s="425" t="str">
        <f t="shared" si="14"/>
        <v/>
      </c>
      <c r="AG431" s="426" t="str">
        <f t="shared" si="15"/>
        <v/>
      </c>
      <c r="AH431" s="410" t="str">
        <f>IF('Antal &amp; Längder (vikter)'!H65&lt;&gt;"",'Antal &amp; Längder (vikter)'!H65,"XX")</f>
        <v>XX</v>
      </c>
      <c r="AI431" s="405">
        <f>IF('Antal &amp; Längder (vikter)'!I$56="Vikt (g)",IF('Antal &amp; Längder (vikter)'!I65&lt;&gt;"",'Antal &amp; Längder (vikter)'!I65,-9),-9)</f>
        <v>-9</v>
      </c>
    </row>
    <row r="432" spans="12:35" x14ac:dyDescent="0.25">
      <c r="L432" s="204"/>
      <c r="M432" s="204"/>
      <c r="N432" s="204"/>
      <c r="T432" s="331" t="str">
        <f>IF(OR(Protokoll!$X$5&lt;&gt;"",Lokalbeskrivn!$M$4&lt;&gt;""),"",U432)</f>
        <v/>
      </c>
      <c r="U432" s="330" t="s">
        <v>1293</v>
      </c>
      <c r="Y432" s="397"/>
      <c r="Z432" s="397"/>
      <c r="AB432" s="479" t="str">
        <f>IF(COUNT(AB423:AB431)&gt;0,MAX(AB423:AB431)+1,"")</f>
        <v/>
      </c>
      <c r="AC432" s="433" t="str">
        <f>IF(AND(AH432&lt;&gt;"",AG432&lt;&gt;"",AI432&gt;0,AH432&gt;0),MAX(AC$2:AC431)+1,"XX")</f>
        <v>XX</v>
      </c>
      <c r="AD432" s="429" t="str">
        <f>IF('Antal &amp; Längder (vikter)'!$C$53&lt;&gt;"",'Antal &amp; Längder (vikter)'!$C$53,"XX")</f>
        <v>XX</v>
      </c>
      <c r="AE432" s="420" t="str">
        <f>IF(AND('Antal &amp; Längder (vikter)'!H$55&lt;&gt;"",ISNUMBER($AH432)),'Antal &amp; Längder (vikter)'!H$55,"")</f>
        <v/>
      </c>
      <c r="AF432" s="425" t="str">
        <f t="shared" si="14"/>
        <v/>
      </c>
      <c r="AG432" s="426" t="str">
        <f t="shared" si="15"/>
        <v/>
      </c>
      <c r="AH432" s="410" t="str">
        <f>IF('Antal &amp; Längder (vikter)'!H66&lt;&gt;"",'Antal &amp; Längder (vikter)'!H66,"XX")</f>
        <v>XX</v>
      </c>
      <c r="AI432" s="405">
        <f>IF('Antal &amp; Längder (vikter)'!I$56="Vikt (g)",IF('Antal &amp; Längder (vikter)'!I66&lt;&gt;"",'Antal &amp; Längder (vikter)'!I66,-9),-9)</f>
        <v>-9</v>
      </c>
    </row>
    <row r="433" spans="12:35" ht="15" x14ac:dyDescent="0.25">
      <c r="L433" s="204"/>
      <c r="M433" s="204"/>
      <c r="N433" s="204"/>
      <c r="T433" s="331" t="str">
        <f>IF(OR(Protokoll!$X$5&lt;&gt;"",Lokalbeskrivn!$M$4&lt;&gt;""),"",U433)</f>
        <v/>
      </c>
      <c r="U433" s="330" t="s">
        <v>1295</v>
      </c>
      <c r="Y433" s="397"/>
      <c r="Z433" s="397"/>
      <c r="AB433" s="480" t="str">
        <f>IF(AND(ISNUMBER(AH433),AH433&gt;0),IF(MAX(AB$3:AB432)&gt;0,MAX(AB$3:AB432)+1,10+COUNTIF(F$38:F$49,"&gt;0")*10+1),"")</f>
        <v/>
      </c>
      <c r="AC433" s="433" t="str">
        <f>IF(AND(AH433&lt;&gt;"",AG433&lt;&gt;"",AI433&gt;0,AH433&gt;0),MAX(AC$2:AC432)+1,"XX")</f>
        <v>XX</v>
      </c>
      <c r="AD433" s="429" t="str">
        <f>IF('Antal &amp; Längder (vikter)'!$C$53&lt;&gt;"",'Antal &amp; Längder (vikter)'!$C$53,"XX")</f>
        <v>XX</v>
      </c>
      <c r="AE433" s="420" t="str">
        <f>IF(AND('Antal &amp; Längder (vikter)'!H$55&lt;&gt;"",ISNUMBER($AH433)),'Antal &amp; Längder (vikter)'!H$55,"")</f>
        <v/>
      </c>
      <c r="AF433" s="425" t="str">
        <f t="shared" si="14"/>
        <v/>
      </c>
      <c r="AG433" s="426" t="str">
        <f t="shared" si="15"/>
        <v/>
      </c>
      <c r="AH433" s="409" t="str">
        <f>IF('Antal &amp; Längder (vikter)'!I$56="Längd (mm)",IF('Antal &amp; Längder (vikter)'!I57&lt;&gt;"",'Antal &amp; Längder (vikter)'!I57,"XX"),"XX")</f>
        <v>XX</v>
      </c>
      <c r="AI433" s="158">
        <v>-9</v>
      </c>
    </row>
    <row r="434" spans="12:35" ht="15" x14ac:dyDescent="0.25">
      <c r="L434" s="204"/>
      <c r="M434" s="204"/>
      <c r="N434" s="204"/>
      <c r="T434" s="331" t="str">
        <f>IF(OR(Protokoll!$X$5&lt;&gt;"",Lokalbeskrivn!$M$4&lt;&gt;""),"",U434)</f>
        <v/>
      </c>
      <c r="U434" s="330" t="s">
        <v>1297</v>
      </c>
      <c r="Y434" s="397"/>
      <c r="Z434" s="397"/>
      <c r="AB434" s="476" t="str">
        <f>IF(COUNT(AB433:AB433)&gt;0,MAX(AB433:AB433)+1,"")</f>
        <v/>
      </c>
      <c r="AC434" s="433" t="str">
        <f>IF(AND(AH434&lt;&gt;"",AG434&lt;&gt;"",AI434&gt;0,AH434&gt;0),MAX(AC$2:AC433)+1,"XX")</f>
        <v>XX</v>
      </c>
      <c r="AD434" s="429" t="str">
        <f>IF('Antal &amp; Längder (vikter)'!$C$53&lt;&gt;"",'Antal &amp; Längder (vikter)'!$C$53,"XX")</f>
        <v>XX</v>
      </c>
      <c r="AE434" s="420" t="str">
        <f>IF(AND('Antal &amp; Längder (vikter)'!H$55&lt;&gt;"",ISNUMBER($AH434)),'Antal &amp; Längder (vikter)'!H$55,"")</f>
        <v/>
      </c>
      <c r="AF434" s="425" t="str">
        <f t="shared" si="14"/>
        <v/>
      </c>
      <c r="AG434" s="426" t="str">
        <f t="shared" si="15"/>
        <v/>
      </c>
      <c r="AH434" s="409" t="str">
        <f>IF('Antal &amp; Längder (vikter)'!I$56="Längd (mm)",IF('Antal &amp; Längder (vikter)'!I58&lt;&gt;"",'Antal &amp; Längder (vikter)'!I58,"XX"),"XX")</f>
        <v>XX</v>
      </c>
      <c r="AI434" s="158">
        <v>-9</v>
      </c>
    </row>
    <row r="435" spans="12:35" ht="15" x14ac:dyDescent="0.25">
      <c r="L435" s="204"/>
      <c r="M435" s="204"/>
      <c r="N435" s="204"/>
      <c r="T435" s="331" t="str">
        <f>IF(OR(Protokoll!$X$5&lt;&gt;"",Lokalbeskrivn!$M$4&lt;&gt;""),"",U435)</f>
        <v/>
      </c>
      <c r="U435" s="330" t="s">
        <v>1299</v>
      </c>
      <c r="Y435" s="397"/>
      <c r="Z435" s="397"/>
      <c r="AB435" s="477" t="str">
        <f>IF(COUNT(AB433:AB434)&gt;0,MAX(AB433:AB434)+1,"")</f>
        <v/>
      </c>
      <c r="AC435" s="433" t="str">
        <f>IF(AND(AH435&lt;&gt;"",AG435&lt;&gt;"",AI435&gt;0,AH435&gt;0),MAX(AC$2:AC434)+1,"XX")</f>
        <v>XX</v>
      </c>
      <c r="AD435" s="429" t="str">
        <f>IF('Antal &amp; Längder (vikter)'!$C$53&lt;&gt;"",'Antal &amp; Längder (vikter)'!$C$53,"XX")</f>
        <v>XX</v>
      </c>
      <c r="AE435" s="420" t="str">
        <f>IF(AND('Antal &amp; Längder (vikter)'!H$55&lt;&gt;"",ISNUMBER($AH435)),'Antal &amp; Längder (vikter)'!H$55,"")</f>
        <v/>
      </c>
      <c r="AF435" s="425" t="str">
        <f t="shared" si="14"/>
        <v/>
      </c>
      <c r="AG435" s="426" t="str">
        <f t="shared" si="15"/>
        <v/>
      </c>
      <c r="AH435" s="409" t="str">
        <f>IF('Antal &amp; Längder (vikter)'!I$56="Längd (mm)",IF('Antal &amp; Längder (vikter)'!I59&lt;&gt;"",'Antal &amp; Längder (vikter)'!I59,"XX"),"XX")</f>
        <v>XX</v>
      </c>
      <c r="AI435" s="158">
        <v>-9</v>
      </c>
    </row>
    <row r="436" spans="12:35" ht="15" x14ac:dyDescent="0.25">
      <c r="L436" s="204"/>
      <c r="M436" s="204"/>
      <c r="N436" s="204"/>
      <c r="T436" s="331" t="str">
        <f>IF(OR(Protokoll!$X$5&lt;&gt;"",Lokalbeskrivn!$M$4&lt;&gt;""),"",U436)</f>
        <v/>
      </c>
      <c r="U436" s="330" t="s">
        <v>1301</v>
      </c>
      <c r="Y436" s="397"/>
      <c r="Z436" s="397"/>
      <c r="AB436" s="434" t="str">
        <f>IF(COUNT(AB433:AB435)&gt;0,MAX(AB433:AB435)+1,"")</f>
        <v/>
      </c>
      <c r="AC436" s="433" t="str">
        <f>IF(AND(AH436&lt;&gt;"",AG436&lt;&gt;"",AI436&gt;0,AH436&gt;0),MAX(AC$2:AC435)+1,"XX")</f>
        <v>XX</v>
      </c>
      <c r="AD436" s="429" t="str">
        <f>IF('Antal &amp; Längder (vikter)'!$C$53&lt;&gt;"",'Antal &amp; Längder (vikter)'!$C$53,"XX")</f>
        <v>XX</v>
      </c>
      <c r="AE436" s="420" t="str">
        <f>IF(AND('Antal &amp; Längder (vikter)'!H$55&lt;&gt;"",ISNUMBER($AH436)),'Antal &amp; Längder (vikter)'!H$55,"")</f>
        <v/>
      </c>
      <c r="AF436" s="425" t="str">
        <f t="shared" si="14"/>
        <v/>
      </c>
      <c r="AG436" s="426" t="str">
        <f t="shared" si="15"/>
        <v/>
      </c>
      <c r="AH436" s="409" t="str">
        <f>IF('Antal &amp; Längder (vikter)'!I$56="Längd (mm)",IF('Antal &amp; Längder (vikter)'!I60&lt;&gt;"",'Antal &amp; Längder (vikter)'!I60,"XX"),"XX")</f>
        <v>XX</v>
      </c>
      <c r="AI436" s="158">
        <v>-9</v>
      </c>
    </row>
    <row r="437" spans="12:35" ht="15" x14ac:dyDescent="0.25">
      <c r="L437" s="204"/>
      <c r="M437" s="204"/>
      <c r="N437" s="204"/>
      <c r="T437" s="331" t="str">
        <f>IF(OR(Protokoll!$X$5&lt;&gt;"",Lokalbeskrivn!$M$4&lt;&gt;""),"",U437)</f>
        <v/>
      </c>
      <c r="U437" s="330" t="s">
        <v>1303</v>
      </c>
      <c r="Y437" s="397"/>
      <c r="Z437" s="397"/>
      <c r="AB437" s="475" t="str">
        <f>IF(COUNT(AB433:AB436)&gt;0,MAX(AB433:AB436)+1,"")</f>
        <v/>
      </c>
      <c r="AC437" s="433" t="str">
        <f>IF(AND(AH437&lt;&gt;"",AG437&lt;&gt;"",AI437&gt;0,AH437&gt;0),MAX(AC$2:AC436)+1,"XX")</f>
        <v>XX</v>
      </c>
      <c r="AD437" s="429" t="str">
        <f>IF('Antal &amp; Längder (vikter)'!$C$53&lt;&gt;"",'Antal &amp; Längder (vikter)'!$C$53,"XX")</f>
        <v>XX</v>
      </c>
      <c r="AE437" s="420" t="str">
        <f>IF(AND('Antal &amp; Längder (vikter)'!H$55&lt;&gt;"",ISNUMBER($AH437)),'Antal &amp; Längder (vikter)'!H$55,"")</f>
        <v/>
      </c>
      <c r="AF437" s="425" t="str">
        <f t="shared" si="14"/>
        <v/>
      </c>
      <c r="AG437" s="426" t="str">
        <f t="shared" si="15"/>
        <v/>
      </c>
      <c r="AH437" s="409" t="str">
        <f>IF('Antal &amp; Längder (vikter)'!I$56="Längd (mm)",IF('Antal &amp; Längder (vikter)'!I61&lt;&gt;"",'Antal &amp; Längder (vikter)'!I61,"XX"),"XX")</f>
        <v>XX</v>
      </c>
      <c r="AI437" s="158">
        <v>-9</v>
      </c>
    </row>
    <row r="438" spans="12:35" ht="15" x14ac:dyDescent="0.25">
      <c r="L438" s="204"/>
      <c r="M438" s="204"/>
      <c r="N438" s="204"/>
      <c r="T438" s="331" t="str">
        <f>IF(OR(Protokoll!$X$5&lt;&gt;"",Lokalbeskrivn!$M$4&lt;&gt;""),"",U438)</f>
        <v/>
      </c>
      <c r="U438" s="330" t="s">
        <v>1305</v>
      </c>
      <c r="Y438" s="397"/>
      <c r="Z438" s="397"/>
      <c r="AB438" s="471" t="str">
        <f>IF(COUNT(AB433:AB437)&gt;0,MAX(AB433:AB437)+1,"")</f>
        <v/>
      </c>
      <c r="AC438" s="433" t="str">
        <f>IF(AND(AH438&lt;&gt;"",AG438&lt;&gt;"",AI438&gt;0,AH438&gt;0),MAX(AC$2:AC437)+1,"XX")</f>
        <v>XX</v>
      </c>
      <c r="AD438" s="429" t="str">
        <f>IF('Antal &amp; Längder (vikter)'!$C$53&lt;&gt;"",'Antal &amp; Längder (vikter)'!$C$53,"XX")</f>
        <v>XX</v>
      </c>
      <c r="AE438" s="420" t="str">
        <f>IF(AND('Antal &amp; Längder (vikter)'!H$55&lt;&gt;"",ISNUMBER($AH438)),'Antal &amp; Längder (vikter)'!H$55,"")</f>
        <v/>
      </c>
      <c r="AF438" s="425" t="str">
        <f t="shared" si="14"/>
        <v/>
      </c>
      <c r="AG438" s="426" t="str">
        <f t="shared" si="15"/>
        <v/>
      </c>
      <c r="AH438" s="409" t="str">
        <f>IF('Antal &amp; Längder (vikter)'!I$56="Längd (mm)",IF('Antal &amp; Längder (vikter)'!I62&lt;&gt;"",'Antal &amp; Längder (vikter)'!I62,"XX"),"XX")</f>
        <v>XX</v>
      </c>
      <c r="AI438" s="158">
        <v>-9</v>
      </c>
    </row>
    <row r="439" spans="12:35" ht="15" x14ac:dyDescent="0.25">
      <c r="L439" s="204"/>
      <c r="M439" s="204"/>
      <c r="N439" s="204"/>
      <c r="T439" s="331" t="str">
        <f>IF(OR(Protokoll!$X$5&lt;&gt;"",Lokalbeskrivn!$M$4&lt;&gt;""),"",U439)</f>
        <v/>
      </c>
      <c r="U439" s="330" t="s">
        <v>1307</v>
      </c>
      <c r="Y439" s="397"/>
      <c r="Z439" s="397"/>
      <c r="AB439" s="474" t="str">
        <f>IF(COUNT(AB433:AB438)&gt;0,MAX(AB433:AB438)+1,"")</f>
        <v/>
      </c>
      <c r="AC439" s="433" t="str">
        <f>IF(AND(AH439&lt;&gt;"",AG439&lt;&gt;"",AI439&gt;0,AH439&gt;0),MAX(AC$2:AC438)+1,"XX")</f>
        <v>XX</v>
      </c>
      <c r="AD439" s="429" t="str">
        <f>IF('Antal &amp; Längder (vikter)'!$C$53&lt;&gt;"",'Antal &amp; Längder (vikter)'!$C$53,"XX")</f>
        <v>XX</v>
      </c>
      <c r="AE439" s="420" t="str">
        <f>IF(AND('Antal &amp; Längder (vikter)'!H$55&lt;&gt;"",ISNUMBER($AH439)),'Antal &amp; Längder (vikter)'!H$55,"")</f>
        <v/>
      </c>
      <c r="AF439" s="425" t="str">
        <f t="shared" si="14"/>
        <v/>
      </c>
      <c r="AG439" s="426" t="str">
        <f t="shared" si="15"/>
        <v/>
      </c>
      <c r="AH439" s="409" t="str">
        <f>IF('Antal &amp; Längder (vikter)'!I$56="Längd (mm)",IF('Antal &amp; Längder (vikter)'!I63&lt;&gt;"",'Antal &amp; Längder (vikter)'!I63,"XX"),"XX")</f>
        <v>XX</v>
      </c>
      <c r="AI439" s="158">
        <v>-9</v>
      </c>
    </row>
    <row r="440" spans="12:35" ht="15" x14ac:dyDescent="0.25">
      <c r="L440" s="204"/>
      <c r="M440" s="204"/>
      <c r="N440" s="204"/>
      <c r="T440" s="331" t="str">
        <f>IF(OR(Protokoll!$X$5&lt;&gt;"",Lokalbeskrivn!$M$4&lt;&gt;""),"",U440)</f>
        <v/>
      </c>
      <c r="U440" s="330" t="s">
        <v>1309</v>
      </c>
      <c r="Y440" s="397"/>
      <c r="Z440" s="397"/>
      <c r="AB440" s="478" t="str">
        <f>IF(COUNT(AB433:AB439)&gt;0,MAX(AB433:AB439)+1,"")</f>
        <v/>
      </c>
      <c r="AC440" s="433" t="str">
        <f>IF(AND(AH440&lt;&gt;"",AG440&lt;&gt;"",AI440&gt;0,AH440&gt;0),MAX(AC$2:AC439)+1,"XX")</f>
        <v>XX</v>
      </c>
      <c r="AD440" s="429" t="str">
        <f>IF('Antal &amp; Längder (vikter)'!$C$53&lt;&gt;"",'Antal &amp; Längder (vikter)'!$C$53,"XX")</f>
        <v>XX</v>
      </c>
      <c r="AE440" s="420" t="str">
        <f>IF(AND('Antal &amp; Längder (vikter)'!H$55&lt;&gt;"",ISNUMBER($AH440)),'Antal &amp; Längder (vikter)'!H$55,"")</f>
        <v/>
      </c>
      <c r="AF440" s="425" t="str">
        <f t="shared" si="14"/>
        <v/>
      </c>
      <c r="AG440" s="426" t="str">
        <f t="shared" si="15"/>
        <v/>
      </c>
      <c r="AH440" s="409" t="str">
        <f>IF('Antal &amp; Längder (vikter)'!I$56="Längd (mm)",IF('Antal &amp; Längder (vikter)'!I64&lt;&gt;"",'Antal &amp; Längder (vikter)'!I64,"XX"),"XX")</f>
        <v>XX</v>
      </c>
      <c r="AI440" s="158">
        <v>-9</v>
      </c>
    </row>
    <row r="441" spans="12:35" ht="15" x14ac:dyDescent="0.25">
      <c r="L441" s="204"/>
      <c r="M441" s="204"/>
      <c r="N441" s="204"/>
      <c r="T441" s="331" t="str">
        <f>IF(OR(Protokoll!$X$5&lt;&gt;"",Lokalbeskrivn!$M$4&lt;&gt;""),"",U441)</f>
        <v/>
      </c>
      <c r="U441" s="330" t="s">
        <v>1311</v>
      </c>
      <c r="Y441" s="397"/>
      <c r="Z441" s="397"/>
      <c r="AB441" s="472" t="str">
        <f>IF(COUNT(AB433:AB440)&gt;0,MAX(AB433:AB440)+1,"")</f>
        <v/>
      </c>
      <c r="AC441" s="433" t="str">
        <f>IF(AND(AH441&lt;&gt;"",AG441&lt;&gt;"",AI441&gt;0,AH441&gt;0),MAX(AC$2:AC440)+1,"XX")</f>
        <v>XX</v>
      </c>
      <c r="AD441" s="429" t="str">
        <f>IF('Antal &amp; Längder (vikter)'!$C$53&lt;&gt;"",'Antal &amp; Längder (vikter)'!$C$53,"XX")</f>
        <v>XX</v>
      </c>
      <c r="AE441" s="420" t="str">
        <f>IF(AND('Antal &amp; Längder (vikter)'!H$55&lt;&gt;"",ISNUMBER($AH441)),'Antal &amp; Längder (vikter)'!H$55,"")</f>
        <v/>
      </c>
      <c r="AF441" s="425" t="str">
        <f t="shared" si="14"/>
        <v/>
      </c>
      <c r="AG441" s="426" t="str">
        <f t="shared" si="15"/>
        <v/>
      </c>
      <c r="AH441" s="409" t="str">
        <f>IF('Antal &amp; Längder (vikter)'!I$56="Längd (mm)",IF('Antal &amp; Längder (vikter)'!I65&lt;&gt;"",'Antal &amp; Längder (vikter)'!I65,"XX"),"XX")</f>
        <v>XX</v>
      </c>
      <c r="AI441" s="158">
        <v>-9</v>
      </c>
    </row>
    <row r="442" spans="12:35" ht="15" x14ac:dyDescent="0.25">
      <c r="L442" s="204"/>
      <c r="M442" s="204"/>
      <c r="N442" s="204"/>
      <c r="T442" s="331" t="str">
        <f>IF(OR(Protokoll!$X$5&lt;&gt;"",Lokalbeskrivn!$M$4&lt;&gt;""),"",U442)</f>
        <v/>
      </c>
      <c r="U442" s="330" t="s">
        <v>1313</v>
      </c>
      <c r="Y442" s="397"/>
      <c r="Z442" s="397"/>
      <c r="AB442" s="479" t="str">
        <f>IF(COUNT(AB433:AB441)&gt;0,MAX(AB433:AB441)+1,"")</f>
        <v/>
      </c>
      <c r="AC442" s="433" t="str">
        <f>IF(AND(AH442&lt;&gt;"",AG442&lt;&gt;"",AI442&gt;0,AH442&gt;0),MAX(AC$2:AC441)+1,"XX")</f>
        <v>XX</v>
      </c>
      <c r="AD442" s="429" t="str">
        <f>IF('Antal &amp; Längder (vikter)'!$C$53&lt;&gt;"",'Antal &amp; Längder (vikter)'!$C$53,"XX")</f>
        <v>XX</v>
      </c>
      <c r="AE442" s="420" t="str">
        <f>IF(AND('Antal &amp; Längder (vikter)'!H$55&lt;&gt;"",ISNUMBER($AH442)),'Antal &amp; Längder (vikter)'!H$55,"")</f>
        <v/>
      </c>
      <c r="AF442" s="425" t="str">
        <f t="shared" si="14"/>
        <v/>
      </c>
      <c r="AG442" s="426" t="str">
        <f t="shared" si="15"/>
        <v/>
      </c>
      <c r="AH442" s="409" t="str">
        <f>IF('Antal &amp; Längder (vikter)'!I$56="Längd (mm)",IF('Antal &amp; Längder (vikter)'!I66&lt;&gt;"",'Antal &amp; Längder (vikter)'!I66,"XX"),"XX")</f>
        <v>XX</v>
      </c>
      <c r="AI442" s="158">
        <v>-9</v>
      </c>
    </row>
    <row r="443" spans="12:35" x14ac:dyDescent="0.25">
      <c r="L443" s="204"/>
      <c r="M443" s="204"/>
      <c r="N443" s="204"/>
      <c r="T443" s="331" t="str">
        <f>IF(OR(Protokoll!$X$5&lt;&gt;"",Lokalbeskrivn!$M$4&lt;&gt;""),"",U443)</f>
        <v/>
      </c>
      <c r="U443" s="330" t="s">
        <v>1315</v>
      </c>
      <c r="Y443" s="397"/>
      <c r="Z443" s="397"/>
      <c r="AB443" s="480" t="str">
        <f>IF(AND(ISNUMBER(AH443),AH443&gt;0),IF(MAX(AB$3:AB442)&gt;0,MAX(AB$3:AB442)+1,10+COUNTIF(F$38:F$49,"&gt;0")*10+1),"")</f>
        <v/>
      </c>
      <c r="AC443" s="433" t="str">
        <f>IF(AND(AH443&lt;&gt;"",AG443&lt;&gt;"",AI443&gt;0,AH443&gt;0),MAX(AC$2:AC442)+1,"XX")</f>
        <v>XX</v>
      </c>
      <c r="AD443" s="429" t="str">
        <f>IF('Antal &amp; Längder (vikter)'!$C$53&lt;&gt;"",'Antal &amp; Längder (vikter)'!$C$53,"XX")</f>
        <v>XX</v>
      </c>
      <c r="AE443" s="419" t="str">
        <f>IF(AND('Antal &amp; Längder (vikter)'!J$55&lt;&gt;"",ISNUMBER($AH443)),'Antal &amp; Längder (vikter)'!J$55,"")</f>
        <v/>
      </c>
      <c r="AF443" s="425" t="str">
        <f t="shared" si="14"/>
        <v/>
      </c>
      <c r="AG443" s="426" t="str">
        <f t="shared" si="15"/>
        <v/>
      </c>
      <c r="AH443" s="410" t="str">
        <f>IF('Antal &amp; Längder (vikter)'!J57&lt;&gt;"",'Antal &amp; Längder (vikter)'!J57,"XX")</f>
        <v>XX</v>
      </c>
      <c r="AI443" s="405">
        <f>IF('Antal &amp; Längder (vikter)'!K$56="Vikt (g)",IF('Antal &amp; Längder (vikter)'!K57&lt;&gt;"",'Antal &amp; Längder (vikter)'!K57,-9),-9)</f>
        <v>-9</v>
      </c>
    </row>
    <row r="444" spans="12:35" x14ac:dyDescent="0.25">
      <c r="L444" s="204"/>
      <c r="M444" s="204"/>
      <c r="N444" s="204"/>
      <c r="T444" s="331" t="str">
        <f>IF(OR(Protokoll!$X$5&lt;&gt;"",Lokalbeskrivn!$M$4&lt;&gt;""),"",U444)</f>
        <v/>
      </c>
      <c r="U444" s="330" t="s">
        <v>1317</v>
      </c>
      <c r="Y444" s="397"/>
      <c r="Z444" s="397"/>
      <c r="AB444" s="476" t="str">
        <f>IF(COUNT(AB443:AB443)&gt;0,MAX(AB443:AB443)+1,"")</f>
        <v/>
      </c>
      <c r="AC444" s="433" t="str">
        <f>IF(AND(AH444&lt;&gt;"",AG444&lt;&gt;"",AI444&gt;0,AH444&gt;0),MAX(AC$2:AC443)+1,"XX")</f>
        <v>XX</v>
      </c>
      <c r="AD444" s="429" t="str">
        <f>IF('Antal &amp; Längder (vikter)'!$C$53&lt;&gt;"",'Antal &amp; Längder (vikter)'!$C$53,"XX")</f>
        <v>XX</v>
      </c>
      <c r="AE444" s="419" t="str">
        <f>IF(AND('Antal &amp; Längder (vikter)'!J$55&lt;&gt;"",ISNUMBER($AH444)),'Antal &amp; Längder (vikter)'!J$55,"")</f>
        <v/>
      </c>
      <c r="AF444" s="425" t="str">
        <f t="shared" si="14"/>
        <v/>
      </c>
      <c r="AG444" s="426" t="str">
        <f t="shared" si="15"/>
        <v/>
      </c>
      <c r="AH444" s="410" t="str">
        <f>IF('Antal &amp; Längder (vikter)'!J58&lt;&gt;"",'Antal &amp; Längder (vikter)'!J58,"XX")</f>
        <v>XX</v>
      </c>
      <c r="AI444" s="405">
        <f>IF('Antal &amp; Längder (vikter)'!K$56="Vikt (g)",IF('Antal &amp; Längder (vikter)'!K58&lt;&gt;"",'Antal &amp; Längder (vikter)'!K58,-9),-9)</f>
        <v>-9</v>
      </c>
    </row>
    <row r="445" spans="12:35" x14ac:dyDescent="0.25">
      <c r="L445" s="204"/>
      <c r="M445" s="204"/>
      <c r="N445" s="204"/>
      <c r="T445" s="331" t="str">
        <f>IF(OR(Protokoll!$X$5&lt;&gt;"",Lokalbeskrivn!$M$4&lt;&gt;""),"",U445)</f>
        <v/>
      </c>
      <c r="U445" s="330" t="s">
        <v>1319</v>
      </c>
      <c r="Y445" s="397"/>
      <c r="Z445" s="397"/>
      <c r="AB445" s="477" t="str">
        <f>IF(COUNT(AB443:AB444)&gt;0,MAX(AB443:AB444)+1,"")</f>
        <v/>
      </c>
      <c r="AC445" s="433" t="str">
        <f>IF(AND(AH445&lt;&gt;"",AG445&lt;&gt;"",AI445&gt;0,AH445&gt;0),MAX(AC$2:AC444)+1,"XX")</f>
        <v>XX</v>
      </c>
      <c r="AD445" s="429" t="str">
        <f>IF('Antal &amp; Längder (vikter)'!$C$53&lt;&gt;"",'Antal &amp; Längder (vikter)'!$C$53,"XX")</f>
        <v>XX</v>
      </c>
      <c r="AE445" s="419" t="str">
        <f>IF(AND('Antal &amp; Längder (vikter)'!J$55&lt;&gt;"",ISNUMBER($AH445)),'Antal &amp; Längder (vikter)'!J$55,"")</f>
        <v/>
      </c>
      <c r="AF445" s="425" t="str">
        <f t="shared" si="14"/>
        <v/>
      </c>
      <c r="AG445" s="426" t="str">
        <f t="shared" si="15"/>
        <v/>
      </c>
      <c r="AH445" s="410" t="str">
        <f>IF('Antal &amp; Längder (vikter)'!J59&lt;&gt;"",'Antal &amp; Längder (vikter)'!J59,"XX")</f>
        <v>XX</v>
      </c>
      <c r="AI445" s="405">
        <f>IF('Antal &amp; Längder (vikter)'!K$56="Vikt (g)",IF('Antal &amp; Längder (vikter)'!K59&lt;&gt;"",'Antal &amp; Längder (vikter)'!K59,-9),-9)</f>
        <v>-9</v>
      </c>
    </row>
    <row r="446" spans="12:35" x14ac:dyDescent="0.25">
      <c r="L446" s="204"/>
      <c r="M446" s="204"/>
      <c r="N446" s="204"/>
      <c r="T446" s="331" t="str">
        <f>IF(OR(Protokoll!$X$5&lt;&gt;"",Lokalbeskrivn!$M$4&lt;&gt;""),"",U446)</f>
        <v/>
      </c>
      <c r="U446" s="330" t="s">
        <v>1321</v>
      </c>
      <c r="Y446" s="397"/>
      <c r="Z446" s="397"/>
      <c r="AB446" s="434" t="str">
        <f>IF(COUNT(AB443:AB445)&gt;0,MAX(AB443:AB445)+1,"")</f>
        <v/>
      </c>
      <c r="AC446" s="433" t="str">
        <f>IF(AND(AH446&lt;&gt;"",AG446&lt;&gt;"",AI446&gt;0,AH446&gt;0),MAX(AC$2:AC445)+1,"XX")</f>
        <v>XX</v>
      </c>
      <c r="AD446" s="429" t="str">
        <f>IF('Antal &amp; Längder (vikter)'!$C$53&lt;&gt;"",'Antal &amp; Längder (vikter)'!$C$53,"XX")</f>
        <v>XX</v>
      </c>
      <c r="AE446" s="419" t="str">
        <f>IF(AND('Antal &amp; Längder (vikter)'!J$55&lt;&gt;"",ISNUMBER($AH446)),'Antal &amp; Längder (vikter)'!J$55,"")</f>
        <v/>
      </c>
      <c r="AF446" s="425" t="str">
        <f t="shared" si="14"/>
        <v/>
      </c>
      <c r="AG446" s="426" t="str">
        <f t="shared" si="15"/>
        <v/>
      </c>
      <c r="AH446" s="410" t="str">
        <f>IF('Antal &amp; Längder (vikter)'!J60&lt;&gt;"",'Antal &amp; Längder (vikter)'!J60,"XX")</f>
        <v>XX</v>
      </c>
      <c r="AI446" s="405">
        <f>IF('Antal &amp; Längder (vikter)'!K$56="Vikt (g)",IF('Antal &amp; Längder (vikter)'!K60&lt;&gt;"",'Antal &amp; Längder (vikter)'!K60,-9),-9)</f>
        <v>-9</v>
      </c>
    </row>
    <row r="447" spans="12:35" x14ac:dyDescent="0.25">
      <c r="L447" s="204"/>
      <c r="M447" s="204"/>
      <c r="N447" s="204"/>
      <c r="T447" s="331" t="str">
        <f>IF(OR(Protokoll!$X$5&lt;&gt;"",Lokalbeskrivn!$M$4&lt;&gt;""),"",U447)</f>
        <v/>
      </c>
      <c r="U447" s="330" t="s">
        <v>1323</v>
      </c>
      <c r="Y447" s="397"/>
      <c r="Z447" s="397"/>
      <c r="AB447" s="475" t="str">
        <f>IF(COUNT(AB443:AB446)&gt;0,MAX(AB443:AB446)+1,"")</f>
        <v/>
      </c>
      <c r="AC447" s="433" t="str">
        <f>IF(AND(AH447&lt;&gt;"",AG447&lt;&gt;"",AI447&gt;0,AH447&gt;0),MAX(AC$2:AC446)+1,"XX")</f>
        <v>XX</v>
      </c>
      <c r="AD447" s="429" t="str">
        <f>IF('Antal &amp; Längder (vikter)'!$C$53&lt;&gt;"",'Antal &amp; Längder (vikter)'!$C$53,"XX")</f>
        <v>XX</v>
      </c>
      <c r="AE447" s="419" t="str">
        <f>IF(AND('Antal &amp; Längder (vikter)'!J$55&lt;&gt;"",ISNUMBER($AH447)),'Antal &amp; Längder (vikter)'!J$55,"")</f>
        <v/>
      </c>
      <c r="AF447" s="425" t="str">
        <f t="shared" si="14"/>
        <v/>
      </c>
      <c r="AG447" s="426" t="str">
        <f t="shared" si="15"/>
        <v/>
      </c>
      <c r="AH447" s="410" t="str">
        <f>IF('Antal &amp; Längder (vikter)'!J61&lt;&gt;"",'Antal &amp; Längder (vikter)'!J61,"XX")</f>
        <v>XX</v>
      </c>
      <c r="AI447" s="405">
        <f>IF('Antal &amp; Längder (vikter)'!K$56="Vikt (g)",IF('Antal &amp; Längder (vikter)'!K61&lt;&gt;"",'Antal &amp; Längder (vikter)'!K61,-9),-9)</f>
        <v>-9</v>
      </c>
    </row>
    <row r="448" spans="12:35" x14ac:dyDescent="0.25">
      <c r="L448" s="204"/>
      <c r="M448" s="204"/>
      <c r="N448" s="204"/>
      <c r="T448" s="331" t="str">
        <f>IF(OR(Protokoll!$X$5&lt;&gt;"",Lokalbeskrivn!$M$4&lt;&gt;""),"",U448)</f>
        <v/>
      </c>
      <c r="U448" s="330" t="s">
        <v>1325</v>
      </c>
      <c r="Y448" s="397"/>
      <c r="Z448" s="397"/>
      <c r="AB448" s="471" t="str">
        <f>IF(COUNT(AB443:AB447)&gt;0,MAX(AB443:AB447)+1,"")</f>
        <v/>
      </c>
      <c r="AC448" s="433" t="str">
        <f>IF(AND(AH448&lt;&gt;"",AG448&lt;&gt;"",AI448&gt;0,AH448&gt;0),MAX(AC$2:AC447)+1,"XX")</f>
        <v>XX</v>
      </c>
      <c r="AD448" s="429" t="str">
        <f>IF('Antal &amp; Längder (vikter)'!$C$53&lt;&gt;"",'Antal &amp; Längder (vikter)'!$C$53,"XX")</f>
        <v>XX</v>
      </c>
      <c r="AE448" s="419" t="str">
        <f>IF(AND('Antal &amp; Längder (vikter)'!J$55&lt;&gt;"",ISNUMBER($AH448)),'Antal &amp; Längder (vikter)'!J$55,"")</f>
        <v/>
      </c>
      <c r="AF448" s="425" t="str">
        <f t="shared" si="14"/>
        <v/>
      </c>
      <c r="AG448" s="426" t="str">
        <f t="shared" si="15"/>
        <v/>
      </c>
      <c r="AH448" s="410" t="str">
        <f>IF('Antal &amp; Längder (vikter)'!J62&lt;&gt;"",'Antal &amp; Längder (vikter)'!J62,"XX")</f>
        <v>XX</v>
      </c>
      <c r="AI448" s="405">
        <f>IF('Antal &amp; Längder (vikter)'!K$56="Vikt (g)",IF('Antal &amp; Längder (vikter)'!K62&lt;&gt;"",'Antal &amp; Längder (vikter)'!K62,-9),-9)</f>
        <v>-9</v>
      </c>
    </row>
    <row r="449" spans="12:35" x14ac:dyDescent="0.25">
      <c r="L449" s="204"/>
      <c r="M449" s="204"/>
      <c r="N449" s="204"/>
      <c r="T449" s="331" t="str">
        <f>IF(OR(Protokoll!$X$5&lt;&gt;"",Lokalbeskrivn!$M$4&lt;&gt;""),"",U449)</f>
        <v/>
      </c>
      <c r="U449" s="330" t="s">
        <v>1327</v>
      </c>
      <c r="Y449" s="397"/>
      <c r="Z449" s="397"/>
      <c r="AB449" s="474" t="str">
        <f>IF(COUNT(AB443:AB448)&gt;0,MAX(AB443:AB448)+1,"")</f>
        <v/>
      </c>
      <c r="AC449" s="433" t="str">
        <f>IF(AND(AH449&lt;&gt;"",AG449&lt;&gt;"",AI449&gt;0,AH449&gt;0),MAX(AC$2:AC448)+1,"XX")</f>
        <v>XX</v>
      </c>
      <c r="AD449" s="429" t="str">
        <f>IF('Antal &amp; Längder (vikter)'!$C$53&lt;&gt;"",'Antal &amp; Längder (vikter)'!$C$53,"XX")</f>
        <v>XX</v>
      </c>
      <c r="AE449" s="419" t="str">
        <f>IF(AND('Antal &amp; Längder (vikter)'!J$55&lt;&gt;"",ISNUMBER($AH449)),'Antal &amp; Längder (vikter)'!J$55,"")</f>
        <v/>
      </c>
      <c r="AF449" s="425" t="str">
        <f t="shared" si="14"/>
        <v/>
      </c>
      <c r="AG449" s="426" t="str">
        <f t="shared" si="15"/>
        <v/>
      </c>
      <c r="AH449" s="410" t="str">
        <f>IF('Antal &amp; Längder (vikter)'!J63&lt;&gt;"",'Antal &amp; Längder (vikter)'!J63,"XX")</f>
        <v>XX</v>
      </c>
      <c r="AI449" s="405">
        <f>IF('Antal &amp; Längder (vikter)'!K$56="Vikt (g)",IF('Antal &amp; Längder (vikter)'!K63&lt;&gt;"",'Antal &amp; Längder (vikter)'!K63,-9),-9)</f>
        <v>-9</v>
      </c>
    </row>
    <row r="450" spans="12:35" x14ac:dyDescent="0.25">
      <c r="L450" s="204"/>
      <c r="M450" s="204"/>
      <c r="N450" s="204"/>
      <c r="T450" s="331" t="str">
        <f>IF(OR(Protokoll!$X$5&lt;&gt;"",Lokalbeskrivn!$M$4&lt;&gt;""),"",U450)</f>
        <v/>
      </c>
      <c r="U450" s="330" t="s">
        <v>1329</v>
      </c>
      <c r="Y450" s="397"/>
      <c r="Z450" s="397"/>
      <c r="AB450" s="478" t="str">
        <f>IF(COUNT(AB443:AB449)&gt;0,MAX(AB443:AB449)+1,"")</f>
        <v/>
      </c>
      <c r="AC450" s="433" t="str">
        <f>IF(AND(AH450&lt;&gt;"",AG450&lt;&gt;"",AI450&gt;0,AH450&gt;0),MAX(AC$2:AC449)+1,"XX")</f>
        <v>XX</v>
      </c>
      <c r="AD450" s="429" t="str">
        <f>IF('Antal &amp; Längder (vikter)'!$C$53&lt;&gt;"",'Antal &amp; Längder (vikter)'!$C$53,"XX")</f>
        <v>XX</v>
      </c>
      <c r="AE450" s="419" t="str">
        <f>IF(AND('Antal &amp; Längder (vikter)'!J$55&lt;&gt;"",ISNUMBER($AH450)),'Antal &amp; Längder (vikter)'!J$55,"")</f>
        <v/>
      </c>
      <c r="AF450" s="425" t="str">
        <f t="shared" si="14"/>
        <v/>
      </c>
      <c r="AG450" s="426" t="str">
        <f t="shared" si="15"/>
        <v/>
      </c>
      <c r="AH450" s="410" t="str">
        <f>IF('Antal &amp; Längder (vikter)'!J64&lt;&gt;"",'Antal &amp; Längder (vikter)'!J64,"XX")</f>
        <v>XX</v>
      </c>
      <c r="AI450" s="405">
        <f>IF('Antal &amp; Längder (vikter)'!K$56="Vikt (g)",IF('Antal &amp; Längder (vikter)'!K64&lt;&gt;"",'Antal &amp; Längder (vikter)'!K64,-9),-9)</f>
        <v>-9</v>
      </c>
    </row>
    <row r="451" spans="12:35" x14ac:dyDescent="0.25">
      <c r="L451" s="204"/>
      <c r="M451" s="204"/>
      <c r="N451" s="204"/>
      <c r="T451" s="331" t="str">
        <f>IF(OR(Protokoll!$X$5&lt;&gt;"",Lokalbeskrivn!$M$4&lt;&gt;""),"",U451)</f>
        <v/>
      </c>
      <c r="U451" s="330" t="s">
        <v>1331</v>
      </c>
      <c r="Y451" s="397"/>
      <c r="Z451" s="397"/>
      <c r="AB451" s="472" t="str">
        <f>IF(COUNT(AB443:AB450)&gt;0,MAX(AB443:AB450)+1,"")</f>
        <v/>
      </c>
      <c r="AC451" s="433" t="str">
        <f>IF(AND(AH451&lt;&gt;"",AG451&lt;&gt;"",AI451&gt;0,AH451&gt;0),MAX(AC$2:AC450)+1,"XX")</f>
        <v>XX</v>
      </c>
      <c r="AD451" s="429" t="str">
        <f>IF('Antal &amp; Längder (vikter)'!$C$53&lt;&gt;"",'Antal &amp; Längder (vikter)'!$C$53,"XX")</f>
        <v>XX</v>
      </c>
      <c r="AE451" s="419" t="str">
        <f>IF(AND('Antal &amp; Längder (vikter)'!J$55&lt;&gt;"",ISNUMBER($AH451)),'Antal &amp; Längder (vikter)'!J$55,"")</f>
        <v/>
      </c>
      <c r="AF451" s="425" t="str">
        <f t="shared" ref="AF451:AF514" si="16">IF(AND(ISNUMBER(AH451),AE451&lt;&gt;""),VLOOKUP(AE451,$N$2:$O$60,2,FALSE),"")</f>
        <v/>
      </c>
      <c r="AG451" s="426" t="str">
        <f t="shared" ref="AG451:AG514" si="17">IF(AF451&lt;&gt;"",VLOOKUP(AF451,O$2:U$60,7,FALSE),"")</f>
        <v/>
      </c>
      <c r="AH451" s="410" t="str">
        <f>IF('Antal &amp; Längder (vikter)'!J65&lt;&gt;"",'Antal &amp; Längder (vikter)'!J65,"XX")</f>
        <v>XX</v>
      </c>
      <c r="AI451" s="405">
        <f>IF('Antal &amp; Längder (vikter)'!K$56="Vikt (g)",IF('Antal &amp; Längder (vikter)'!K65&lt;&gt;"",'Antal &amp; Längder (vikter)'!K65,-9),-9)</f>
        <v>-9</v>
      </c>
    </row>
    <row r="452" spans="12:35" x14ac:dyDescent="0.25">
      <c r="L452" s="204"/>
      <c r="M452" s="204"/>
      <c r="N452" s="204"/>
      <c r="T452" s="331" t="str">
        <f>IF(OR(Protokoll!$X$5&lt;&gt;"",Lokalbeskrivn!$M$4&lt;&gt;""),"",U452)</f>
        <v/>
      </c>
      <c r="U452" s="330" t="s">
        <v>1333</v>
      </c>
      <c r="Y452" s="397"/>
      <c r="Z452" s="397"/>
      <c r="AB452" s="479" t="str">
        <f>IF(COUNT(AB443:AB451)&gt;0,MAX(AB443:AB451)+1,"")</f>
        <v/>
      </c>
      <c r="AC452" s="433" t="str">
        <f>IF(AND(AH452&lt;&gt;"",AG452&lt;&gt;"",AI452&gt;0,AH452&gt;0),MAX(AC$2:AC451)+1,"XX")</f>
        <v>XX</v>
      </c>
      <c r="AD452" s="429" t="str">
        <f>IF('Antal &amp; Längder (vikter)'!$C$53&lt;&gt;"",'Antal &amp; Längder (vikter)'!$C$53,"XX")</f>
        <v>XX</v>
      </c>
      <c r="AE452" s="419" t="str">
        <f>IF(AND('Antal &amp; Längder (vikter)'!J$55&lt;&gt;"",ISNUMBER($AH452)),'Antal &amp; Längder (vikter)'!J$55,"")</f>
        <v/>
      </c>
      <c r="AF452" s="425" t="str">
        <f t="shared" si="16"/>
        <v/>
      </c>
      <c r="AG452" s="426" t="str">
        <f t="shared" si="17"/>
        <v/>
      </c>
      <c r="AH452" s="410" t="str">
        <f>IF('Antal &amp; Längder (vikter)'!J66&lt;&gt;"",'Antal &amp; Längder (vikter)'!J66,"XX")</f>
        <v>XX</v>
      </c>
      <c r="AI452" s="405">
        <f>IF('Antal &amp; Längder (vikter)'!K$56="Vikt (g)",IF('Antal &amp; Längder (vikter)'!K66&lt;&gt;"",'Antal &amp; Längder (vikter)'!K66,-9),-9)</f>
        <v>-9</v>
      </c>
    </row>
    <row r="453" spans="12:35" ht="15" x14ac:dyDescent="0.25">
      <c r="L453" s="204"/>
      <c r="M453" s="204"/>
      <c r="N453" s="204"/>
      <c r="T453" s="331" t="str">
        <f>IF(OR(Protokoll!$X$5&lt;&gt;"",Lokalbeskrivn!$M$4&lt;&gt;""),"",U453)</f>
        <v/>
      </c>
      <c r="U453" s="330" t="s">
        <v>1335</v>
      </c>
      <c r="Y453" s="397"/>
      <c r="Z453" s="397"/>
      <c r="AB453" s="480" t="str">
        <f>IF(AND(ISNUMBER(AH453),AH453&gt;0),IF(MAX(AB$3:AB452)&gt;0,MAX(AB$3:AB452)+1,10+COUNTIF(F$38:F$49,"&gt;0")*10+1),"")</f>
        <v/>
      </c>
      <c r="AC453" s="433" t="str">
        <f>IF(AND(AH453&lt;&gt;"",AG453&lt;&gt;"",AI453&gt;0,AH453&gt;0),MAX(AC$2:AC452)+1,"XX")</f>
        <v>XX</v>
      </c>
      <c r="AD453" s="429" t="str">
        <f>IF('Antal &amp; Längder (vikter)'!$C$53&lt;&gt;"",'Antal &amp; Längder (vikter)'!$C$53,"XX")</f>
        <v>XX</v>
      </c>
      <c r="AE453" s="419" t="str">
        <f>IF(AND('Antal &amp; Längder (vikter)'!J$55&lt;&gt;"",ISNUMBER($AH453)),'Antal &amp; Längder (vikter)'!J$55,"")</f>
        <v/>
      </c>
      <c r="AF453" s="425" t="str">
        <f t="shared" si="16"/>
        <v/>
      </c>
      <c r="AG453" s="426" t="str">
        <f t="shared" si="17"/>
        <v/>
      </c>
      <c r="AH453" s="409" t="str">
        <f>IF('Antal &amp; Längder (vikter)'!K$56="Längd (mm)",IF('Antal &amp; Längder (vikter)'!K57&lt;&gt;"",'Antal &amp; Längder (vikter)'!K57,"XX"),"XX")</f>
        <v>XX</v>
      </c>
      <c r="AI453" s="158">
        <v>-9</v>
      </c>
    </row>
    <row r="454" spans="12:35" ht="15" x14ac:dyDescent="0.25">
      <c r="L454" s="204"/>
      <c r="M454" s="204"/>
      <c r="N454" s="204"/>
      <c r="T454" s="331" t="str">
        <f>IF(OR(Protokoll!$X$5&lt;&gt;"",Lokalbeskrivn!$M$4&lt;&gt;""),"",U454)</f>
        <v/>
      </c>
      <c r="U454" s="330" t="s">
        <v>1337</v>
      </c>
      <c r="Y454" s="397"/>
      <c r="Z454" s="397"/>
      <c r="AB454" s="476" t="str">
        <f>IF(COUNT(AB453:AB453)&gt;0,MAX(AB453:AB453)+1,"")</f>
        <v/>
      </c>
      <c r="AC454" s="433" t="str">
        <f>IF(AND(AH454&lt;&gt;"",AG454&lt;&gt;"",AI454&gt;0,AH454&gt;0),MAX(AC$2:AC453)+1,"XX")</f>
        <v>XX</v>
      </c>
      <c r="AD454" s="429" t="str">
        <f>IF('Antal &amp; Längder (vikter)'!$C$53&lt;&gt;"",'Antal &amp; Längder (vikter)'!$C$53,"XX")</f>
        <v>XX</v>
      </c>
      <c r="AE454" s="419" t="str">
        <f>IF(AND('Antal &amp; Längder (vikter)'!J$55&lt;&gt;"",ISNUMBER($AH454)),'Antal &amp; Längder (vikter)'!J$55,"")</f>
        <v/>
      </c>
      <c r="AF454" s="425" t="str">
        <f t="shared" si="16"/>
        <v/>
      </c>
      <c r="AG454" s="426" t="str">
        <f t="shared" si="17"/>
        <v/>
      </c>
      <c r="AH454" s="409" t="str">
        <f>IF('Antal &amp; Längder (vikter)'!K$56="Längd (mm)",IF('Antal &amp; Längder (vikter)'!K58&lt;&gt;"",'Antal &amp; Längder (vikter)'!K58,"XX"),"XX")</f>
        <v>XX</v>
      </c>
      <c r="AI454" s="158">
        <v>-9</v>
      </c>
    </row>
    <row r="455" spans="12:35" ht="15" x14ac:dyDescent="0.25">
      <c r="L455" s="204"/>
      <c r="M455" s="204"/>
      <c r="N455" s="204"/>
      <c r="T455" s="331" t="str">
        <f>IF(OR(Protokoll!$X$5&lt;&gt;"",Lokalbeskrivn!$M$4&lt;&gt;""),"",U455)</f>
        <v/>
      </c>
      <c r="U455" s="330" t="s">
        <v>1339</v>
      </c>
      <c r="Y455" s="397"/>
      <c r="Z455" s="397"/>
      <c r="AB455" s="477" t="str">
        <f>IF(COUNT(AB453:AB454)&gt;0,MAX(AB453:AB454)+1,"")</f>
        <v/>
      </c>
      <c r="AC455" s="433" t="str">
        <f>IF(AND(AH455&lt;&gt;"",AG455&lt;&gt;"",AI455&gt;0,AH455&gt;0),MAX(AC$2:AC454)+1,"XX")</f>
        <v>XX</v>
      </c>
      <c r="AD455" s="429" t="str">
        <f>IF('Antal &amp; Längder (vikter)'!$C$53&lt;&gt;"",'Antal &amp; Längder (vikter)'!$C$53,"XX")</f>
        <v>XX</v>
      </c>
      <c r="AE455" s="419" t="str">
        <f>IF(AND('Antal &amp; Längder (vikter)'!J$55&lt;&gt;"",ISNUMBER($AH455)),'Antal &amp; Längder (vikter)'!J$55,"")</f>
        <v/>
      </c>
      <c r="AF455" s="425" t="str">
        <f t="shared" si="16"/>
        <v/>
      </c>
      <c r="AG455" s="426" t="str">
        <f t="shared" si="17"/>
        <v/>
      </c>
      <c r="AH455" s="409" t="str">
        <f>IF('Antal &amp; Längder (vikter)'!K$56="Längd (mm)",IF('Antal &amp; Längder (vikter)'!K59&lt;&gt;"",'Antal &amp; Längder (vikter)'!K59,"XX"),"XX")</f>
        <v>XX</v>
      </c>
      <c r="AI455" s="158">
        <v>-9</v>
      </c>
    </row>
    <row r="456" spans="12:35" ht="15" x14ac:dyDescent="0.25">
      <c r="L456" s="204"/>
      <c r="M456" s="204"/>
      <c r="N456" s="204"/>
      <c r="T456" s="331" t="str">
        <f>IF(OR(Protokoll!$X$5&lt;&gt;"",Lokalbeskrivn!$M$4&lt;&gt;""),"",U456)</f>
        <v/>
      </c>
      <c r="U456" s="330" t="s">
        <v>1341</v>
      </c>
      <c r="Y456" s="397"/>
      <c r="Z456" s="397"/>
      <c r="AB456" s="434" t="str">
        <f>IF(COUNT(AB453:AB455)&gt;0,MAX(AB453:AB455)+1,"")</f>
        <v/>
      </c>
      <c r="AC456" s="433" t="str">
        <f>IF(AND(AH456&lt;&gt;"",AG456&lt;&gt;"",AI456&gt;0,AH456&gt;0),MAX(AC$2:AC455)+1,"XX")</f>
        <v>XX</v>
      </c>
      <c r="AD456" s="429" t="str">
        <f>IF('Antal &amp; Längder (vikter)'!$C$53&lt;&gt;"",'Antal &amp; Längder (vikter)'!$C$53,"XX")</f>
        <v>XX</v>
      </c>
      <c r="AE456" s="419" t="str">
        <f>IF(AND('Antal &amp; Längder (vikter)'!J$55&lt;&gt;"",ISNUMBER($AH456)),'Antal &amp; Längder (vikter)'!J$55,"")</f>
        <v/>
      </c>
      <c r="AF456" s="425" t="str">
        <f t="shared" si="16"/>
        <v/>
      </c>
      <c r="AG456" s="426" t="str">
        <f t="shared" si="17"/>
        <v/>
      </c>
      <c r="AH456" s="409" t="str">
        <f>IF('Antal &amp; Längder (vikter)'!K$56="Längd (mm)",IF('Antal &amp; Längder (vikter)'!K60&lt;&gt;"",'Antal &amp; Längder (vikter)'!K60,"XX"),"XX")</f>
        <v>XX</v>
      </c>
      <c r="AI456" s="158">
        <v>-9</v>
      </c>
    </row>
    <row r="457" spans="12:35" ht="15" x14ac:dyDescent="0.25">
      <c r="L457" s="204"/>
      <c r="M457" s="204"/>
      <c r="N457" s="204"/>
      <c r="T457" s="331" t="str">
        <f>IF(OR(Protokoll!$X$5&lt;&gt;"",Lokalbeskrivn!$M$4&lt;&gt;""),"",U457)</f>
        <v/>
      </c>
      <c r="U457" s="330" t="s">
        <v>1343</v>
      </c>
      <c r="Y457" s="397"/>
      <c r="Z457" s="397"/>
      <c r="AB457" s="475" t="str">
        <f>IF(COUNT(AB453:AB456)&gt;0,MAX(AB453:AB456)+1,"")</f>
        <v/>
      </c>
      <c r="AC457" s="433" t="str">
        <f>IF(AND(AH457&lt;&gt;"",AG457&lt;&gt;"",AI457&gt;0,AH457&gt;0),MAX(AC$2:AC456)+1,"XX")</f>
        <v>XX</v>
      </c>
      <c r="AD457" s="429" t="str">
        <f>IF('Antal &amp; Längder (vikter)'!$C$53&lt;&gt;"",'Antal &amp; Längder (vikter)'!$C$53,"XX")</f>
        <v>XX</v>
      </c>
      <c r="AE457" s="419" t="str">
        <f>IF(AND('Antal &amp; Längder (vikter)'!J$55&lt;&gt;"",ISNUMBER($AH457)),'Antal &amp; Längder (vikter)'!J$55,"")</f>
        <v/>
      </c>
      <c r="AF457" s="425" t="str">
        <f t="shared" si="16"/>
        <v/>
      </c>
      <c r="AG457" s="426" t="str">
        <f t="shared" si="17"/>
        <v/>
      </c>
      <c r="AH457" s="409" t="str">
        <f>IF('Antal &amp; Längder (vikter)'!K$56="Längd (mm)",IF('Antal &amp; Längder (vikter)'!K61&lt;&gt;"",'Antal &amp; Längder (vikter)'!K61,"XX"),"XX")</f>
        <v>XX</v>
      </c>
      <c r="AI457" s="158">
        <v>-9</v>
      </c>
    </row>
    <row r="458" spans="12:35" ht="15" x14ac:dyDescent="0.25">
      <c r="L458" s="204"/>
      <c r="M458" s="204"/>
      <c r="N458" s="204"/>
      <c r="T458" s="331" t="str">
        <f>IF(OR(Protokoll!$X$5&lt;&gt;"",Lokalbeskrivn!$M$4&lt;&gt;""),"",U458)</f>
        <v/>
      </c>
      <c r="U458" s="330" t="s">
        <v>1345</v>
      </c>
      <c r="Y458" s="397"/>
      <c r="Z458" s="397"/>
      <c r="AB458" s="471" t="str">
        <f>IF(COUNT(AB453:AB457)&gt;0,MAX(AB453:AB457)+1,"")</f>
        <v/>
      </c>
      <c r="AC458" s="433" t="str">
        <f>IF(AND(AH458&lt;&gt;"",AG458&lt;&gt;"",AI458&gt;0,AH458&gt;0),MAX(AC$2:AC457)+1,"XX")</f>
        <v>XX</v>
      </c>
      <c r="AD458" s="429" t="str">
        <f>IF('Antal &amp; Längder (vikter)'!$C$53&lt;&gt;"",'Antal &amp; Längder (vikter)'!$C$53,"XX")</f>
        <v>XX</v>
      </c>
      <c r="AE458" s="419" t="str">
        <f>IF(AND('Antal &amp; Längder (vikter)'!J$55&lt;&gt;"",ISNUMBER($AH458)),'Antal &amp; Längder (vikter)'!J$55,"")</f>
        <v/>
      </c>
      <c r="AF458" s="425" t="str">
        <f t="shared" si="16"/>
        <v/>
      </c>
      <c r="AG458" s="426" t="str">
        <f t="shared" si="17"/>
        <v/>
      </c>
      <c r="AH458" s="409" t="str">
        <f>IF('Antal &amp; Längder (vikter)'!K$56="Längd (mm)",IF('Antal &amp; Längder (vikter)'!K62&lt;&gt;"",'Antal &amp; Längder (vikter)'!K62,"XX"),"XX")</f>
        <v>XX</v>
      </c>
      <c r="AI458" s="158">
        <v>-9</v>
      </c>
    </row>
    <row r="459" spans="12:35" ht="15" x14ac:dyDescent="0.25">
      <c r="L459" s="204"/>
      <c r="M459" s="204"/>
      <c r="N459" s="204"/>
      <c r="T459" s="331" t="str">
        <f>IF(OR(Protokoll!$X$5&lt;&gt;"",Lokalbeskrivn!$M$4&lt;&gt;""),"",U459)</f>
        <v/>
      </c>
      <c r="U459" s="330" t="s">
        <v>1347</v>
      </c>
      <c r="Y459" s="397"/>
      <c r="Z459" s="397"/>
      <c r="AB459" s="474" t="str">
        <f>IF(COUNT(AB453:AB458)&gt;0,MAX(AB453:AB458)+1,"")</f>
        <v/>
      </c>
      <c r="AC459" s="433" t="str">
        <f>IF(AND(AH459&lt;&gt;"",AG459&lt;&gt;"",AI459&gt;0,AH459&gt;0),MAX(AC$2:AC458)+1,"XX")</f>
        <v>XX</v>
      </c>
      <c r="AD459" s="429" t="str">
        <f>IF('Antal &amp; Längder (vikter)'!$C$53&lt;&gt;"",'Antal &amp; Längder (vikter)'!$C$53,"XX")</f>
        <v>XX</v>
      </c>
      <c r="AE459" s="419" t="str">
        <f>IF(AND('Antal &amp; Längder (vikter)'!J$55&lt;&gt;"",ISNUMBER($AH459)),'Antal &amp; Längder (vikter)'!J$55,"")</f>
        <v/>
      </c>
      <c r="AF459" s="425" t="str">
        <f t="shared" si="16"/>
        <v/>
      </c>
      <c r="AG459" s="426" t="str">
        <f t="shared" si="17"/>
        <v/>
      </c>
      <c r="AH459" s="409" t="str">
        <f>IF('Antal &amp; Längder (vikter)'!K$56="Längd (mm)",IF('Antal &amp; Längder (vikter)'!K63&lt;&gt;"",'Antal &amp; Längder (vikter)'!K63,"XX"),"XX")</f>
        <v>XX</v>
      </c>
      <c r="AI459" s="158">
        <v>-9</v>
      </c>
    </row>
    <row r="460" spans="12:35" ht="15" x14ac:dyDescent="0.25">
      <c r="L460" s="204"/>
      <c r="M460" s="204"/>
      <c r="N460" s="204"/>
      <c r="T460" s="331" t="str">
        <f>IF(OR(Protokoll!$X$5&lt;&gt;"",Lokalbeskrivn!$M$4&lt;&gt;""),"",U460)</f>
        <v/>
      </c>
      <c r="U460" s="330" t="s">
        <v>1349</v>
      </c>
      <c r="Y460" s="397"/>
      <c r="Z460" s="397"/>
      <c r="AB460" s="478" t="str">
        <f>IF(COUNT(AB453:AB459)&gt;0,MAX(AB453:AB459)+1,"")</f>
        <v/>
      </c>
      <c r="AC460" s="433" t="str">
        <f>IF(AND(AH460&lt;&gt;"",AG460&lt;&gt;"",AI460&gt;0,AH460&gt;0),MAX(AC$2:AC459)+1,"XX")</f>
        <v>XX</v>
      </c>
      <c r="AD460" s="429" t="str">
        <f>IF('Antal &amp; Längder (vikter)'!$C$53&lt;&gt;"",'Antal &amp; Längder (vikter)'!$C$53,"XX")</f>
        <v>XX</v>
      </c>
      <c r="AE460" s="419" t="str">
        <f>IF(AND('Antal &amp; Längder (vikter)'!J$55&lt;&gt;"",ISNUMBER($AH460)),'Antal &amp; Längder (vikter)'!J$55,"")</f>
        <v/>
      </c>
      <c r="AF460" s="425" t="str">
        <f t="shared" si="16"/>
        <v/>
      </c>
      <c r="AG460" s="426" t="str">
        <f t="shared" si="17"/>
        <v/>
      </c>
      <c r="AH460" s="409" t="str">
        <f>IF('Antal &amp; Längder (vikter)'!K$56="Längd (mm)",IF('Antal &amp; Längder (vikter)'!K64&lt;&gt;"",'Antal &amp; Längder (vikter)'!K64,"XX"),"XX")</f>
        <v>XX</v>
      </c>
      <c r="AI460" s="158">
        <v>-9</v>
      </c>
    </row>
    <row r="461" spans="12:35" ht="15" x14ac:dyDescent="0.25">
      <c r="L461" s="204"/>
      <c r="M461" s="204"/>
      <c r="N461" s="204"/>
      <c r="T461" s="331" t="str">
        <f>IF(OR(Protokoll!$X$5&lt;&gt;"",Lokalbeskrivn!$M$4&lt;&gt;""),"",U461)</f>
        <v/>
      </c>
      <c r="U461" s="330" t="s">
        <v>1351</v>
      </c>
      <c r="Y461" s="397"/>
      <c r="Z461" s="397"/>
      <c r="AB461" s="472" t="str">
        <f>IF(COUNT(AB453:AB460)&gt;0,MAX(AB453:AB460)+1,"")</f>
        <v/>
      </c>
      <c r="AC461" s="433" t="str">
        <f>IF(AND(AH461&lt;&gt;"",AG461&lt;&gt;"",AI461&gt;0,AH461&gt;0),MAX(AC$2:AC460)+1,"XX")</f>
        <v>XX</v>
      </c>
      <c r="AD461" s="429" t="str">
        <f>IF('Antal &amp; Längder (vikter)'!$C$53&lt;&gt;"",'Antal &amp; Längder (vikter)'!$C$53,"XX")</f>
        <v>XX</v>
      </c>
      <c r="AE461" s="419" t="str">
        <f>IF(AND('Antal &amp; Längder (vikter)'!J$55&lt;&gt;"",ISNUMBER($AH461)),'Antal &amp; Längder (vikter)'!J$55,"")</f>
        <v/>
      </c>
      <c r="AF461" s="425" t="str">
        <f t="shared" si="16"/>
        <v/>
      </c>
      <c r="AG461" s="426" t="str">
        <f t="shared" si="17"/>
        <v/>
      </c>
      <c r="AH461" s="409" t="str">
        <f>IF('Antal &amp; Längder (vikter)'!K$56="Längd (mm)",IF('Antal &amp; Längder (vikter)'!K65&lt;&gt;"",'Antal &amp; Längder (vikter)'!K65,"XX"),"XX")</f>
        <v>XX</v>
      </c>
      <c r="AI461" s="158">
        <v>-9</v>
      </c>
    </row>
    <row r="462" spans="12:35" ht="15" x14ac:dyDescent="0.25">
      <c r="L462" s="204"/>
      <c r="M462" s="204"/>
      <c r="N462" s="204"/>
      <c r="T462" s="331" t="str">
        <f>IF(OR(Protokoll!$X$5&lt;&gt;"",Lokalbeskrivn!$M$4&lt;&gt;""),"",U462)</f>
        <v/>
      </c>
      <c r="U462" s="330" t="s">
        <v>1353</v>
      </c>
      <c r="Y462" s="397"/>
      <c r="Z462" s="397"/>
      <c r="AB462" s="479" t="str">
        <f>IF(COUNT(AB453:AB461)&gt;0,MAX(AB453:AB461)+1,"")</f>
        <v/>
      </c>
      <c r="AC462" s="433" t="str">
        <f>IF(AND(AH462&lt;&gt;"",AG462&lt;&gt;"",AI462&gt;0,AH462&gt;0),MAX(AC$2:AC461)+1,"XX")</f>
        <v>XX</v>
      </c>
      <c r="AD462" s="429" t="str">
        <f>IF('Antal &amp; Längder (vikter)'!$C$53&lt;&gt;"",'Antal &amp; Längder (vikter)'!$C$53,"XX")</f>
        <v>XX</v>
      </c>
      <c r="AE462" s="419" t="str">
        <f>IF(AND('Antal &amp; Längder (vikter)'!J$55&lt;&gt;"",ISNUMBER($AH462)),'Antal &amp; Längder (vikter)'!J$55,"")</f>
        <v/>
      </c>
      <c r="AF462" s="425" t="str">
        <f t="shared" si="16"/>
        <v/>
      </c>
      <c r="AG462" s="426" t="str">
        <f t="shared" si="17"/>
        <v/>
      </c>
      <c r="AH462" s="409" t="str">
        <f>IF('Antal &amp; Längder (vikter)'!K$56="Längd (mm)",IF('Antal &amp; Längder (vikter)'!K66&lt;&gt;"",'Antal &amp; Längder (vikter)'!K66,"XX"),"XX")</f>
        <v>XX</v>
      </c>
      <c r="AI462" s="158">
        <v>-9</v>
      </c>
    </row>
    <row r="463" spans="12:35" x14ac:dyDescent="0.25">
      <c r="L463" s="204"/>
      <c r="M463" s="204"/>
      <c r="N463" s="204"/>
      <c r="T463" s="331" t="str">
        <f>IF(OR(Protokoll!$X$5&lt;&gt;"",Lokalbeskrivn!$M$4&lt;&gt;""),"",U463)</f>
        <v/>
      </c>
      <c r="U463" s="330" t="s">
        <v>1355</v>
      </c>
      <c r="Y463" s="397"/>
      <c r="Z463" s="397"/>
      <c r="AB463" s="480" t="str">
        <f>IF(AND(ISNUMBER(AH463),AH463&gt;0),IF(MAX(AB$3:AB462)&gt;0,MAX(AB$3:AB462)+1,10+COUNTIF(F$38:F$49,"&gt;0")*10+1),"")</f>
        <v/>
      </c>
      <c r="AC463" s="433" t="str">
        <f>IF(AND(AH463&lt;&gt;"",AG463&lt;&gt;"",AI463&gt;0,AH463&gt;0),MAX(AC$2:AC462)+1,"XX")</f>
        <v>XX</v>
      </c>
      <c r="AD463" s="429" t="str">
        <f>IF('Antal &amp; Längder (vikter)'!$C$53&lt;&gt;"",'Antal &amp; Längder (vikter)'!$C$53,"XX")</f>
        <v>XX</v>
      </c>
      <c r="AE463" s="420" t="str">
        <f>IF(AND('Antal &amp; Längder (vikter)'!L$55&lt;&gt;"",ISNUMBER($AH463)),'Antal &amp; Längder (vikter)'!L$55,"")</f>
        <v/>
      </c>
      <c r="AF463" s="425" t="str">
        <f t="shared" si="16"/>
        <v/>
      </c>
      <c r="AG463" s="426" t="str">
        <f t="shared" si="17"/>
        <v/>
      </c>
      <c r="AH463" s="410" t="str">
        <f>IF('Antal &amp; Längder (vikter)'!L57&lt;&gt;"",'Antal &amp; Längder (vikter)'!L57,"XX")</f>
        <v>XX</v>
      </c>
      <c r="AI463" s="405">
        <f>IF('Antal &amp; Längder (vikter)'!M$56="Vikt (g)",IF('Antal &amp; Längder (vikter)'!M57&lt;&gt;"",'Antal &amp; Längder (vikter)'!M57,-9),-9)</f>
        <v>-9</v>
      </c>
    </row>
    <row r="464" spans="12:35" x14ac:dyDescent="0.25">
      <c r="L464" s="204"/>
      <c r="M464" s="204"/>
      <c r="N464" s="204"/>
      <c r="T464" s="331" t="str">
        <f>IF(OR(Protokoll!$X$5&lt;&gt;"",Lokalbeskrivn!$M$4&lt;&gt;""),"",U464)</f>
        <v/>
      </c>
      <c r="U464" s="330" t="s">
        <v>1357</v>
      </c>
      <c r="Y464" s="397"/>
      <c r="Z464" s="397"/>
      <c r="AB464" s="476" t="str">
        <f>IF(COUNT(AB463:AB463)&gt;0,MAX(AB463:AB463)+1,"")</f>
        <v/>
      </c>
      <c r="AC464" s="433" t="str">
        <f>IF(AND(AH464&lt;&gt;"",AG464&lt;&gt;"",AI464&gt;0,AH464&gt;0),MAX(AC$2:AC463)+1,"XX")</f>
        <v>XX</v>
      </c>
      <c r="AD464" s="429" t="str">
        <f>IF('Antal &amp; Längder (vikter)'!$C$53&lt;&gt;"",'Antal &amp; Längder (vikter)'!$C$53,"XX")</f>
        <v>XX</v>
      </c>
      <c r="AE464" s="420" t="str">
        <f>IF(AND('Antal &amp; Längder (vikter)'!L$55&lt;&gt;"",ISNUMBER($AH464)),'Antal &amp; Längder (vikter)'!L$55,"")</f>
        <v/>
      </c>
      <c r="AF464" s="425" t="str">
        <f t="shared" si="16"/>
        <v/>
      </c>
      <c r="AG464" s="426" t="str">
        <f t="shared" si="17"/>
        <v/>
      </c>
      <c r="AH464" s="410" t="str">
        <f>IF('Antal &amp; Längder (vikter)'!L58&lt;&gt;"",'Antal &amp; Längder (vikter)'!L58,"XX")</f>
        <v>XX</v>
      </c>
      <c r="AI464" s="405">
        <f>IF('Antal &amp; Längder (vikter)'!M$56="Vikt (g)",IF('Antal &amp; Längder (vikter)'!M58&lt;&gt;"",'Antal &amp; Längder (vikter)'!M58,-9),-9)</f>
        <v>-9</v>
      </c>
    </row>
    <row r="465" spans="12:35" x14ac:dyDescent="0.25">
      <c r="L465" s="204"/>
      <c r="M465" s="204"/>
      <c r="N465" s="204"/>
      <c r="T465" s="331" t="str">
        <f>IF(OR(Protokoll!$X$5&lt;&gt;"",Lokalbeskrivn!$M$4&lt;&gt;""),"",U465)</f>
        <v/>
      </c>
      <c r="U465" s="330" t="s">
        <v>1359</v>
      </c>
      <c r="Y465" s="397"/>
      <c r="Z465" s="397"/>
      <c r="AB465" s="477" t="str">
        <f>IF(COUNT(AB463:AB464)&gt;0,MAX(AB463:AB464)+1,"")</f>
        <v/>
      </c>
      <c r="AC465" s="433" t="str">
        <f>IF(AND(AH465&lt;&gt;"",AG465&lt;&gt;"",AI465&gt;0,AH465&gt;0),MAX(AC$2:AC464)+1,"XX")</f>
        <v>XX</v>
      </c>
      <c r="AD465" s="429" t="str">
        <f>IF('Antal &amp; Längder (vikter)'!$C$53&lt;&gt;"",'Antal &amp; Längder (vikter)'!$C$53,"XX")</f>
        <v>XX</v>
      </c>
      <c r="AE465" s="420" t="str">
        <f>IF(AND('Antal &amp; Längder (vikter)'!L$55&lt;&gt;"",ISNUMBER($AH465)),'Antal &amp; Längder (vikter)'!L$55,"")</f>
        <v/>
      </c>
      <c r="AF465" s="425" t="str">
        <f t="shared" si="16"/>
        <v/>
      </c>
      <c r="AG465" s="426" t="str">
        <f t="shared" si="17"/>
        <v/>
      </c>
      <c r="AH465" s="410" t="str">
        <f>IF('Antal &amp; Längder (vikter)'!L59&lt;&gt;"",'Antal &amp; Längder (vikter)'!L59,"XX")</f>
        <v>XX</v>
      </c>
      <c r="AI465" s="405">
        <f>IF('Antal &amp; Längder (vikter)'!M$56="Vikt (g)",IF('Antal &amp; Längder (vikter)'!M59&lt;&gt;"",'Antal &amp; Längder (vikter)'!M59,-9),-9)</f>
        <v>-9</v>
      </c>
    </row>
    <row r="466" spans="12:35" x14ac:dyDescent="0.25">
      <c r="L466" s="204"/>
      <c r="M466" s="204"/>
      <c r="N466" s="204"/>
      <c r="T466" s="331" t="str">
        <f>IF(OR(Protokoll!$X$5&lt;&gt;"",Lokalbeskrivn!$M$4&lt;&gt;""),"",U466)</f>
        <v/>
      </c>
      <c r="U466" s="330" t="s">
        <v>1361</v>
      </c>
      <c r="Y466" s="397"/>
      <c r="Z466" s="397"/>
      <c r="AB466" s="434" t="str">
        <f>IF(COUNT(AB463:AB465)&gt;0,MAX(AB463:AB465)+1,"")</f>
        <v/>
      </c>
      <c r="AC466" s="433" t="str">
        <f>IF(AND(AH466&lt;&gt;"",AG466&lt;&gt;"",AI466&gt;0,AH466&gt;0),MAX(AC$2:AC465)+1,"XX")</f>
        <v>XX</v>
      </c>
      <c r="AD466" s="429" t="str">
        <f>IF('Antal &amp; Längder (vikter)'!$C$53&lt;&gt;"",'Antal &amp; Längder (vikter)'!$C$53,"XX")</f>
        <v>XX</v>
      </c>
      <c r="AE466" s="420" t="str">
        <f>IF(AND('Antal &amp; Längder (vikter)'!L$55&lt;&gt;"",ISNUMBER($AH466)),'Antal &amp; Längder (vikter)'!L$55,"")</f>
        <v/>
      </c>
      <c r="AF466" s="425" t="str">
        <f t="shared" si="16"/>
        <v/>
      </c>
      <c r="AG466" s="426" t="str">
        <f t="shared" si="17"/>
        <v/>
      </c>
      <c r="AH466" s="410" t="str">
        <f>IF('Antal &amp; Längder (vikter)'!L60&lt;&gt;"",'Antal &amp; Längder (vikter)'!L60,"XX")</f>
        <v>XX</v>
      </c>
      <c r="AI466" s="405">
        <f>IF('Antal &amp; Längder (vikter)'!M$56="Vikt (g)",IF('Antal &amp; Längder (vikter)'!M60&lt;&gt;"",'Antal &amp; Längder (vikter)'!M60,-9),-9)</f>
        <v>-9</v>
      </c>
    </row>
    <row r="467" spans="12:35" x14ac:dyDescent="0.25">
      <c r="L467" s="204"/>
      <c r="M467" s="204"/>
      <c r="N467" s="204"/>
      <c r="T467" s="331" t="str">
        <f>IF(OR(Protokoll!$X$5&lt;&gt;"",Lokalbeskrivn!$M$4&lt;&gt;""),"",U467)</f>
        <v/>
      </c>
      <c r="U467" s="330" t="s">
        <v>1363</v>
      </c>
      <c r="Y467" s="397"/>
      <c r="Z467" s="397"/>
      <c r="AB467" s="475" t="str">
        <f>IF(COUNT(AB463:AB466)&gt;0,MAX(AB463:AB466)+1,"")</f>
        <v/>
      </c>
      <c r="AC467" s="433" t="str">
        <f>IF(AND(AH467&lt;&gt;"",AG467&lt;&gt;"",AI467&gt;0,AH467&gt;0),MAX(AC$2:AC466)+1,"XX")</f>
        <v>XX</v>
      </c>
      <c r="AD467" s="429" t="str">
        <f>IF('Antal &amp; Längder (vikter)'!$C$53&lt;&gt;"",'Antal &amp; Längder (vikter)'!$C$53,"XX")</f>
        <v>XX</v>
      </c>
      <c r="AE467" s="420" t="str">
        <f>IF(AND('Antal &amp; Längder (vikter)'!L$55&lt;&gt;"",ISNUMBER($AH467)),'Antal &amp; Längder (vikter)'!L$55,"")</f>
        <v/>
      </c>
      <c r="AF467" s="425" t="str">
        <f t="shared" si="16"/>
        <v/>
      </c>
      <c r="AG467" s="426" t="str">
        <f t="shared" si="17"/>
        <v/>
      </c>
      <c r="AH467" s="410" t="str">
        <f>IF('Antal &amp; Längder (vikter)'!L61&lt;&gt;"",'Antal &amp; Längder (vikter)'!L61,"XX")</f>
        <v>XX</v>
      </c>
      <c r="AI467" s="405">
        <f>IF('Antal &amp; Längder (vikter)'!M$56="Vikt (g)",IF('Antal &amp; Längder (vikter)'!M61&lt;&gt;"",'Antal &amp; Längder (vikter)'!M61,-9),-9)</f>
        <v>-9</v>
      </c>
    </row>
    <row r="468" spans="12:35" x14ac:dyDescent="0.25">
      <c r="L468" s="204"/>
      <c r="M468" s="204"/>
      <c r="N468" s="204"/>
      <c r="T468" s="331" t="str">
        <f>IF(OR(Protokoll!$X$5&lt;&gt;"",Lokalbeskrivn!$M$4&lt;&gt;""),"",U468)</f>
        <v/>
      </c>
      <c r="U468" s="330" t="s">
        <v>1365</v>
      </c>
      <c r="Y468" s="397"/>
      <c r="Z468" s="397"/>
      <c r="AB468" s="471" t="str">
        <f>IF(COUNT(AB463:AB467)&gt;0,MAX(AB463:AB467)+1,"")</f>
        <v/>
      </c>
      <c r="AC468" s="433" t="str">
        <f>IF(AND(AH468&lt;&gt;"",AG468&lt;&gt;"",AI468&gt;0,AH468&gt;0),MAX(AC$2:AC467)+1,"XX")</f>
        <v>XX</v>
      </c>
      <c r="AD468" s="429" t="str">
        <f>IF('Antal &amp; Längder (vikter)'!$C$53&lt;&gt;"",'Antal &amp; Längder (vikter)'!$C$53,"XX")</f>
        <v>XX</v>
      </c>
      <c r="AE468" s="420" t="str">
        <f>IF(AND('Antal &amp; Längder (vikter)'!L$55&lt;&gt;"",ISNUMBER($AH468)),'Antal &amp; Längder (vikter)'!L$55,"")</f>
        <v/>
      </c>
      <c r="AF468" s="425" t="str">
        <f t="shared" si="16"/>
        <v/>
      </c>
      <c r="AG468" s="426" t="str">
        <f t="shared" si="17"/>
        <v/>
      </c>
      <c r="AH468" s="410" t="str">
        <f>IF('Antal &amp; Längder (vikter)'!L62&lt;&gt;"",'Antal &amp; Längder (vikter)'!L62,"XX")</f>
        <v>XX</v>
      </c>
      <c r="AI468" s="405">
        <f>IF('Antal &amp; Längder (vikter)'!M$56="Vikt (g)",IF('Antal &amp; Längder (vikter)'!M62&lt;&gt;"",'Antal &amp; Längder (vikter)'!M62,-9),-9)</f>
        <v>-9</v>
      </c>
    </row>
    <row r="469" spans="12:35" x14ac:dyDescent="0.25">
      <c r="L469" s="204"/>
      <c r="M469" s="204"/>
      <c r="N469" s="204"/>
      <c r="T469" s="331" t="str">
        <f>IF(OR(Protokoll!$X$5&lt;&gt;"",Lokalbeskrivn!$M$4&lt;&gt;""),"",U469)</f>
        <v/>
      </c>
      <c r="U469" s="330" t="s">
        <v>1367</v>
      </c>
      <c r="Y469" s="397"/>
      <c r="Z469" s="397"/>
      <c r="AB469" s="474" t="str">
        <f>IF(COUNT(AB463:AB468)&gt;0,MAX(AB463:AB468)+1,"")</f>
        <v/>
      </c>
      <c r="AC469" s="433" t="str">
        <f>IF(AND(AH469&lt;&gt;"",AG469&lt;&gt;"",AI469&gt;0,AH469&gt;0),MAX(AC$2:AC468)+1,"XX")</f>
        <v>XX</v>
      </c>
      <c r="AD469" s="429" t="str">
        <f>IF('Antal &amp; Längder (vikter)'!$C$53&lt;&gt;"",'Antal &amp; Längder (vikter)'!$C$53,"XX")</f>
        <v>XX</v>
      </c>
      <c r="AE469" s="420" t="str">
        <f>IF(AND('Antal &amp; Längder (vikter)'!L$55&lt;&gt;"",ISNUMBER($AH469)),'Antal &amp; Längder (vikter)'!L$55,"")</f>
        <v/>
      </c>
      <c r="AF469" s="425" t="str">
        <f t="shared" si="16"/>
        <v/>
      </c>
      <c r="AG469" s="426" t="str">
        <f t="shared" si="17"/>
        <v/>
      </c>
      <c r="AH469" s="410" t="str">
        <f>IF('Antal &amp; Längder (vikter)'!L63&lt;&gt;"",'Antal &amp; Längder (vikter)'!L63,"XX")</f>
        <v>XX</v>
      </c>
      <c r="AI469" s="405">
        <f>IF('Antal &amp; Längder (vikter)'!M$56="Vikt (g)",IF('Antal &amp; Längder (vikter)'!M63&lt;&gt;"",'Antal &amp; Längder (vikter)'!M63,-9),-9)</f>
        <v>-9</v>
      </c>
    </row>
    <row r="470" spans="12:35" x14ac:dyDescent="0.25">
      <c r="L470" s="204"/>
      <c r="M470" s="204"/>
      <c r="N470" s="204"/>
      <c r="T470" s="331" t="str">
        <f>IF(OR(Protokoll!$X$5&lt;&gt;"",Lokalbeskrivn!$M$4&lt;&gt;""),"",U470)</f>
        <v/>
      </c>
      <c r="U470" s="330" t="s">
        <v>1369</v>
      </c>
      <c r="Y470" s="397"/>
      <c r="Z470" s="397"/>
      <c r="AB470" s="478" t="str">
        <f>IF(COUNT(AB463:AB469)&gt;0,MAX(AB463:AB469)+1,"")</f>
        <v/>
      </c>
      <c r="AC470" s="433" t="str">
        <f>IF(AND(AH470&lt;&gt;"",AG470&lt;&gt;"",AI470&gt;0,AH470&gt;0),MAX(AC$2:AC469)+1,"XX")</f>
        <v>XX</v>
      </c>
      <c r="AD470" s="429" t="str">
        <f>IF('Antal &amp; Längder (vikter)'!$C$53&lt;&gt;"",'Antal &amp; Längder (vikter)'!$C$53,"XX")</f>
        <v>XX</v>
      </c>
      <c r="AE470" s="420" t="str">
        <f>IF(AND('Antal &amp; Längder (vikter)'!L$55&lt;&gt;"",ISNUMBER($AH470)),'Antal &amp; Längder (vikter)'!L$55,"")</f>
        <v/>
      </c>
      <c r="AF470" s="425" t="str">
        <f t="shared" si="16"/>
        <v/>
      </c>
      <c r="AG470" s="426" t="str">
        <f t="shared" si="17"/>
        <v/>
      </c>
      <c r="AH470" s="410" t="str">
        <f>IF('Antal &amp; Längder (vikter)'!L64&lt;&gt;"",'Antal &amp; Längder (vikter)'!L64,"XX")</f>
        <v>XX</v>
      </c>
      <c r="AI470" s="405">
        <f>IF('Antal &amp; Längder (vikter)'!M$56="Vikt (g)",IF('Antal &amp; Längder (vikter)'!M64&lt;&gt;"",'Antal &amp; Längder (vikter)'!M64,-9),-9)</f>
        <v>-9</v>
      </c>
    </row>
    <row r="471" spans="12:35" x14ac:dyDescent="0.25">
      <c r="L471" s="204"/>
      <c r="M471" s="204"/>
      <c r="N471" s="204"/>
      <c r="T471" s="331" t="str">
        <f>IF(OR(Protokoll!$X$5&lt;&gt;"",Lokalbeskrivn!$M$4&lt;&gt;""),"",U471)</f>
        <v/>
      </c>
      <c r="U471" s="330" t="s">
        <v>1371</v>
      </c>
      <c r="Y471" s="397"/>
      <c r="Z471" s="397"/>
      <c r="AB471" s="472" t="str">
        <f>IF(COUNT(AB463:AB470)&gt;0,MAX(AB463:AB470)+1,"")</f>
        <v/>
      </c>
      <c r="AC471" s="433" t="str">
        <f>IF(AND(AH471&lt;&gt;"",AG471&lt;&gt;"",AI471&gt;0,AH471&gt;0),MAX(AC$2:AC470)+1,"XX")</f>
        <v>XX</v>
      </c>
      <c r="AD471" s="429" t="str">
        <f>IF('Antal &amp; Längder (vikter)'!$C$53&lt;&gt;"",'Antal &amp; Längder (vikter)'!$C$53,"XX")</f>
        <v>XX</v>
      </c>
      <c r="AE471" s="420" t="str">
        <f>IF(AND('Antal &amp; Längder (vikter)'!L$55&lt;&gt;"",ISNUMBER($AH471)),'Antal &amp; Längder (vikter)'!L$55,"")</f>
        <v/>
      </c>
      <c r="AF471" s="425" t="str">
        <f t="shared" si="16"/>
        <v/>
      </c>
      <c r="AG471" s="426" t="str">
        <f t="shared" si="17"/>
        <v/>
      </c>
      <c r="AH471" s="410" t="str">
        <f>IF('Antal &amp; Längder (vikter)'!L65&lt;&gt;"",'Antal &amp; Längder (vikter)'!L65,"XX")</f>
        <v>XX</v>
      </c>
      <c r="AI471" s="405">
        <f>IF('Antal &amp; Längder (vikter)'!M$56="Vikt (g)",IF('Antal &amp; Längder (vikter)'!M65&lt;&gt;"",'Antal &amp; Längder (vikter)'!M65,-9),-9)</f>
        <v>-9</v>
      </c>
    </row>
    <row r="472" spans="12:35" x14ac:dyDescent="0.25">
      <c r="L472" s="204"/>
      <c r="M472" s="204"/>
      <c r="N472" s="204"/>
      <c r="T472" s="331" t="str">
        <f>IF(OR(Protokoll!$X$5&lt;&gt;"",Lokalbeskrivn!$M$4&lt;&gt;""),"",U472)</f>
        <v/>
      </c>
      <c r="U472" s="330" t="s">
        <v>1373</v>
      </c>
      <c r="Y472" s="397"/>
      <c r="Z472" s="397"/>
      <c r="AB472" s="479" t="str">
        <f>IF(COUNT(AB463:AB471)&gt;0,MAX(AB463:AB471)+1,"")</f>
        <v/>
      </c>
      <c r="AC472" s="433" t="str">
        <f>IF(AND(AH472&lt;&gt;"",AG472&lt;&gt;"",AI472&gt;0,AH472&gt;0),MAX(AC$2:AC471)+1,"XX")</f>
        <v>XX</v>
      </c>
      <c r="AD472" s="429" t="str">
        <f>IF('Antal &amp; Längder (vikter)'!$C$53&lt;&gt;"",'Antal &amp; Längder (vikter)'!$C$53,"XX")</f>
        <v>XX</v>
      </c>
      <c r="AE472" s="420" t="str">
        <f>IF(AND('Antal &amp; Längder (vikter)'!L$55&lt;&gt;"",ISNUMBER($AH472)),'Antal &amp; Längder (vikter)'!L$55,"")</f>
        <v/>
      </c>
      <c r="AF472" s="425" t="str">
        <f t="shared" si="16"/>
        <v/>
      </c>
      <c r="AG472" s="426" t="str">
        <f t="shared" si="17"/>
        <v/>
      </c>
      <c r="AH472" s="410" t="str">
        <f>IF('Antal &amp; Längder (vikter)'!L66&lt;&gt;"",'Antal &amp; Längder (vikter)'!L66,"XX")</f>
        <v>XX</v>
      </c>
      <c r="AI472" s="405">
        <f>IF('Antal &amp; Längder (vikter)'!M$56="Vikt (g)",IF('Antal &amp; Längder (vikter)'!M66&lt;&gt;"",'Antal &amp; Längder (vikter)'!M66,-9),-9)</f>
        <v>-9</v>
      </c>
    </row>
    <row r="473" spans="12:35" ht="15" x14ac:dyDescent="0.25">
      <c r="L473" s="204"/>
      <c r="M473" s="204"/>
      <c r="N473" s="204"/>
      <c r="T473" s="331" t="str">
        <f>IF(OR(Protokoll!$X$5&lt;&gt;"",Lokalbeskrivn!$M$4&lt;&gt;""),"",U473)</f>
        <v/>
      </c>
      <c r="U473" s="330" t="s">
        <v>1375</v>
      </c>
      <c r="Y473" s="397"/>
      <c r="Z473" s="397"/>
      <c r="AB473" s="480" t="str">
        <f>IF(AND(ISNUMBER(AH473),AH473&gt;0),IF(MAX(AB$3:AB472)&gt;0,MAX(AB$3:AB472)+1,10+COUNTIF(F$38:F$49,"&gt;0")*10+1),"")</f>
        <v/>
      </c>
      <c r="AC473" s="433" t="str">
        <f>IF(AND(AH473&lt;&gt;"",AG473&lt;&gt;"",AI473&gt;0,AH473&gt;0),MAX(AC$2:AC472)+1,"XX")</f>
        <v>XX</v>
      </c>
      <c r="AD473" s="429" t="str">
        <f>IF('Antal &amp; Längder (vikter)'!$C$53&lt;&gt;"",'Antal &amp; Längder (vikter)'!$C$53,"XX")</f>
        <v>XX</v>
      </c>
      <c r="AE473" s="420" t="str">
        <f>IF(AND('Antal &amp; Längder (vikter)'!L$55&lt;&gt;"",ISNUMBER($AH473)),'Antal &amp; Längder (vikter)'!L$55,"")</f>
        <v/>
      </c>
      <c r="AF473" s="425" t="str">
        <f t="shared" si="16"/>
        <v/>
      </c>
      <c r="AG473" s="426" t="str">
        <f t="shared" si="17"/>
        <v/>
      </c>
      <c r="AH473" s="409" t="str">
        <f>IF('Antal &amp; Längder (vikter)'!M$56="Längd (mm)",IF('Antal &amp; Längder (vikter)'!M57&lt;&gt;"",'Antal &amp; Längder (vikter)'!M57,"XX"),"XX")</f>
        <v>XX</v>
      </c>
      <c r="AI473" s="158">
        <v>-9</v>
      </c>
    </row>
    <row r="474" spans="12:35" ht="15" x14ac:dyDescent="0.25">
      <c r="L474" s="204"/>
      <c r="M474" s="204"/>
      <c r="N474" s="204"/>
      <c r="T474" s="331" t="str">
        <f>IF(OR(Protokoll!$X$5&lt;&gt;"",Lokalbeskrivn!$M$4&lt;&gt;""),"",U474)</f>
        <v/>
      </c>
      <c r="U474" s="330" t="s">
        <v>1377</v>
      </c>
      <c r="Y474" s="397"/>
      <c r="Z474" s="397"/>
      <c r="AB474" s="476" t="str">
        <f>IF(COUNT(AB473:AB473)&gt;0,MAX(AB473:AB473)+1,"")</f>
        <v/>
      </c>
      <c r="AC474" s="433" t="str">
        <f>IF(AND(AH474&lt;&gt;"",AG474&lt;&gt;"",AI474&gt;0,AH474&gt;0),MAX(AC$2:AC473)+1,"XX")</f>
        <v>XX</v>
      </c>
      <c r="AD474" s="429" t="str">
        <f>IF('Antal &amp; Längder (vikter)'!$C$53&lt;&gt;"",'Antal &amp; Längder (vikter)'!$C$53,"XX")</f>
        <v>XX</v>
      </c>
      <c r="AE474" s="420" t="str">
        <f>IF(AND('Antal &amp; Längder (vikter)'!L$55&lt;&gt;"",ISNUMBER($AH474)),'Antal &amp; Längder (vikter)'!L$55,"")</f>
        <v/>
      </c>
      <c r="AF474" s="425" t="str">
        <f t="shared" si="16"/>
        <v/>
      </c>
      <c r="AG474" s="426" t="str">
        <f t="shared" si="17"/>
        <v/>
      </c>
      <c r="AH474" s="409" t="str">
        <f>IF('Antal &amp; Längder (vikter)'!M$56="Längd (mm)",IF('Antal &amp; Längder (vikter)'!M58&lt;&gt;"",'Antal &amp; Längder (vikter)'!M58,"XX"),"XX")</f>
        <v>XX</v>
      </c>
      <c r="AI474" s="158">
        <v>-9</v>
      </c>
    </row>
    <row r="475" spans="12:35" ht="15" x14ac:dyDescent="0.25">
      <c r="L475" s="204"/>
      <c r="M475" s="204"/>
      <c r="N475" s="204"/>
      <c r="T475" s="331" t="str">
        <f>IF(OR(Protokoll!$X$5&lt;&gt;"",Lokalbeskrivn!$M$4&lt;&gt;""),"",U475)</f>
        <v/>
      </c>
      <c r="U475" s="330" t="s">
        <v>1379</v>
      </c>
      <c r="Y475" s="397"/>
      <c r="Z475" s="397"/>
      <c r="AB475" s="477" t="str">
        <f>IF(COUNT(AB473:AB474)&gt;0,MAX(AB473:AB474)+1,"")</f>
        <v/>
      </c>
      <c r="AC475" s="433" t="str">
        <f>IF(AND(AH475&lt;&gt;"",AG475&lt;&gt;"",AI475&gt;0,AH475&gt;0),MAX(AC$2:AC474)+1,"XX")</f>
        <v>XX</v>
      </c>
      <c r="AD475" s="429" t="str">
        <f>IF('Antal &amp; Längder (vikter)'!$C$53&lt;&gt;"",'Antal &amp; Längder (vikter)'!$C$53,"XX")</f>
        <v>XX</v>
      </c>
      <c r="AE475" s="420" t="str">
        <f>IF(AND('Antal &amp; Längder (vikter)'!L$55&lt;&gt;"",ISNUMBER($AH475)),'Antal &amp; Längder (vikter)'!L$55,"")</f>
        <v/>
      </c>
      <c r="AF475" s="425" t="str">
        <f t="shared" si="16"/>
        <v/>
      </c>
      <c r="AG475" s="426" t="str">
        <f t="shared" si="17"/>
        <v/>
      </c>
      <c r="AH475" s="409" t="str">
        <f>IF('Antal &amp; Längder (vikter)'!M$56="Längd (mm)",IF('Antal &amp; Längder (vikter)'!M59&lt;&gt;"",'Antal &amp; Längder (vikter)'!M59,"XX"),"XX")</f>
        <v>XX</v>
      </c>
      <c r="AI475" s="158">
        <v>-9</v>
      </c>
    </row>
    <row r="476" spans="12:35" ht="15" x14ac:dyDescent="0.25">
      <c r="L476" s="204"/>
      <c r="M476" s="204"/>
      <c r="N476" s="204"/>
      <c r="T476" s="331" t="str">
        <f>IF(OR(Protokoll!$X$5&lt;&gt;"",Lokalbeskrivn!$M$4&lt;&gt;""),"",U476)</f>
        <v/>
      </c>
      <c r="U476" s="330" t="s">
        <v>1381</v>
      </c>
      <c r="Y476" s="397"/>
      <c r="Z476" s="397"/>
      <c r="AB476" s="434" t="str">
        <f>IF(COUNT(AB473:AB475)&gt;0,MAX(AB473:AB475)+1,"")</f>
        <v/>
      </c>
      <c r="AC476" s="433" t="str">
        <f>IF(AND(AH476&lt;&gt;"",AG476&lt;&gt;"",AI476&gt;0,AH476&gt;0),MAX(AC$2:AC475)+1,"XX")</f>
        <v>XX</v>
      </c>
      <c r="AD476" s="429" t="str">
        <f>IF('Antal &amp; Längder (vikter)'!$C$53&lt;&gt;"",'Antal &amp; Längder (vikter)'!$C$53,"XX")</f>
        <v>XX</v>
      </c>
      <c r="AE476" s="420" t="str">
        <f>IF(AND('Antal &amp; Längder (vikter)'!L$55&lt;&gt;"",ISNUMBER($AH476)),'Antal &amp; Längder (vikter)'!L$55,"")</f>
        <v/>
      </c>
      <c r="AF476" s="425" t="str">
        <f t="shared" si="16"/>
        <v/>
      </c>
      <c r="AG476" s="426" t="str">
        <f t="shared" si="17"/>
        <v/>
      </c>
      <c r="AH476" s="409" t="str">
        <f>IF('Antal &amp; Längder (vikter)'!M$56="Längd (mm)",IF('Antal &amp; Längder (vikter)'!M60&lt;&gt;"",'Antal &amp; Längder (vikter)'!M60,"XX"),"XX")</f>
        <v>XX</v>
      </c>
      <c r="AI476" s="158">
        <v>-9</v>
      </c>
    </row>
    <row r="477" spans="12:35" ht="15" x14ac:dyDescent="0.25">
      <c r="L477" s="204"/>
      <c r="M477" s="204"/>
      <c r="N477" s="204"/>
      <c r="T477" s="331" t="str">
        <f>IF(OR(Protokoll!$X$5&lt;&gt;"",Lokalbeskrivn!$M$4&lt;&gt;""),"",U477)</f>
        <v/>
      </c>
      <c r="U477" s="330" t="s">
        <v>1383</v>
      </c>
      <c r="Y477" s="397"/>
      <c r="Z477" s="397"/>
      <c r="AB477" s="475" t="str">
        <f>IF(COUNT(AB473:AB476)&gt;0,MAX(AB473:AB476)+1,"")</f>
        <v/>
      </c>
      <c r="AC477" s="433" t="str">
        <f>IF(AND(AH477&lt;&gt;"",AG477&lt;&gt;"",AI477&gt;0,AH477&gt;0),MAX(AC$2:AC476)+1,"XX")</f>
        <v>XX</v>
      </c>
      <c r="AD477" s="429" t="str">
        <f>IF('Antal &amp; Längder (vikter)'!$C$53&lt;&gt;"",'Antal &amp; Längder (vikter)'!$C$53,"XX")</f>
        <v>XX</v>
      </c>
      <c r="AE477" s="420" t="str">
        <f>IF(AND('Antal &amp; Längder (vikter)'!L$55&lt;&gt;"",ISNUMBER($AH477)),'Antal &amp; Längder (vikter)'!L$55,"")</f>
        <v/>
      </c>
      <c r="AF477" s="425" t="str">
        <f t="shared" si="16"/>
        <v/>
      </c>
      <c r="AG477" s="426" t="str">
        <f t="shared" si="17"/>
        <v/>
      </c>
      <c r="AH477" s="409" t="str">
        <f>IF('Antal &amp; Längder (vikter)'!M$56="Längd (mm)",IF('Antal &amp; Längder (vikter)'!M61&lt;&gt;"",'Antal &amp; Längder (vikter)'!M61,"XX"),"XX")</f>
        <v>XX</v>
      </c>
      <c r="AI477" s="158">
        <v>-9</v>
      </c>
    </row>
    <row r="478" spans="12:35" ht="15" x14ac:dyDescent="0.25">
      <c r="L478" s="204"/>
      <c r="M478" s="204"/>
      <c r="N478" s="204"/>
      <c r="T478" s="331" t="str">
        <f>IF(OR(Protokoll!$X$5&lt;&gt;"",Lokalbeskrivn!$M$4&lt;&gt;""),"",U478)</f>
        <v/>
      </c>
      <c r="U478" s="330" t="s">
        <v>1385</v>
      </c>
      <c r="Y478" s="397"/>
      <c r="Z478" s="397"/>
      <c r="AB478" s="471" t="str">
        <f>IF(COUNT(AB473:AB477)&gt;0,MAX(AB473:AB477)+1,"")</f>
        <v/>
      </c>
      <c r="AC478" s="433" t="str">
        <f>IF(AND(AH478&lt;&gt;"",AG478&lt;&gt;"",AI478&gt;0,AH478&gt;0),MAX(AC$2:AC477)+1,"XX")</f>
        <v>XX</v>
      </c>
      <c r="AD478" s="429" t="str">
        <f>IF('Antal &amp; Längder (vikter)'!$C$53&lt;&gt;"",'Antal &amp; Längder (vikter)'!$C$53,"XX")</f>
        <v>XX</v>
      </c>
      <c r="AE478" s="420" t="str">
        <f>IF(AND('Antal &amp; Längder (vikter)'!L$55&lt;&gt;"",ISNUMBER($AH478)),'Antal &amp; Längder (vikter)'!L$55,"")</f>
        <v/>
      </c>
      <c r="AF478" s="425" t="str">
        <f t="shared" si="16"/>
        <v/>
      </c>
      <c r="AG478" s="426" t="str">
        <f t="shared" si="17"/>
        <v/>
      </c>
      <c r="AH478" s="409" t="str">
        <f>IF('Antal &amp; Längder (vikter)'!M$56="Längd (mm)",IF('Antal &amp; Längder (vikter)'!M62&lt;&gt;"",'Antal &amp; Längder (vikter)'!M62,"XX"),"XX")</f>
        <v>XX</v>
      </c>
      <c r="AI478" s="158">
        <v>-9</v>
      </c>
    </row>
    <row r="479" spans="12:35" ht="15" x14ac:dyDescent="0.25">
      <c r="L479" s="204"/>
      <c r="M479" s="204"/>
      <c r="N479" s="204"/>
      <c r="T479" s="331" t="str">
        <f>IF(OR(Protokoll!$X$5&lt;&gt;"",Lokalbeskrivn!$M$4&lt;&gt;""),"",U479)</f>
        <v/>
      </c>
      <c r="U479" s="330" t="s">
        <v>1386</v>
      </c>
      <c r="Y479" s="397"/>
      <c r="Z479" s="397"/>
      <c r="AB479" s="474" t="str">
        <f>IF(COUNT(AB473:AB478)&gt;0,MAX(AB473:AB478)+1,"")</f>
        <v/>
      </c>
      <c r="AC479" s="433" t="str">
        <f>IF(AND(AH479&lt;&gt;"",AG479&lt;&gt;"",AI479&gt;0,AH479&gt;0),MAX(AC$2:AC478)+1,"XX")</f>
        <v>XX</v>
      </c>
      <c r="AD479" s="429" t="str">
        <f>IF('Antal &amp; Längder (vikter)'!$C$53&lt;&gt;"",'Antal &amp; Längder (vikter)'!$C$53,"XX")</f>
        <v>XX</v>
      </c>
      <c r="AE479" s="420" t="str">
        <f>IF(AND('Antal &amp; Längder (vikter)'!L$55&lt;&gt;"",ISNUMBER($AH479)),'Antal &amp; Längder (vikter)'!L$55,"")</f>
        <v/>
      </c>
      <c r="AF479" s="425" t="str">
        <f t="shared" si="16"/>
        <v/>
      </c>
      <c r="AG479" s="426" t="str">
        <f t="shared" si="17"/>
        <v/>
      </c>
      <c r="AH479" s="409" t="str">
        <f>IF('Antal &amp; Längder (vikter)'!M$56="Längd (mm)",IF('Antal &amp; Längder (vikter)'!M63&lt;&gt;"",'Antal &amp; Längder (vikter)'!M63,"XX"),"XX")</f>
        <v>XX</v>
      </c>
      <c r="AI479" s="158">
        <v>-9</v>
      </c>
    </row>
    <row r="480" spans="12:35" ht="15" x14ac:dyDescent="0.25">
      <c r="L480" s="204"/>
      <c r="M480" s="204"/>
      <c r="N480" s="204"/>
      <c r="T480" s="331" t="str">
        <f>IF(OR(Protokoll!$X$5&lt;&gt;"",Lokalbeskrivn!$M$4&lt;&gt;""),"",U480)</f>
        <v/>
      </c>
      <c r="U480" s="330" t="s">
        <v>1388</v>
      </c>
      <c r="Y480" s="397"/>
      <c r="Z480" s="397"/>
      <c r="AB480" s="478" t="str">
        <f>IF(COUNT(AB473:AB479)&gt;0,MAX(AB473:AB479)+1,"")</f>
        <v/>
      </c>
      <c r="AC480" s="433" t="str">
        <f>IF(AND(AH480&lt;&gt;"",AG480&lt;&gt;"",AI480&gt;0,AH480&gt;0),MAX(AC$2:AC479)+1,"XX")</f>
        <v>XX</v>
      </c>
      <c r="AD480" s="429" t="str">
        <f>IF('Antal &amp; Längder (vikter)'!$C$53&lt;&gt;"",'Antal &amp; Längder (vikter)'!$C$53,"XX")</f>
        <v>XX</v>
      </c>
      <c r="AE480" s="420" t="str">
        <f>IF(AND('Antal &amp; Längder (vikter)'!L$55&lt;&gt;"",ISNUMBER($AH480)),'Antal &amp; Längder (vikter)'!L$55,"")</f>
        <v/>
      </c>
      <c r="AF480" s="425" t="str">
        <f t="shared" si="16"/>
        <v/>
      </c>
      <c r="AG480" s="426" t="str">
        <f t="shared" si="17"/>
        <v/>
      </c>
      <c r="AH480" s="409" t="str">
        <f>IF('Antal &amp; Längder (vikter)'!M$56="Längd (mm)",IF('Antal &amp; Längder (vikter)'!M64&lt;&gt;"",'Antal &amp; Längder (vikter)'!M64,"XX"),"XX")</f>
        <v>XX</v>
      </c>
      <c r="AI480" s="158">
        <v>-9</v>
      </c>
    </row>
    <row r="481" spans="12:35" ht="15" x14ac:dyDescent="0.25">
      <c r="L481" s="204"/>
      <c r="M481" s="204"/>
      <c r="N481" s="204"/>
      <c r="T481" s="331" t="str">
        <f>IF(OR(Protokoll!$X$5&lt;&gt;"",Lokalbeskrivn!$M$4&lt;&gt;""),"",U481)</f>
        <v/>
      </c>
      <c r="U481" s="330" t="s">
        <v>1390</v>
      </c>
      <c r="Y481" s="397"/>
      <c r="Z481" s="397"/>
      <c r="AB481" s="472" t="str">
        <f>IF(COUNT(AB473:AB480)&gt;0,MAX(AB473:AB480)+1,"")</f>
        <v/>
      </c>
      <c r="AC481" s="433" t="str">
        <f>IF(AND(AH481&lt;&gt;"",AG481&lt;&gt;"",AI481&gt;0,AH481&gt;0),MAX(AC$2:AC480)+1,"XX")</f>
        <v>XX</v>
      </c>
      <c r="AD481" s="429" t="str">
        <f>IF('Antal &amp; Längder (vikter)'!$C$53&lt;&gt;"",'Antal &amp; Längder (vikter)'!$C$53,"XX")</f>
        <v>XX</v>
      </c>
      <c r="AE481" s="420" t="str">
        <f>IF(AND('Antal &amp; Längder (vikter)'!L$55&lt;&gt;"",ISNUMBER($AH481)),'Antal &amp; Längder (vikter)'!L$55,"")</f>
        <v/>
      </c>
      <c r="AF481" s="425" t="str">
        <f t="shared" si="16"/>
        <v/>
      </c>
      <c r="AG481" s="426" t="str">
        <f t="shared" si="17"/>
        <v/>
      </c>
      <c r="AH481" s="409" t="str">
        <f>IF('Antal &amp; Längder (vikter)'!M$56="Längd (mm)",IF('Antal &amp; Längder (vikter)'!M65&lt;&gt;"",'Antal &amp; Längder (vikter)'!M65,"XX"),"XX")</f>
        <v>XX</v>
      </c>
      <c r="AI481" s="158">
        <v>-9</v>
      </c>
    </row>
    <row r="482" spans="12:35" ht="15" x14ac:dyDescent="0.25">
      <c r="L482" s="204"/>
      <c r="M482" s="204"/>
      <c r="N482" s="204"/>
      <c r="T482" s="331" t="str">
        <f>IF(OR(Protokoll!$X$5&lt;&gt;"",Lokalbeskrivn!$M$4&lt;&gt;""),"",U482)</f>
        <v/>
      </c>
      <c r="U482" s="330" t="s">
        <v>1392</v>
      </c>
      <c r="Y482" s="397"/>
      <c r="Z482" s="397"/>
      <c r="AB482" s="479" t="str">
        <f>IF(COUNT(AB473:AB481)&gt;0,MAX(AB473:AB481)+1,"")</f>
        <v/>
      </c>
      <c r="AC482" s="433" t="str">
        <f>IF(AND(AH482&lt;&gt;"",AG482&lt;&gt;"",AI482&gt;0,AH482&gt;0),MAX(AC$2:AC481)+1,"XX")</f>
        <v>XX</v>
      </c>
      <c r="AD482" s="429" t="str">
        <f>IF('Antal &amp; Längder (vikter)'!$C$53&lt;&gt;"",'Antal &amp; Längder (vikter)'!$C$53,"XX")</f>
        <v>XX</v>
      </c>
      <c r="AE482" s="420" t="str">
        <f>IF(AND('Antal &amp; Längder (vikter)'!L$55&lt;&gt;"",ISNUMBER($AH482)),'Antal &amp; Längder (vikter)'!L$55,"")</f>
        <v/>
      </c>
      <c r="AF482" s="425" t="str">
        <f t="shared" si="16"/>
        <v/>
      </c>
      <c r="AG482" s="426" t="str">
        <f t="shared" si="17"/>
        <v/>
      </c>
      <c r="AH482" s="409" t="str">
        <f>IF('Antal &amp; Längder (vikter)'!M$56="Längd (mm)",IF('Antal &amp; Längder (vikter)'!M66&lt;&gt;"",'Antal &amp; Längder (vikter)'!M66,"XX"),"XX")</f>
        <v>XX</v>
      </c>
      <c r="AI482" s="158">
        <v>-9</v>
      </c>
    </row>
    <row r="483" spans="12:35" x14ac:dyDescent="0.25">
      <c r="L483" s="204"/>
      <c r="M483" s="204"/>
      <c r="N483" s="204"/>
      <c r="T483" s="331" t="str">
        <f>IF(OR(Protokoll!$X$5&lt;&gt;"",Lokalbeskrivn!$M$4&lt;&gt;""),"",U483)</f>
        <v/>
      </c>
      <c r="U483" s="330" t="s">
        <v>1394</v>
      </c>
      <c r="Y483" s="397"/>
      <c r="Z483" s="397"/>
      <c r="AB483" s="480" t="str">
        <f>IF(AND(ISNUMBER(AH483),AH483&gt;0),IF(MAX(AB$3:AB482)&gt;0,MAX(AB$3:AB482)+1,10+COUNTIF(F$38:F$49,"&gt;0")*10+1),"")</f>
        <v/>
      </c>
      <c r="AC483" s="433" t="str">
        <f>IF(AND(AH483&lt;&gt;"",AG483&lt;&gt;"",AI483&gt;0,AH483&gt;0),MAX(AC$2:AC482)+1,"XX")</f>
        <v>XX</v>
      </c>
      <c r="AD483" s="431" t="str">
        <f>IF('Antal &amp; Längder (vikter)'!$C$68&lt;&gt;"",'Antal &amp; Längder (vikter)'!$C$68,"XX")</f>
        <v>XX</v>
      </c>
      <c r="AE483" s="421" t="str">
        <f>IF(AND('Antal &amp; Längder (vikter)'!B$70&lt;&gt;"",ISNUMBER($AH483)),'Antal &amp; Längder (vikter)'!B$70,"")</f>
        <v/>
      </c>
      <c r="AF483" s="425" t="str">
        <f t="shared" si="16"/>
        <v/>
      </c>
      <c r="AG483" s="426" t="str">
        <f t="shared" si="17"/>
        <v/>
      </c>
      <c r="AH483" s="407" t="str">
        <f>IF('Antal &amp; Längder (vikter)'!B72&lt;&gt;"",'Antal &amp; Längder (vikter)'!B72,"XX")</f>
        <v>XX</v>
      </c>
      <c r="AI483" s="405">
        <f>IF('Antal &amp; Längder (vikter)'!C$71="Vikt (g)",IF('Antal &amp; Längder (vikter)'!C72&lt;&gt;"",'Antal &amp; Längder (vikter)'!C72,-9),-9)</f>
        <v>-9</v>
      </c>
    </row>
    <row r="484" spans="12:35" x14ac:dyDescent="0.25">
      <c r="L484" s="204"/>
      <c r="M484" s="204"/>
      <c r="N484" s="204"/>
      <c r="T484" s="331" t="str">
        <f>IF(OR(Protokoll!$X$5&lt;&gt;"",Lokalbeskrivn!$M$4&lt;&gt;""),"",U484)</f>
        <v/>
      </c>
      <c r="U484" s="330" t="s">
        <v>1396</v>
      </c>
      <c r="Y484" s="397"/>
      <c r="Z484" s="397"/>
      <c r="AB484" s="476" t="str">
        <f>IF(COUNT(AB483:AB483)&gt;0,MAX(AB483:AB483)+1,"")</f>
        <v/>
      </c>
      <c r="AC484" s="433" t="str">
        <f>IF(AND(AH484&lt;&gt;"",AG484&lt;&gt;"",AI484&gt;0,AH484&gt;0),MAX(AC$2:AC483)+1,"XX")</f>
        <v>XX</v>
      </c>
      <c r="AD484" s="431" t="str">
        <f>IF('Antal &amp; Längder (vikter)'!$C$68&lt;&gt;"",'Antal &amp; Längder (vikter)'!$C$68,"XX")</f>
        <v>XX</v>
      </c>
      <c r="AE484" s="421" t="str">
        <f>IF(AND('Antal &amp; Längder (vikter)'!B$70&lt;&gt;"",ISNUMBER($AH484)),'Antal &amp; Längder (vikter)'!B$70,"")</f>
        <v/>
      </c>
      <c r="AF484" s="425" t="str">
        <f t="shared" si="16"/>
        <v/>
      </c>
      <c r="AG484" s="426" t="str">
        <f t="shared" si="17"/>
        <v/>
      </c>
      <c r="AH484" s="407" t="str">
        <f>IF('Antal &amp; Längder (vikter)'!B73&lt;&gt;"",'Antal &amp; Längder (vikter)'!B73,"XX")</f>
        <v>XX</v>
      </c>
      <c r="AI484" s="405">
        <f>IF('Antal &amp; Längder (vikter)'!C$71="Vikt (g)",IF('Antal &amp; Längder (vikter)'!C73&lt;&gt;"",'Antal &amp; Längder (vikter)'!C73,-9),-9)</f>
        <v>-9</v>
      </c>
    </row>
    <row r="485" spans="12:35" x14ac:dyDescent="0.25">
      <c r="L485" s="204"/>
      <c r="M485" s="204"/>
      <c r="N485" s="204"/>
      <c r="T485" s="331" t="str">
        <f>IF(OR(Protokoll!$X$5&lt;&gt;"",Lokalbeskrivn!$M$4&lt;&gt;""),"",U485)</f>
        <v/>
      </c>
      <c r="U485" s="330" t="s">
        <v>1398</v>
      </c>
      <c r="Y485" s="397"/>
      <c r="Z485" s="397"/>
      <c r="AB485" s="477" t="str">
        <f>IF(COUNT(AB483:AB484)&gt;0,MAX(AB483:AB484)+1,"")</f>
        <v/>
      </c>
      <c r="AC485" s="433" t="str">
        <f>IF(AND(AH485&lt;&gt;"",AG485&lt;&gt;"",AI485&gt;0,AH485&gt;0),MAX(AC$2:AC484)+1,"XX")</f>
        <v>XX</v>
      </c>
      <c r="AD485" s="431" t="str">
        <f>IF('Antal &amp; Längder (vikter)'!$C$68&lt;&gt;"",'Antal &amp; Längder (vikter)'!$C$68,"XX")</f>
        <v>XX</v>
      </c>
      <c r="AE485" s="421" t="str">
        <f>IF(AND('Antal &amp; Längder (vikter)'!B$70&lt;&gt;"",ISNUMBER($AH485)),'Antal &amp; Längder (vikter)'!B$70,"")</f>
        <v/>
      </c>
      <c r="AF485" s="425" t="str">
        <f t="shared" si="16"/>
        <v/>
      </c>
      <c r="AG485" s="426" t="str">
        <f t="shared" si="17"/>
        <v/>
      </c>
      <c r="AH485" s="407" t="str">
        <f>IF('Antal &amp; Längder (vikter)'!B74&lt;&gt;"",'Antal &amp; Längder (vikter)'!B74,"XX")</f>
        <v>XX</v>
      </c>
      <c r="AI485" s="405">
        <f>IF('Antal &amp; Längder (vikter)'!C$71="Vikt (g)",IF('Antal &amp; Längder (vikter)'!C74&lt;&gt;"",'Antal &amp; Längder (vikter)'!C74,-9),-9)</f>
        <v>-9</v>
      </c>
    </row>
    <row r="486" spans="12:35" x14ac:dyDescent="0.25">
      <c r="L486" s="204"/>
      <c r="M486" s="204"/>
      <c r="N486" s="204"/>
      <c r="T486" s="331" t="str">
        <f>IF(OR(Protokoll!$X$5&lt;&gt;"",Lokalbeskrivn!$M$4&lt;&gt;""),"",U486)</f>
        <v/>
      </c>
      <c r="U486" s="330" t="s">
        <v>1400</v>
      </c>
      <c r="Y486" s="397"/>
      <c r="Z486" s="397"/>
      <c r="AB486" s="434" t="str">
        <f>IF(COUNT(AB483:AB485)&gt;0,MAX(AB483:AB485)+1,"")</f>
        <v/>
      </c>
      <c r="AC486" s="433" t="str">
        <f>IF(AND(AH486&lt;&gt;"",AG486&lt;&gt;"",AI486&gt;0,AH486&gt;0),MAX(AC$2:AC485)+1,"XX")</f>
        <v>XX</v>
      </c>
      <c r="AD486" s="431" t="str">
        <f>IF('Antal &amp; Längder (vikter)'!$C$68&lt;&gt;"",'Antal &amp; Längder (vikter)'!$C$68,"XX")</f>
        <v>XX</v>
      </c>
      <c r="AE486" s="421" t="str">
        <f>IF(AND('Antal &amp; Längder (vikter)'!B$70&lt;&gt;"",ISNUMBER($AH486)),'Antal &amp; Längder (vikter)'!B$70,"")</f>
        <v/>
      </c>
      <c r="AF486" s="425" t="str">
        <f t="shared" si="16"/>
        <v/>
      </c>
      <c r="AG486" s="426" t="str">
        <f t="shared" si="17"/>
        <v/>
      </c>
      <c r="AH486" s="407" t="str">
        <f>IF('Antal &amp; Längder (vikter)'!B75&lt;&gt;"",'Antal &amp; Längder (vikter)'!B75,"XX")</f>
        <v>XX</v>
      </c>
      <c r="AI486" s="405">
        <f>IF('Antal &amp; Längder (vikter)'!C$71="Vikt (g)",IF('Antal &amp; Längder (vikter)'!C75&lt;&gt;"",'Antal &amp; Längder (vikter)'!C75,-9),-9)</f>
        <v>-9</v>
      </c>
    </row>
    <row r="487" spans="12:35" x14ac:dyDescent="0.25">
      <c r="L487" s="204"/>
      <c r="M487" s="204"/>
      <c r="N487" s="204"/>
      <c r="T487" s="331" t="str">
        <f>IF(OR(Protokoll!$X$5&lt;&gt;"",Lokalbeskrivn!$M$4&lt;&gt;""),"",U487)</f>
        <v/>
      </c>
      <c r="U487" s="330" t="s">
        <v>1402</v>
      </c>
      <c r="Y487" s="397"/>
      <c r="Z487" s="397"/>
      <c r="AB487" s="475" t="str">
        <f>IF(COUNT(AB483:AB486)&gt;0,MAX(AB483:AB486)+1,"")</f>
        <v/>
      </c>
      <c r="AC487" s="433" t="str">
        <f>IF(AND(AH487&lt;&gt;"",AG487&lt;&gt;"",AI487&gt;0,AH487&gt;0),MAX(AC$2:AC486)+1,"XX")</f>
        <v>XX</v>
      </c>
      <c r="AD487" s="431" t="str">
        <f>IF('Antal &amp; Längder (vikter)'!$C$68&lt;&gt;"",'Antal &amp; Längder (vikter)'!$C$68,"XX")</f>
        <v>XX</v>
      </c>
      <c r="AE487" s="421" t="str">
        <f>IF(AND('Antal &amp; Längder (vikter)'!B$70&lt;&gt;"",ISNUMBER($AH487)),'Antal &amp; Längder (vikter)'!B$70,"")</f>
        <v/>
      </c>
      <c r="AF487" s="425" t="str">
        <f t="shared" si="16"/>
        <v/>
      </c>
      <c r="AG487" s="426" t="str">
        <f t="shared" si="17"/>
        <v/>
      </c>
      <c r="AH487" s="407" t="str">
        <f>IF('Antal &amp; Längder (vikter)'!B76&lt;&gt;"",'Antal &amp; Längder (vikter)'!B76,"XX")</f>
        <v>XX</v>
      </c>
      <c r="AI487" s="405">
        <f>IF('Antal &amp; Längder (vikter)'!C$71="Vikt (g)",IF('Antal &amp; Längder (vikter)'!C76&lt;&gt;"",'Antal &amp; Längder (vikter)'!C76,-9),-9)</f>
        <v>-9</v>
      </c>
    </row>
    <row r="488" spans="12:35" x14ac:dyDescent="0.25">
      <c r="L488" s="204"/>
      <c r="M488" s="204"/>
      <c r="N488" s="204"/>
      <c r="T488" s="331" t="str">
        <f>IF(OR(Protokoll!$X$5&lt;&gt;"",Lokalbeskrivn!$M$4&lt;&gt;""),"",U488)</f>
        <v/>
      </c>
      <c r="U488" s="330" t="s">
        <v>1404</v>
      </c>
      <c r="Y488" s="397"/>
      <c r="Z488" s="397"/>
      <c r="AB488" s="471" t="str">
        <f>IF(COUNT(AB483:AB487)&gt;0,MAX(AB483:AB487)+1,"")</f>
        <v/>
      </c>
      <c r="AC488" s="433" t="str">
        <f>IF(AND(AH488&lt;&gt;"",AG488&lt;&gt;"",AI488&gt;0,AH488&gt;0),MAX(AC$2:AC487)+1,"XX")</f>
        <v>XX</v>
      </c>
      <c r="AD488" s="431" t="str">
        <f>IF('Antal &amp; Längder (vikter)'!$C$68&lt;&gt;"",'Antal &amp; Längder (vikter)'!$C$68,"XX")</f>
        <v>XX</v>
      </c>
      <c r="AE488" s="421" t="str">
        <f>IF(AND('Antal &amp; Längder (vikter)'!B$70&lt;&gt;"",ISNUMBER($AH488)),'Antal &amp; Längder (vikter)'!B$70,"")</f>
        <v/>
      </c>
      <c r="AF488" s="425" t="str">
        <f t="shared" si="16"/>
        <v/>
      </c>
      <c r="AG488" s="426" t="str">
        <f t="shared" si="17"/>
        <v/>
      </c>
      <c r="AH488" s="407" t="str">
        <f>IF('Antal &amp; Längder (vikter)'!B77&lt;&gt;"",'Antal &amp; Längder (vikter)'!B77,"XX")</f>
        <v>XX</v>
      </c>
      <c r="AI488" s="405">
        <f>IF('Antal &amp; Längder (vikter)'!C$71="Vikt (g)",IF('Antal &amp; Längder (vikter)'!C77&lt;&gt;"",'Antal &amp; Längder (vikter)'!C77,-9),-9)</f>
        <v>-9</v>
      </c>
    </row>
    <row r="489" spans="12:35" x14ac:dyDescent="0.25">
      <c r="L489" s="204"/>
      <c r="M489" s="204"/>
      <c r="N489" s="204"/>
      <c r="T489" s="331" t="str">
        <f>IF(OR(Protokoll!$X$5&lt;&gt;"",Lokalbeskrivn!$M$4&lt;&gt;""),"",U489)</f>
        <v/>
      </c>
      <c r="U489" s="330" t="s">
        <v>1406</v>
      </c>
      <c r="Y489" s="397"/>
      <c r="Z489" s="397"/>
      <c r="AB489" s="474" t="str">
        <f>IF(COUNT(AB483:AB488)&gt;0,MAX(AB483:AB488)+1,"")</f>
        <v/>
      </c>
      <c r="AC489" s="433" t="str">
        <f>IF(AND(AH489&lt;&gt;"",AG489&lt;&gt;"",AI489&gt;0,AH489&gt;0),MAX(AC$2:AC488)+1,"XX")</f>
        <v>XX</v>
      </c>
      <c r="AD489" s="431" t="str">
        <f>IF('Antal &amp; Längder (vikter)'!$C$68&lt;&gt;"",'Antal &amp; Längder (vikter)'!$C$68,"XX")</f>
        <v>XX</v>
      </c>
      <c r="AE489" s="421" t="str">
        <f>IF(AND('Antal &amp; Längder (vikter)'!B$70&lt;&gt;"",ISNUMBER($AH489)),'Antal &amp; Längder (vikter)'!B$70,"")</f>
        <v/>
      </c>
      <c r="AF489" s="425" t="str">
        <f t="shared" si="16"/>
        <v/>
      </c>
      <c r="AG489" s="426" t="str">
        <f t="shared" si="17"/>
        <v/>
      </c>
      <c r="AH489" s="407" t="str">
        <f>IF('Antal &amp; Längder (vikter)'!B78&lt;&gt;"",'Antal &amp; Längder (vikter)'!B78,"XX")</f>
        <v>XX</v>
      </c>
      <c r="AI489" s="405">
        <f>IF('Antal &amp; Längder (vikter)'!C$71="Vikt (g)",IF('Antal &amp; Längder (vikter)'!C78&lt;&gt;"",'Antal &amp; Längder (vikter)'!C78,-9),-9)</f>
        <v>-9</v>
      </c>
    </row>
    <row r="490" spans="12:35" x14ac:dyDescent="0.25">
      <c r="L490" s="204"/>
      <c r="M490" s="204"/>
      <c r="N490" s="204"/>
      <c r="T490" s="331" t="str">
        <f>IF(OR(Protokoll!$X$5&lt;&gt;"",Lokalbeskrivn!$M$4&lt;&gt;""),"",U490)</f>
        <v/>
      </c>
      <c r="U490" s="330" t="s">
        <v>1408</v>
      </c>
      <c r="Y490" s="397"/>
      <c r="Z490" s="397"/>
      <c r="AB490" s="478" t="str">
        <f>IF(COUNT(AB483:AB489)&gt;0,MAX(AB483:AB489)+1,"")</f>
        <v/>
      </c>
      <c r="AC490" s="433" t="str">
        <f>IF(AND(AH490&lt;&gt;"",AG490&lt;&gt;"",AI490&gt;0,AH490&gt;0),MAX(AC$2:AC489)+1,"XX")</f>
        <v>XX</v>
      </c>
      <c r="AD490" s="431" t="str">
        <f>IF('Antal &amp; Längder (vikter)'!$C$68&lt;&gt;"",'Antal &amp; Längder (vikter)'!$C$68,"XX")</f>
        <v>XX</v>
      </c>
      <c r="AE490" s="421" t="str">
        <f>IF(AND('Antal &amp; Längder (vikter)'!B$70&lt;&gt;"",ISNUMBER($AH490)),'Antal &amp; Längder (vikter)'!B$70,"")</f>
        <v/>
      </c>
      <c r="AF490" s="425" t="str">
        <f t="shared" si="16"/>
        <v/>
      </c>
      <c r="AG490" s="426" t="str">
        <f t="shared" si="17"/>
        <v/>
      </c>
      <c r="AH490" s="407" t="str">
        <f>IF('Antal &amp; Längder (vikter)'!B79&lt;&gt;"",'Antal &amp; Längder (vikter)'!B79,"XX")</f>
        <v>XX</v>
      </c>
      <c r="AI490" s="405">
        <f>IF('Antal &amp; Längder (vikter)'!C$71="Vikt (g)",IF('Antal &amp; Längder (vikter)'!C79&lt;&gt;"",'Antal &amp; Längder (vikter)'!C79,-9),-9)</f>
        <v>-9</v>
      </c>
    </row>
    <row r="491" spans="12:35" x14ac:dyDescent="0.25">
      <c r="L491" s="204"/>
      <c r="M491" s="204"/>
      <c r="N491" s="204"/>
      <c r="T491" s="331" t="str">
        <f>IF(OR(Protokoll!$X$5&lt;&gt;"",Lokalbeskrivn!$M$4&lt;&gt;""),"",U491)</f>
        <v/>
      </c>
      <c r="U491" s="330" t="s">
        <v>1410</v>
      </c>
      <c r="Y491" s="397"/>
      <c r="Z491" s="397"/>
      <c r="AB491" s="472" t="str">
        <f>IF(COUNT(AB483:AB490)&gt;0,MAX(AB483:AB490)+1,"")</f>
        <v/>
      </c>
      <c r="AC491" s="433" t="str">
        <f>IF(AND(AH491&lt;&gt;"",AG491&lt;&gt;"",AI491&gt;0,AH491&gt;0),MAX(AC$2:AC490)+1,"XX")</f>
        <v>XX</v>
      </c>
      <c r="AD491" s="431" t="str">
        <f>IF('Antal &amp; Längder (vikter)'!$C$68&lt;&gt;"",'Antal &amp; Längder (vikter)'!$C$68,"XX")</f>
        <v>XX</v>
      </c>
      <c r="AE491" s="421" t="str">
        <f>IF(AND('Antal &amp; Längder (vikter)'!B$70&lt;&gt;"",ISNUMBER($AH491)),'Antal &amp; Längder (vikter)'!B$70,"")</f>
        <v/>
      </c>
      <c r="AF491" s="425" t="str">
        <f t="shared" si="16"/>
        <v/>
      </c>
      <c r="AG491" s="426" t="str">
        <f t="shared" si="17"/>
        <v/>
      </c>
      <c r="AH491" s="407" t="str">
        <f>IF('Antal &amp; Längder (vikter)'!B80&lt;&gt;"",'Antal &amp; Längder (vikter)'!B80,"XX")</f>
        <v>XX</v>
      </c>
      <c r="AI491" s="405">
        <f>IF('Antal &amp; Längder (vikter)'!C$71="Vikt (g)",IF('Antal &amp; Längder (vikter)'!C80&lt;&gt;"",'Antal &amp; Längder (vikter)'!C80,-9),-9)</f>
        <v>-9</v>
      </c>
    </row>
    <row r="492" spans="12:35" x14ac:dyDescent="0.25">
      <c r="L492" s="204"/>
      <c r="M492" s="204"/>
      <c r="N492" s="204"/>
      <c r="T492" s="331" t="str">
        <f>IF(OR(Protokoll!$X$5&lt;&gt;"",Lokalbeskrivn!$M$4&lt;&gt;""),"",U492)</f>
        <v/>
      </c>
      <c r="U492" s="330" t="s">
        <v>1412</v>
      </c>
      <c r="Y492" s="397"/>
      <c r="Z492" s="397"/>
      <c r="AB492" s="479" t="str">
        <f>IF(COUNT(AB483:AB491)&gt;0,MAX(AB483:AB491)+1,"")</f>
        <v/>
      </c>
      <c r="AC492" s="433" t="str">
        <f>IF(AND(AH492&lt;&gt;"",AG492&lt;&gt;"",AI492&gt;0,AH492&gt;0),MAX(AC$2:AC491)+1,"XX")</f>
        <v>XX</v>
      </c>
      <c r="AD492" s="431" t="str">
        <f>IF('Antal &amp; Längder (vikter)'!$C$68&lt;&gt;"",'Antal &amp; Längder (vikter)'!$C$68,"XX")</f>
        <v>XX</v>
      </c>
      <c r="AE492" s="421" t="str">
        <f>IF(AND('Antal &amp; Längder (vikter)'!B$70&lt;&gt;"",ISNUMBER($AH492)),'Antal &amp; Längder (vikter)'!B$70,"")</f>
        <v/>
      </c>
      <c r="AF492" s="425" t="str">
        <f t="shared" si="16"/>
        <v/>
      </c>
      <c r="AG492" s="426" t="str">
        <f t="shared" si="17"/>
        <v/>
      </c>
      <c r="AH492" s="407" t="str">
        <f>IF('Antal &amp; Längder (vikter)'!B81&lt;&gt;"",'Antal &amp; Längder (vikter)'!B81,"XX")</f>
        <v>XX</v>
      </c>
      <c r="AI492" s="405">
        <f>IF('Antal &amp; Längder (vikter)'!C$71="Vikt (g)",IF('Antal &amp; Längder (vikter)'!C81&lt;&gt;"",'Antal &amp; Längder (vikter)'!C81,-9),-9)</f>
        <v>-9</v>
      </c>
    </row>
    <row r="493" spans="12:35" ht="15" x14ac:dyDescent="0.25">
      <c r="L493" s="204"/>
      <c r="M493" s="204"/>
      <c r="N493" s="204"/>
      <c r="T493" s="331" t="str">
        <f>IF(OR(Protokoll!$X$5&lt;&gt;"",Lokalbeskrivn!$M$4&lt;&gt;""),"",U493)</f>
        <v/>
      </c>
      <c r="U493" s="330" t="s">
        <v>1414</v>
      </c>
      <c r="Y493" s="397"/>
      <c r="Z493" s="397"/>
      <c r="AB493" s="480" t="str">
        <f>IF(AND(ISNUMBER(AH493),AH493&gt;0),IF(MAX(AB$3:AB492)&gt;0,MAX(AB$3:AB492)+1,10+COUNTIF(F$38:F$49,"&gt;0")*10+1),"")</f>
        <v/>
      </c>
      <c r="AC493" s="433" t="str">
        <f>IF(AND(AH493&lt;&gt;"",AG493&lt;&gt;"",AI493&gt;0,AH493&gt;0),MAX(AC$2:AC492)+1,"XX")</f>
        <v>XX</v>
      </c>
      <c r="AD493" s="431" t="str">
        <f>IF('Antal &amp; Längder (vikter)'!$C$68&lt;&gt;"",'Antal &amp; Längder (vikter)'!$C$68,"XX")</f>
        <v>XX</v>
      </c>
      <c r="AE493" s="421" t="str">
        <f>IF(AND('Antal &amp; Längder (vikter)'!B$70&lt;&gt;"",ISNUMBER($AH493)),'Antal &amp; Längder (vikter)'!B$70,"")</f>
        <v/>
      </c>
      <c r="AF493" s="425" t="str">
        <f t="shared" si="16"/>
        <v/>
      </c>
      <c r="AG493" s="426" t="str">
        <f t="shared" si="17"/>
        <v/>
      </c>
      <c r="AH493" s="409" t="str">
        <f>IF('Antal &amp; Längder (vikter)'!C$71="Längd (mm)",IF('Antal &amp; Längder (vikter)'!C72&lt;&gt;"",'Antal &amp; Längder (vikter)'!C72,"XX"),"XX")</f>
        <v>XX</v>
      </c>
      <c r="AI493" s="158">
        <v>-9</v>
      </c>
    </row>
    <row r="494" spans="12:35" ht="15" x14ac:dyDescent="0.25">
      <c r="L494" s="204"/>
      <c r="M494" s="204"/>
      <c r="N494" s="204"/>
      <c r="T494" s="331" t="str">
        <f>IF(OR(Protokoll!$X$5&lt;&gt;"",Lokalbeskrivn!$M$4&lt;&gt;""),"",U494)</f>
        <v/>
      </c>
      <c r="U494" s="351" t="s">
        <v>1472</v>
      </c>
      <c r="Y494" s="397"/>
      <c r="Z494" s="397"/>
      <c r="AB494" s="476" t="str">
        <f>IF(COUNT(AB493:AB493)&gt;0,MAX(AB493:AB493)+1,"")</f>
        <v/>
      </c>
      <c r="AC494" s="433" t="str">
        <f>IF(AND(AH494&lt;&gt;"",AG494&lt;&gt;"",AI494&gt;0,AH494&gt;0),MAX(AC$2:AC493)+1,"XX")</f>
        <v>XX</v>
      </c>
      <c r="AD494" s="431" t="str">
        <f>IF('Antal &amp; Längder (vikter)'!$C$68&lt;&gt;"",'Antal &amp; Längder (vikter)'!$C$68,"XX")</f>
        <v>XX</v>
      </c>
      <c r="AE494" s="421" t="str">
        <f>IF(AND('Antal &amp; Längder (vikter)'!B$70&lt;&gt;"",ISNUMBER($AH494)),'Antal &amp; Längder (vikter)'!B$70,"")</f>
        <v/>
      </c>
      <c r="AF494" s="425" t="str">
        <f t="shared" si="16"/>
        <v/>
      </c>
      <c r="AG494" s="426" t="str">
        <f t="shared" si="17"/>
        <v/>
      </c>
      <c r="AH494" s="409" t="str">
        <f>IF('Antal &amp; Längder (vikter)'!C$71="Längd (mm)",IF('Antal &amp; Längder (vikter)'!C73&lt;&gt;"",'Antal &amp; Längder (vikter)'!C73,"XX"),"XX")</f>
        <v>XX</v>
      </c>
      <c r="AI494" s="158">
        <v>-9</v>
      </c>
    </row>
    <row r="495" spans="12:35" ht="15" x14ac:dyDescent="0.25">
      <c r="L495" s="204"/>
      <c r="M495" s="204"/>
      <c r="N495" s="204"/>
      <c r="T495" s="331" t="str">
        <f>IF(OR(Protokoll!$X$5&lt;&gt;"",Lokalbeskrivn!$M$4&lt;&gt;""),"",U495)</f>
        <v/>
      </c>
      <c r="U495" s="351" t="s">
        <v>1417</v>
      </c>
      <c r="Y495" s="397"/>
      <c r="Z495" s="397"/>
      <c r="AB495" s="477" t="str">
        <f>IF(COUNT(AB493:AB494)&gt;0,MAX(AB493:AB494)+1,"")</f>
        <v/>
      </c>
      <c r="AC495" s="433" t="str">
        <f>IF(AND(AH495&lt;&gt;"",AG495&lt;&gt;"",AI495&gt;0,AH495&gt;0),MAX(AC$2:AC494)+1,"XX")</f>
        <v>XX</v>
      </c>
      <c r="AD495" s="431" t="str">
        <f>IF('Antal &amp; Längder (vikter)'!$C$68&lt;&gt;"",'Antal &amp; Längder (vikter)'!$C$68,"XX")</f>
        <v>XX</v>
      </c>
      <c r="AE495" s="421" t="str">
        <f>IF(AND('Antal &amp; Längder (vikter)'!B$70&lt;&gt;"",ISNUMBER($AH495)),'Antal &amp; Längder (vikter)'!B$70,"")</f>
        <v/>
      </c>
      <c r="AF495" s="425" t="str">
        <f t="shared" si="16"/>
        <v/>
      </c>
      <c r="AG495" s="426" t="str">
        <f t="shared" si="17"/>
        <v/>
      </c>
      <c r="AH495" s="409" t="str">
        <f>IF('Antal &amp; Längder (vikter)'!C$71="Längd (mm)",IF('Antal &amp; Längder (vikter)'!C74&lt;&gt;"",'Antal &amp; Längder (vikter)'!C74,"XX"),"XX")</f>
        <v>XX</v>
      </c>
      <c r="AI495" s="158">
        <v>-9</v>
      </c>
    </row>
    <row r="496" spans="12:35" ht="15" x14ac:dyDescent="0.25">
      <c r="L496" s="204"/>
      <c r="M496" s="204"/>
      <c r="N496" s="204"/>
      <c r="T496" s="331" t="str">
        <f>IF(OR(Protokoll!$X$5&lt;&gt;"",Lokalbeskrivn!$M$4&lt;&gt;""),"",U496)</f>
        <v/>
      </c>
      <c r="U496" s="351" t="s">
        <v>1473</v>
      </c>
      <c r="Y496" s="397"/>
      <c r="Z496" s="397"/>
      <c r="AB496" s="434" t="str">
        <f>IF(COUNT(AB493:AB495)&gt;0,MAX(AB493:AB495)+1,"")</f>
        <v/>
      </c>
      <c r="AC496" s="433" t="str">
        <f>IF(AND(AH496&lt;&gt;"",AG496&lt;&gt;"",AI496&gt;0,AH496&gt;0),MAX(AC$2:AC495)+1,"XX")</f>
        <v>XX</v>
      </c>
      <c r="AD496" s="431" t="str">
        <f>IF('Antal &amp; Längder (vikter)'!$C$68&lt;&gt;"",'Antal &amp; Längder (vikter)'!$C$68,"XX")</f>
        <v>XX</v>
      </c>
      <c r="AE496" s="421" t="str">
        <f>IF(AND('Antal &amp; Längder (vikter)'!B$70&lt;&gt;"",ISNUMBER($AH496)),'Antal &amp; Längder (vikter)'!B$70,"")</f>
        <v/>
      </c>
      <c r="AF496" s="425" t="str">
        <f t="shared" si="16"/>
        <v/>
      </c>
      <c r="AG496" s="426" t="str">
        <f t="shared" si="17"/>
        <v/>
      </c>
      <c r="AH496" s="409" t="str">
        <f>IF('Antal &amp; Längder (vikter)'!C$71="Längd (mm)",IF('Antal &amp; Längder (vikter)'!C75&lt;&gt;"",'Antal &amp; Längder (vikter)'!C75,"XX"),"XX")</f>
        <v>XX</v>
      </c>
      <c r="AI496" s="158">
        <v>-9</v>
      </c>
    </row>
    <row r="497" spans="12:35" ht="15" x14ac:dyDescent="0.25">
      <c r="L497" s="204"/>
      <c r="M497" s="204"/>
      <c r="N497" s="204"/>
      <c r="T497" s="331" t="str">
        <f>IF(OR(Protokoll!$X$5&lt;&gt;"",Lokalbeskrivn!$M$4&lt;&gt;""),"",U497)</f>
        <v/>
      </c>
      <c r="U497" s="351" t="s">
        <v>1420</v>
      </c>
      <c r="Y497" s="397"/>
      <c r="Z497" s="397"/>
      <c r="AB497" s="475" t="str">
        <f>IF(COUNT(AB493:AB496)&gt;0,MAX(AB493:AB496)+1,"")</f>
        <v/>
      </c>
      <c r="AC497" s="433" t="str">
        <f>IF(AND(AH497&lt;&gt;"",AG497&lt;&gt;"",AI497&gt;0,AH497&gt;0),MAX(AC$2:AC496)+1,"XX")</f>
        <v>XX</v>
      </c>
      <c r="AD497" s="431" t="str">
        <f>IF('Antal &amp; Längder (vikter)'!$C$68&lt;&gt;"",'Antal &amp; Längder (vikter)'!$C$68,"XX")</f>
        <v>XX</v>
      </c>
      <c r="AE497" s="421" t="str">
        <f>IF(AND('Antal &amp; Längder (vikter)'!B$70&lt;&gt;"",ISNUMBER($AH497)),'Antal &amp; Längder (vikter)'!B$70,"")</f>
        <v/>
      </c>
      <c r="AF497" s="425" t="str">
        <f t="shared" si="16"/>
        <v/>
      </c>
      <c r="AG497" s="426" t="str">
        <f t="shared" si="17"/>
        <v/>
      </c>
      <c r="AH497" s="409" t="str">
        <f>IF('Antal &amp; Längder (vikter)'!C$71="Längd (mm)",IF('Antal &amp; Längder (vikter)'!C76&lt;&gt;"",'Antal &amp; Längder (vikter)'!C76,"XX"),"XX")</f>
        <v>XX</v>
      </c>
      <c r="AI497" s="158">
        <v>-9</v>
      </c>
    </row>
    <row r="498" spans="12:35" ht="15" x14ac:dyDescent="0.25">
      <c r="L498" s="204"/>
      <c r="M498" s="204"/>
      <c r="N498" s="204"/>
      <c r="T498" s="331" t="str">
        <f>IF(OR(Protokoll!$X$5&lt;&gt;"",Lokalbeskrivn!$M$4&lt;&gt;""),"",U498)</f>
        <v/>
      </c>
      <c r="U498" s="351" t="s">
        <v>1474</v>
      </c>
      <c r="Y498" s="397"/>
      <c r="Z498" s="397"/>
      <c r="AB498" s="471" t="str">
        <f>IF(COUNT(AB493:AB497)&gt;0,MAX(AB493:AB497)+1,"")</f>
        <v/>
      </c>
      <c r="AC498" s="433" t="str">
        <f>IF(AND(AH498&lt;&gt;"",AG498&lt;&gt;"",AI498&gt;0,AH498&gt;0),MAX(AC$2:AC497)+1,"XX")</f>
        <v>XX</v>
      </c>
      <c r="AD498" s="431" t="str">
        <f>IF('Antal &amp; Längder (vikter)'!$C$68&lt;&gt;"",'Antal &amp; Längder (vikter)'!$C$68,"XX")</f>
        <v>XX</v>
      </c>
      <c r="AE498" s="421" t="str">
        <f>IF(AND('Antal &amp; Längder (vikter)'!B$70&lt;&gt;"",ISNUMBER($AH498)),'Antal &amp; Längder (vikter)'!B$70,"")</f>
        <v/>
      </c>
      <c r="AF498" s="425" t="str">
        <f t="shared" si="16"/>
        <v/>
      </c>
      <c r="AG498" s="426" t="str">
        <f t="shared" si="17"/>
        <v/>
      </c>
      <c r="AH498" s="409" t="str">
        <f>IF('Antal &amp; Längder (vikter)'!C$71="Längd (mm)",IF('Antal &amp; Längder (vikter)'!C77&lt;&gt;"",'Antal &amp; Längder (vikter)'!C77,"XX"),"XX")</f>
        <v>XX</v>
      </c>
      <c r="AI498" s="158">
        <v>-9</v>
      </c>
    </row>
    <row r="499" spans="12:35" ht="15" x14ac:dyDescent="0.25">
      <c r="L499" s="204"/>
      <c r="M499" s="204"/>
      <c r="N499" s="204"/>
      <c r="T499" s="331" t="str">
        <f>IF(OR(Protokoll!$X$5&lt;&gt;"",Lokalbeskrivn!$M$4&lt;&gt;""),"",U499)</f>
        <v/>
      </c>
      <c r="U499" s="351" t="s">
        <v>1423</v>
      </c>
      <c r="Y499" s="397"/>
      <c r="Z499" s="397"/>
      <c r="AB499" s="474" t="str">
        <f>IF(COUNT(AB493:AB498)&gt;0,MAX(AB493:AB498)+1,"")</f>
        <v/>
      </c>
      <c r="AC499" s="433" t="str">
        <f>IF(AND(AH499&lt;&gt;"",AG499&lt;&gt;"",AI499&gt;0,AH499&gt;0),MAX(AC$2:AC498)+1,"XX")</f>
        <v>XX</v>
      </c>
      <c r="AD499" s="431" t="str">
        <f>IF('Antal &amp; Längder (vikter)'!$C$68&lt;&gt;"",'Antal &amp; Längder (vikter)'!$C$68,"XX")</f>
        <v>XX</v>
      </c>
      <c r="AE499" s="421" t="str">
        <f>IF(AND('Antal &amp; Längder (vikter)'!B$70&lt;&gt;"",ISNUMBER($AH499)),'Antal &amp; Längder (vikter)'!B$70,"")</f>
        <v/>
      </c>
      <c r="AF499" s="425" t="str">
        <f t="shared" si="16"/>
        <v/>
      </c>
      <c r="AG499" s="426" t="str">
        <f t="shared" si="17"/>
        <v/>
      </c>
      <c r="AH499" s="409" t="str">
        <f>IF('Antal &amp; Längder (vikter)'!C$71="Längd (mm)",IF('Antal &amp; Längder (vikter)'!C78&lt;&gt;"",'Antal &amp; Längder (vikter)'!C78,"XX"),"XX")</f>
        <v>XX</v>
      </c>
      <c r="AI499" s="158">
        <v>-9</v>
      </c>
    </row>
    <row r="500" spans="12:35" ht="15" x14ac:dyDescent="0.25">
      <c r="L500" s="204"/>
      <c r="M500" s="204"/>
      <c r="N500" s="204"/>
      <c r="T500" s="331" t="str">
        <f>IF(OR(Protokoll!$X$5&lt;&gt;"",Lokalbeskrivn!$M$4&lt;&gt;""),"",U500)</f>
        <v/>
      </c>
      <c r="U500" s="351" t="s">
        <v>1475</v>
      </c>
      <c r="Y500" s="397"/>
      <c r="Z500" s="397"/>
      <c r="AB500" s="478" t="str">
        <f>IF(COUNT(AB493:AB499)&gt;0,MAX(AB493:AB499)+1,"")</f>
        <v/>
      </c>
      <c r="AC500" s="433" t="str">
        <f>IF(AND(AH500&lt;&gt;"",AG500&lt;&gt;"",AI500&gt;0,AH500&gt;0),MAX(AC$2:AC499)+1,"XX")</f>
        <v>XX</v>
      </c>
      <c r="AD500" s="431" t="str">
        <f>IF('Antal &amp; Längder (vikter)'!$C$68&lt;&gt;"",'Antal &amp; Längder (vikter)'!$C$68,"XX")</f>
        <v>XX</v>
      </c>
      <c r="AE500" s="421" t="str">
        <f>IF(AND('Antal &amp; Längder (vikter)'!B$70&lt;&gt;"",ISNUMBER($AH500)),'Antal &amp; Längder (vikter)'!B$70,"")</f>
        <v/>
      </c>
      <c r="AF500" s="425" t="str">
        <f t="shared" si="16"/>
        <v/>
      </c>
      <c r="AG500" s="426" t="str">
        <f t="shared" si="17"/>
        <v/>
      </c>
      <c r="AH500" s="409" t="str">
        <f>IF('Antal &amp; Längder (vikter)'!C$71="Längd (mm)",IF('Antal &amp; Längder (vikter)'!C79&lt;&gt;"",'Antal &amp; Längder (vikter)'!C79,"XX"),"XX")</f>
        <v>XX</v>
      </c>
      <c r="AI500" s="158">
        <v>-9</v>
      </c>
    </row>
    <row r="501" spans="12:35" ht="15" x14ac:dyDescent="0.25">
      <c r="T501" s="331" t="str">
        <f>IF(OR(Protokoll!$X$5&lt;&gt;"",Lokalbeskrivn!$M$4&lt;&gt;""),"",U501)</f>
        <v/>
      </c>
      <c r="U501" s="351" t="s">
        <v>1426</v>
      </c>
      <c r="Y501" s="397"/>
      <c r="Z501" s="397"/>
      <c r="AB501" s="472" t="str">
        <f>IF(COUNT(AB493:AB500)&gt;0,MAX(AB493:AB500)+1,"")</f>
        <v/>
      </c>
      <c r="AC501" s="433" t="str">
        <f>IF(AND(AH501&lt;&gt;"",AG501&lt;&gt;"",AI501&gt;0,AH501&gt;0),MAX(AC$2:AC500)+1,"XX")</f>
        <v>XX</v>
      </c>
      <c r="AD501" s="431" t="str">
        <f>IF('Antal &amp; Längder (vikter)'!$C$68&lt;&gt;"",'Antal &amp; Längder (vikter)'!$C$68,"XX")</f>
        <v>XX</v>
      </c>
      <c r="AE501" s="421" t="str">
        <f>IF(AND('Antal &amp; Längder (vikter)'!B$70&lt;&gt;"",ISNUMBER($AH501)),'Antal &amp; Längder (vikter)'!B$70,"")</f>
        <v/>
      </c>
      <c r="AF501" s="425" t="str">
        <f t="shared" si="16"/>
        <v/>
      </c>
      <c r="AG501" s="426" t="str">
        <f t="shared" si="17"/>
        <v/>
      </c>
      <c r="AH501" s="409" t="str">
        <f>IF('Antal &amp; Längder (vikter)'!C$71="Längd (mm)",IF('Antal &amp; Längder (vikter)'!C80&lt;&gt;"",'Antal &amp; Längder (vikter)'!C80,"XX"),"XX")</f>
        <v>XX</v>
      </c>
      <c r="AI501" s="158">
        <v>-9</v>
      </c>
    </row>
    <row r="502" spans="12:35" ht="15" x14ac:dyDescent="0.25">
      <c r="T502" s="331" t="str">
        <f>IF(OR(Protokoll!$X$5&lt;&gt;"",Lokalbeskrivn!$M$4&lt;&gt;""),"",U502)</f>
        <v/>
      </c>
      <c r="U502" s="351" t="s">
        <v>1476</v>
      </c>
      <c r="Y502" s="402" t="s">
        <v>1540</v>
      </c>
      <c r="Z502" s="402" t="s">
        <v>1539</v>
      </c>
      <c r="AB502" s="479" t="str">
        <f>IF(COUNT(AB493:AB501)&gt;0,MAX(AB493:AB501)+1,"")</f>
        <v/>
      </c>
      <c r="AC502" s="433" t="str">
        <f>IF(AND(AH502&lt;&gt;"",AG502&lt;&gt;"",AI502&gt;0,AH502&gt;0),MAX(AC$2:AC501)+1,"XX")</f>
        <v>XX</v>
      </c>
      <c r="AD502" s="431" t="str">
        <f>IF('Antal &amp; Längder (vikter)'!$C$68&lt;&gt;"",'Antal &amp; Längder (vikter)'!$C$68,"XX")</f>
        <v>XX</v>
      </c>
      <c r="AE502" s="421" t="str">
        <f>IF(AND('Antal &amp; Längder (vikter)'!B$70&lt;&gt;"",ISNUMBER($AH502)),'Antal &amp; Längder (vikter)'!B$70,"")</f>
        <v/>
      </c>
      <c r="AF502" s="425" t="str">
        <f t="shared" si="16"/>
        <v/>
      </c>
      <c r="AG502" s="426" t="str">
        <f t="shared" si="17"/>
        <v/>
      </c>
      <c r="AH502" s="409" t="str">
        <f>IF('Antal &amp; Längder (vikter)'!C$71="Längd (mm)",IF('Antal &amp; Längder (vikter)'!C81&lt;&gt;"",'Antal &amp; Längder (vikter)'!C81,"XX"),"XX")</f>
        <v>XX</v>
      </c>
      <c r="AI502" s="158">
        <v>-9</v>
      </c>
    </row>
    <row r="503" spans="12:35" x14ac:dyDescent="0.25">
      <c r="T503" s="331" t="str">
        <f>IF(OR(Protokoll!$X$5&lt;&gt;"",Lokalbeskrivn!$M$4&lt;&gt;""),"",U503)</f>
        <v/>
      </c>
      <c r="U503" s="351" t="s">
        <v>1429</v>
      </c>
      <c r="Y503" s="402" t="s">
        <v>2110</v>
      </c>
      <c r="Z503" s="402" t="s">
        <v>2109</v>
      </c>
      <c r="AB503" s="480" t="str">
        <f>IF(AND(ISNUMBER(AH503),AH503&gt;0),IF(MAX(AB$3:AB502)&gt;0,MAX(AB$3:AB502)+1,10+COUNTIF(F$38:F$49,"&gt;0")*10+1),"")</f>
        <v/>
      </c>
      <c r="AC503" s="433" t="str">
        <f>IF(AND(AH503&lt;&gt;"",AG503&lt;&gt;"",AI503&gt;0,AH503&gt;0),MAX(AC$2:AC502)+1,"XX")</f>
        <v>XX</v>
      </c>
      <c r="AD503" s="431" t="str">
        <f>IF('Antal &amp; Längder (vikter)'!$C$68&lt;&gt;"",'Antal &amp; Längder (vikter)'!$C$68,"XX")</f>
        <v>XX</v>
      </c>
      <c r="AE503" s="417" t="str">
        <f>IF(AND('Antal &amp; Längder (vikter)'!D$70&lt;&gt;"",ISNUMBER($AH503)),'Antal &amp; Längder (vikter)'!D$70,"")</f>
        <v/>
      </c>
      <c r="AF503" s="425" t="str">
        <f t="shared" si="16"/>
        <v/>
      </c>
      <c r="AG503" s="426" t="str">
        <f t="shared" si="17"/>
        <v/>
      </c>
      <c r="AH503" s="407" t="str">
        <f>IF('Antal &amp; Längder (vikter)'!D72&lt;&gt;"",'Antal &amp; Längder (vikter)'!D72,"XX")</f>
        <v>XX</v>
      </c>
      <c r="AI503" s="405">
        <f>IF('Antal &amp; Längder (vikter)'!E$71="Vikt (g)",IF('Antal &amp; Längder (vikter)'!E72&lt;&gt;"",'Antal &amp; Längder (vikter)'!E72,-9),-9)</f>
        <v>-9</v>
      </c>
    </row>
    <row r="504" spans="12:35" x14ac:dyDescent="0.25">
      <c r="T504" s="331" t="str">
        <f>IF(OR(Protokoll!$X$5&lt;&gt;"",Lokalbeskrivn!$M$4&lt;&gt;""),"",U504)</f>
        <v/>
      </c>
      <c r="U504" s="351" t="s">
        <v>1477</v>
      </c>
      <c r="Y504" s="402" t="s">
        <v>1542</v>
      </c>
      <c r="Z504" s="403" t="s">
        <v>1541</v>
      </c>
      <c r="AB504" s="476" t="str">
        <f>IF(COUNT(AB503:AB503)&gt;0,MAX(AB503:AB503)+1,"")</f>
        <v/>
      </c>
      <c r="AC504" s="433" t="str">
        <f>IF(AND(AH504&lt;&gt;"",AG504&lt;&gt;"",AI504&gt;0,AH504&gt;0),MAX(AC$2:AC503)+1,"XX")</f>
        <v>XX</v>
      </c>
      <c r="AD504" s="431" t="str">
        <f>IF('Antal &amp; Längder (vikter)'!$C$68&lt;&gt;"",'Antal &amp; Längder (vikter)'!$C$68,"XX")</f>
        <v>XX</v>
      </c>
      <c r="AE504" s="417" t="str">
        <f>IF(AND('Antal &amp; Längder (vikter)'!D$70&lt;&gt;"",ISNUMBER($AH504)),'Antal &amp; Längder (vikter)'!D$70,"")</f>
        <v/>
      </c>
      <c r="AF504" s="425" t="str">
        <f t="shared" si="16"/>
        <v/>
      </c>
      <c r="AG504" s="426" t="str">
        <f t="shared" si="17"/>
        <v/>
      </c>
      <c r="AH504" s="407" t="str">
        <f>IF('Antal &amp; Längder (vikter)'!D73&lt;&gt;"",'Antal &amp; Längder (vikter)'!D73,"XX")</f>
        <v>XX</v>
      </c>
      <c r="AI504" s="405">
        <f>IF('Antal &amp; Längder (vikter)'!E$71="Vikt (g)",IF('Antal &amp; Längder (vikter)'!E73&lt;&gt;"",'Antal &amp; Längder (vikter)'!E73,-9),-9)</f>
        <v>-9</v>
      </c>
    </row>
    <row r="505" spans="12:35" x14ac:dyDescent="0.25">
      <c r="T505" s="331" t="str">
        <f>IF(OR(Protokoll!$X$5&lt;&gt;"",Lokalbeskrivn!$M$4&lt;&gt;""),"",U505)</f>
        <v/>
      </c>
      <c r="U505" s="351" t="s">
        <v>1432</v>
      </c>
      <c r="Y505" s="402" t="s">
        <v>1544</v>
      </c>
      <c r="Z505" s="403" t="s">
        <v>1543</v>
      </c>
      <c r="AB505" s="477" t="str">
        <f>IF(COUNT(AB503:AB504)&gt;0,MAX(AB503:AB504)+1,"")</f>
        <v/>
      </c>
      <c r="AC505" s="433" t="str">
        <f>IF(AND(AH505&lt;&gt;"",AG505&lt;&gt;"",AI505&gt;0,AH505&gt;0),MAX(AC$2:AC504)+1,"XX")</f>
        <v>XX</v>
      </c>
      <c r="AD505" s="431" t="str">
        <f>IF('Antal &amp; Längder (vikter)'!$C$68&lt;&gt;"",'Antal &amp; Längder (vikter)'!$C$68,"XX")</f>
        <v>XX</v>
      </c>
      <c r="AE505" s="417" t="str">
        <f>IF(AND('Antal &amp; Längder (vikter)'!D$70&lt;&gt;"",ISNUMBER($AH505)),'Antal &amp; Längder (vikter)'!D$70,"")</f>
        <v/>
      </c>
      <c r="AF505" s="425" t="str">
        <f t="shared" si="16"/>
        <v/>
      </c>
      <c r="AG505" s="426" t="str">
        <f t="shared" si="17"/>
        <v/>
      </c>
      <c r="AH505" s="407" t="str">
        <f>IF('Antal &amp; Längder (vikter)'!D74&lt;&gt;"",'Antal &amp; Längder (vikter)'!D74,"XX")</f>
        <v>XX</v>
      </c>
      <c r="AI505" s="405">
        <f>IF('Antal &amp; Längder (vikter)'!E$71="Vikt (g)",IF('Antal &amp; Längder (vikter)'!E74&lt;&gt;"",'Antal &amp; Längder (vikter)'!E74,-9),-9)</f>
        <v>-9</v>
      </c>
    </row>
    <row r="506" spans="12:35" x14ac:dyDescent="0.25">
      <c r="T506" s="331" t="str">
        <f>IF(OR(Protokoll!$X$5&lt;&gt;"",Lokalbeskrivn!$M$4&lt;&gt;""),"",U506)</f>
        <v/>
      </c>
      <c r="U506" s="351" t="s">
        <v>1478</v>
      </c>
      <c r="Y506" s="402" t="s">
        <v>1546</v>
      </c>
      <c r="Z506" s="402" t="s">
        <v>1545</v>
      </c>
      <c r="AB506" s="434" t="str">
        <f>IF(COUNT(AB503:AB505)&gt;0,MAX(AB503:AB505)+1,"")</f>
        <v/>
      </c>
      <c r="AC506" s="433" t="str">
        <f>IF(AND(AH506&lt;&gt;"",AG506&lt;&gt;"",AI506&gt;0,AH506&gt;0),MAX(AC$2:AC505)+1,"XX")</f>
        <v>XX</v>
      </c>
      <c r="AD506" s="431" t="str">
        <f>IF('Antal &amp; Längder (vikter)'!$C$68&lt;&gt;"",'Antal &amp; Längder (vikter)'!$C$68,"XX")</f>
        <v>XX</v>
      </c>
      <c r="AE506" s="417" t="str">
        <f>IF(AND('Antal &amp; Längder (vikter)'!D$70&lt;&gt;"",ISNUMBER($AH506)),'Antal &amp; Längder (vikter)'!D$70,"")</f>
        <v/>
      </c>
      <c r="AF506" s="425" t="str">
        <f t="shared" si="16"/>
        <v/>
      </c>
      <c r="AG506" s="426" t="str">
        <f t="shared" si="17"/>
        <v/>
      </c>
      <c r="AH506" s="407" t="str">
        <f>IF('Antal &amp; Längder (vikter)'!D75&lt;&gt;"",'Antal &amp; Längder (vikter)'!D75,"XX")</f>
        <v>XX</v>
      </c>
      <c r="AI506" s="405">
        <f>IF('Antal &amp; Längder (vikter)'!E$71="Vikt (g)",IF('Antal &amp; Längder (vikter)'!E75&lt;&gt;"",'Antal &amp; Längder (vikter)'!E75,-9),-9)</f>
        <v>-9</v>
      </c>
    </row>
    <row r="507" spans="12:35" x14ac:dyDescent="0.25">
      <c r="T507" s="331" t="str">
        <f>IF(OR(Protokoll!$X$5&lt;&gt;"",Lokalbeskrivn!$M$4&lt;&gt;""),"",U507)</f>
        <v/>
      </c>
      <c r="U507" s="351" t="s">
        <v>1435</v>
      </c>
      <c r="Y507" s="402" t="s">
        <v>2112</v>
      </c>
      <c r="Z507" s="402" t="s">
        <v>2111</v>
      </c>
      <c r="AB507" s="475" t="str">
        <f>IF(COUNT(AB503:AB506)&gt;0,MAX(AB503:AB506)+1,"")</f>
        <v/>
      </c>
      <c r="AC507" s="433" t="str">
        <f>IF(AND(AH507&lt;&gt;"",AG507&lt;&gt;"",AI507&gt;0,AH507&gt;0),MAX(AC$2:AC506)+1,"XX")</f>
        <v>XX</v>
      </c>
      <c r="AD507" s="431" t="str">
        <f>IF('Antal &amp; Längder (vikter)'!$C$68&lt;&gt;"",'Antal &amp; Längder (vikter)'!$C$68,"XX")</f>
        <v>XX</v>
      </c>
      <c r="AE507" s="417" t="str">
        <f>IF(AND('Antal &amp; Längder (vikter)'!D$70&lt;&gt;"",ISNUMBER($AH507)),'Antal &amp; Längder (vikter)'!D$70,"")</f>
        <v/>
      </c>
      <c r="AF507" s="425" t="str">
        <f t="shared" si="16"/>
        <v/>
      </c>
      <c r="AG507" s="426" t="str">
        <f t="shared" si="17"/>
        <v/>
      </c>
      <c r="AH507" s="407" t="str">
        <f>IF('Antal &amp; Längder (vikter)'!D76&lt;&gt;"",'Antal &amp; Längder (vikter)'!D76,"XX")</f>
        <v>XX</v>
      </c>
      <c r="AI507" s="405">
        <f>IF('Antal &amp; Längder (vikter)'!E$71="Vikt (g)",IF('Antal &amp; Längder (vikter)'!E76&lt;&gt;"",'Antal &amp; Längder (vikter)'!E76,-9),-9)</f>
        <v>-9</v>
      </c>
    </row>
    <row r="508" spans="12:35" x14ac:dyDescent="0.25">
      <c r="T508" s="331" t="str">
        <f>IF(OR(Protokoll!$X$5&lt;&gt;"",Lokalbeskrivn!$M$4&lt;&gt;""),"",U508)</f>
        <v/>
      </c>
      <c r="U508" s="351" t="s">
        <v>1479</v>
      </c>
      <c r="Y508" s="402" t="s">
        <v>2114</v>
      </c>
      <c r="Z508" s="402" t="s">
        <v>2113</v>
      </c>
      <c r="AB508" s="471" t="str">
        <f>IF(COUNT(AB503:AB507)&gt;0,MAX(AB503:AB507)+1,"")</f>
        <v/>
      </c>
      <c r="AC508" s="433" t="str">
        <f>IF(AND(AH508&lt;&gt;"",AG508&lt;&gt;"",AI508&gt;0,AH508&gt;0),MAX(AC$2:AC507)+1,"XX")</f>
        <v>XX</v>
      </c>
      <c r="AD508" s="431" t="str">
        <f>IF('Antal &amp; Längder (vikter)'!$C$68&lt;&gt;"",'Antal &amp; Längder (vikter)'!$C$68,"XX")</f>
        <v>XX</v>
      </c>
      <c r="AE508" s="417" t="str">
        <f>IF(AND('Antal &amp; Längder (vikter)'!D$70&lt;&gt;"",ISNUMBER($AH508)),'Antal &amp; Längder (vikter)'!D$70,"")</f>
        <v/>
      </c>
      <c r="AF508" s="425" t="str">
        <f t="shared" si="16"/>
        <v/>
      </c>
      <c r="AG508" s="426" t="str">
        <f t="shared" si="17"/>
        <v/>
      </c>
      <c r="AH508" s="407" t="str">
        <f>IF('Antal &amp; Längder (vikter)'!D77&lt;&gt;"",'Antal &amp; Längder (vikter)'!D77,"XX")</f>
        <v>XX</v>
      </c>
      <c r="AI508" s="405">
        <f>IF('Antal &amp; Längder (vikter)'!E$71="Vikt (g)",IF('Antal &amp; Längder (vikter)'!E77&lt;&gt;"",'Antal &amp; Längder (vikter)'!E77,-9),-9)</f>
        <v>-9</v>
      </c>
    </row>
    <row r="509" spans="12:35" x14ac:dyDescent="0.25">
      <c r="T509" s="331" t="str">
        <f>IF(OR(Protokoll!$X$5&lt;&gt;"",Lokalbeskrivn!$M$4&lt;&gt;""),"",U509)</f>
        <v/>
      </c>
      <c r="U509" s="351" t="s">
        <v>1438</v>
      </c>
      <c r="Y509" s="402" t="s">
        <v>2116</v>
      </c>
      <c r="Z509" s="402" t="s">
        <v>2115</v>
      </c>
      <c r="AB509" s="474" t="str">
        <f>IF(COUNT(AB503:AB508)&gt;0,MAX(AB503:AB508)+1,"")</f>
        <v/>
      </c>
      <c r="AC509" s="433" t="str">
        <f>IF(AND(AH509&lt;&gt;"",AG509&lt;&gt;"",AI509&gt;0,AH509&gt;0),MAX(AC$2:AC508)+1,"XX")</f>
        <v>XX</v>
      </c>
      <c r="AD509" s="431" t="str">
        <f>IF('Antal &amp; Längder (vikter)'!$C$68&lt;&gt;"",'Antal &amp; Längder (vikter)'!$C$68,"XX")</f>
        <v>XX</v>
      </c>
      <c r="AE509" s="417" t="str">
        <f>IF(AND('Antal &amp; Längder (vikter)'!D$70&lt;&gt;"",ISNUMBER($AH509)),'Antal &amp; Längder (vikter)'!D$70,"")</f>
        <v/>
      </c>
      <c r="AF509" s="425" t="str">
        <f t="shared" si="16"/>
        <v/>
      </c>
      <c r="AG509" s="426" t="str">
        <f t="shared" si="17"/>
        <v/>
      </c>
      <c r="AH509" s="407" t="str">
        <f>IF('Antal &amp; Längder (vikter)'!D78&lt;&gt;"",'Antal &amp; Längder (vikter)'!D78,"XX")</f>
        <v>XX</v>
      </c>
      <c r="AI509" s="405">
        <f>IF('Antal &amp; Längder (vikter)'!E$71="Vikt (g)",IF('Antal &amp; Längder (vikter)'!E78&lt;&gt;"",'Antal &amp; Längder (vikter)'!E78,-9),-9)</f>
        <v>-9</v>
      </c>
    </row>
    <row r="510" spans="12:35" x14ac:dyDescent="0.25">
      <c r="T510" s="331" t="str">
        <f>IF(OR(Protokoll!$X$5&lt;&gt;"",Lokalbeskrivn!$M$4&lt;&gt;""),"",U510)</f>
        <v/>
      </c>
      <c r="U510" s="351" t="s">
        <v>1480</v>
      </c>
      <c r="Y510" s="402" t="s">
        <v>1550</v>
      </c>
      <c r="Z510" s="402" t="s">
        <v>1549</v>
      </c>
      <c r="AB510" s="478" t="str">
        <f>IF(COUNT(AB503:AB509)&gt;0,MAX(AB503:AB509)+1,"")</f>
        <v/>
      </c>
      <c r="AC510" s="433" t="str">
        <f>IF(AND(AH510&lt;&gt;"",AG510&lt;&gt;"",AI510&gt;0,AH510&gt;0),MAX(AC$2:AC509)+1,"XX")</f>
        <v>XX</v>
      </c>
      <c r="AD510" s="431" t="str">
        <f>IF('Antal &amp; Längder (vikter)'!$C$68&lt;&gt;"",'Antal &amp; Längder (vikter)'!$C$68,"XX")</f>
        <v>XX</v>
      </c>
      <c r="AE510" s="417" t="str">
        <f>IF(AND('Antal &amp; Längder (vikter)'!D$70&lt;&gt;"",ISNUMBER($AH510)),'Antal &amp; Längder (vikter)'!D$70,"")</f>
        <v/>
      </c>
      <c r="AF510" s="425" t="str">
        <f t="shared" si="16"/>
        <v/>
      </c>
      <c r="AG510" s="426" t="str">
        <f t="shared" si="17"/>
        <v/>
      </c>
      <c r="AH510" s="407" t="str">
        <f>IF('Antal &amp; Längder (vikter)'!D79&lt;&gt;"",'Antal &amp; Längder (vikter)'!D79,"XX")</f>
        <v>XX</v>
      </c>
      <c r="AI510" s="405">
        <f>IF('Antal &amp; Längder (vikter)'!E$71="Vikt (g)",IF('Antal &amp; Längder (vikter)'!E79&lt;&gt;"",'Antal &amp; Längder (vikter)'!E79,-9),-9)</f>
        <v>-9</v>
      </c>
    </row>
    <row r="511" spans="12:35" x14ac:dyDescent="0.25">
      <c r="T511" s="331" t="str">
        <f>IF(OR(Protokoll!$X$5&lt;&gt;"",Lokalbeskrivn!$M$4&lt;&gt;""),"",U511)</f>
        <v/>
      </c>
      <c r="U511" s="351" t="s">
        <v>11</v>
      </c>
      <c r="Y511" s="402" t="s">
        <v>2361</v>
      </c>
      <c r="Z511" s="402" t="s">
        <v>2360</v>
      </c>
      <c r="AB511" s="472" t="str">
        <f>IF(COUNT(AB503:AB510)&gt;0,MAX(AB503:AB510)+1,"")</f>
        <v/>
      </c>
      <c r="AC511" s="433" t="str">
        <f>IF(AND(AH511&lt;&gt;"",AG511&lt;&gt;"",AI511&gt;0,AH511&gt;0),MAX(AC$2:AC510)+1,"XX")</f>
        <v>XX</v>
      </c>
      <c r="AD511" s="431" t="str">
        <f>IF('Antal &amp; Längder (vikter)'!$C$68&lt;&gt;"",'Antal &amp; Längder (vikter)'!$C$68,"XX")</f>
        <v>XX</v>
      </c>
      <c r="AE511" s="417" t="str">
        <f>IF(AND('Antal &amp; Längder (vikter)'!D$70&lt;&gt;"",ISNUMBER($AH511)),'Antal &amp; Längder (vikter)'!D$70,"")</f>
        <v/>
      </c>
      <c r="AF511" s="425" t="str">
        <f t="shared" si="16"/>
        <v/>
      </c>
      <c r="AG511" s="426" t="str">
        <f t="shared" si="17"/>
        <v/>
      </c>
      <c r="AH511" s="407" t="str">
        <f>IF('Antal &amp; Längder (vikter)'!D80&lt;&gt;"",'Antal &amp; Längder (vikter)'!D80,"XX")</f>
        <v>XX</v>
      </c>
      <c r="AI511" s="405">
        <f>IF('Antal &amp; Längder (vikter)'!E$71="Vikt (g)",IF('Antal &amp; Längder (vikter)'!E80&lt;&gt;"",'Antal &amp; Längder (vikter)'!E80,-9),-9)</f>
        <v>-9</v>
      </c>
    </row>
    <row r="512" spans="12:35" x14ac:dyDescent="0.25">
      <c r="T512" s="331" t="str">
        <f>IF(OR(Protokoll!$X$5&lt;&gt;"",Lokalbeskrivn!$M$4&lt;&gt;""),"",U512)</f>
        <v/>
      </c>
      <c r="U512" s="351" t="s">
        <v>1481</v>
      </c>
      <c r="Y512" s="402" t="s">
        <v>2118</v>
      </c>
      <c r="Z512" s="402" t="s">
        <v>2117</v>
      </c>
      <c r="AB512" s="479" t="str">
        <f>IF(COUNT(AB503:AB511)&gt;0,MAX(AB503:AB511)+1,"")</f>
        <v/>
      </c>
      <c r="AC512" s="433" t="str">
        <f>IF(AND(AH512&lt;&gt;"",AG512&lt;&gt;"",AI512&gt;0,AH512&gt;0),MAX(AC$2:AC511)+1,"XX")</f>
        <v>XX</v>
      </c>
      <c r="AD512" s="431" t="str">
        <f>IF('Antal &amp; Längder (vikter)'!$C$68&lt;&gt;"",'Antal &amp; Längder (vikter)'!$C$68,"XX")</f>
        <v>XX</v>
      </c>
      <c r="AE512" s="417" t="str">
        <f>IF(AND('Antal &amp; Längder (vikter)'!D$70&lt;&gt;"",ISNUMBER($AH512)),'Antal &amp; Längder (vikter)'!D$70,"")</f>
        <v/>
      </c>
      <c r="AF512" s="425" t="str">
        <f t="shared" si="16"/>
        <v/>
      </c>
      <c r="AG512" s="426" t="str">
        <f t="shared" si="17"/>
        <v/>
      </c>
      <c r="AH512" s="407" t="str">
        <f>IF('Antal &amp; Längder (vikter)'!D81&lt;&gt;"",'Antal &amp; Längder (vikter)'!D81,"XX")</f>
        <v>XX</v>
      </c>
      <c r="AI512" s="405">
        <f>IF('Antal &amp; Längder (vikter)'!E$71="Vikt (g)",IF('Antal &amp; Längder (vikter)'!E81&lt;&gt;"",'Antal &amp; Längder (vikter)'!E81,-9),-9)</f>
        <v>-9</v>
      </c>
    </row>
    <row r="513" spans="20:35" ht="15" x14ac:dyDescent="0.25">
      <c r="T513" s="331" t="str">
        <f>IF(OR(Protokoll!$X$5&lt;&gt;"",Lokalbeskrivn!$M$4&lt;&gt;""),"",U513)</f>
        <v/>
      </c>
      <c r="U513" s="351" t="s">
        <v>14</v>
      </c>
      <c r="Y513" s="402" t="s">
        <v>1536</v>
      </c>
      <c r="Z513" s="402" t="s">
        <v>2119</v>
      </c>
      <c r="AB513" s="480" t="str">
        <f>IF(AND(ISNUMBER(AH513),AH513&gt;0),IF(MAX(AB$3:AB512)&gt;0,MAX(AB$3:AB512)+1,10+COUNTIF(F$38:F$49,"&gt;0")*10+1),"")</f>
        <v/>
      </c>
      <c r="AC513" s="433" t="str">
        <f>IF(AND(AH513&lt;&gt;"",AG513&lt;&gt;"",AI513&gt;0,AH513&gt;0),MAX(AC$2:AC512)+1,"XX")</f>
        <v>XX</v>
      </c>
      <c r="AD513" s="431" t="str">
        <f>IF('Antal &amp; Längder (vikter)'!$C$68&lt;&gt;"",'Antal &amp; Längder (vikter)'!$C$68,"XX")</f>
        <v>XX</v>
      </c>
      <c r="AE513" s="417" t="str">
        <f>IF(AND('Antal &amp; Längder (vikter)'!D$70&lt;&gt;"",ISNUMBER($AH513)),'Antal &amp; Längder (vikter)'!D$70,"")</f>
        <v/>
      </c>
      <c r="AF513" s="425" t="str">
        <f t="shared" si="16"/>
        <v/>
      </c>
      <c r="AG513" s="426" t="str">
        <f t="shared" si="17"/>
        <v/>
      </c>
      <c r="AH513" s="409" t="str">
        <f>IF('Antal &amp; Längder (vikter)'!E$71="Längd (mm)",IF('Antal &amp; Längder (vikter)'!E72&lt;&gt;"",'Antal &amp; Längder (vikter)'!E72,"XX"),"XX")</f>
        <v>XX</v>
      </c>
      <c r="AI513" s="158">
        <v>-9</v>
      </c>
    </row>
    <row r="514" spans="20:35" ht="15" x14ac:dyDescent="0.25">
      <c r="T514" s="331" t="str">
        <f>IF(OR(Protokoll!$X$5&lt;&gt;"",Lokalbeskrivn!$M$4&lt;&gt;""),"",U514)</f>
        <v/>
      </c>
      <c r="U514" s="351" t="s">
        <v>1482</v>
      </c>
      <c r="Y514" s="402" t="s">
        <v>1552</v>
      </c>
      <c r="Z514" s="402" t="s">
        <v>1551</v>
      </c>
      <c r="AB514" s="476" t="str">
        <f>IF(COUNT(AB513:AB513)&gt;0,MAX(AB513:AB513)+1,"")</f>
        <v/>
      </c>
      <c r="AC514" s="433" t="str">
        <f>IF(AND(AH514&lt;&gt;"",AG514&lt;&gt;"",AI514&gt;0,AH514&gt;0),MAX(AC$2:AC513)+1,"XX")</f>
        <v>XX</v>
      </c>
      <c r="AD514" s="431" t="str">
        <f>IF('Antal &amp; Längder (vikter)'!$C$68&lt;&gt;"",'Antal &amp; Längder (vikter)'!$C$68,"XX")</f>
        <v>XX</v>
      </c>
      <c r="AE514" s="417" t="str">
        <f>IF(AND('Antal &amp; Längder (vikter)'!D$70&lt;&gt;"",ISNUMBER($AH514)),'Antal &amp; Längder (vikter)'!D$70,"")</f>
        <v/>
      </c>
      <c r="AF514" s="425" t="str">
        <f t="shared" si="16"/>
        <v/>
      </c>
      <c r="AG514" s="426" t="str">
        <f t="shared" si="17"/>
        <v/>
      </c>
      <c r="AH514" s="409" t="str">
        <f>IF('Antal &amp; Längder (vikter)'!E$71="Längd (mm)",IF('Antal &amp; Längder (vikter)'!E73&lt;&gt;"",'Antal &amp; Längder (vikter)'!E73,"XX"),"XX")</f>
        <v>XX</v>
      </c>
      <c r="AI514" s="158">
        <v>-9</v>
      </c>
    </row>
    <row r="515" spans="20:35" ht="15" x14ac:dyDescent="0.25">
      <c r="T515" s="331" t="str">
        <f>IF(OR(Protokoll!$X$5&lt;&gt;"",Lokalbeskrivn!$M$4&lt;&gt;""),"",U515)</f>
        <v/>
      </c>
      <c r="U515" s="351" t="s">
        <v>17</v>
      </c>
      <c r="Y515" s="402" t="s">
        <v>2120</v>
      </c>
      <c r="Z515" s="402" t="s">
        <v>2362</v>
      </c>
      <c r="AB515" s="477" t="str">
        <f>IF(COUNT(AB513:AB514)&gt;0,MAX(AB513:AB514)+1,"")</f>
        <v/>
      </c>
      <c r="AC515" s="433" t="str">
        <f>IF(AND(AH515&lt;&gt;"",AG515&lt;&gt;"",AI515&gt;0,AH515&gt;0),MAX(AC$2:AC514)+1,"XX")</f>
        <v>XX</v>
      </c>
      <c r="AD515" s="431" t="str">
        <f>IF('Antal &amp; Längder (vikter)'!$C$68&lt;&gt;"",'Antal &amp; Längder (vikter)'!$C$68,"XX")</f>
        <v>XX</v>
      </c>
      <c r="AE515" s="417" t="str">
        <f>IF(AND('Antal &amp; Längder (vikter)'!D$70&lt;&gt;"",ISNUMBER($AH515)),'Antal &amp; Längder (vikter)'!D$70,"")</f>
        <v/>
      </c>
      <c r="AF515" s="425" t="str">
        <f t="shared" ref="AF515:AF578" si="18">IF(AND(ISNUMBER(AH515),AE515&lt;&gt;""),VLOOKUP(AE515,$N$2:$O$60,2,FALSE),"")</f>
        <v/>
      </c>
      <c r="AG515" s="426" t="str">
        <f t="shared" ref="AG515:AG578" si="19">IF(AF515&lt;&gt;"",VLOOKUP(AF515,O$2:U$60,7,FALSE),"")</f>
        <v/>
      </c>
      <c r="AH515" s="409" t="str">
        <f>IF('Antal &amp; Längder (vikter)'!E$71="Längd (mm)",IF('Antal &amp; Längder (vikter)'!E74&lt;&gt;"",'Antal &amp; Längder (vikter)'!E74,"XX"),"XX")</f>
        <v>XX</v>
      </c>
      <c r="AI515" s="158">
        <v>-9</v>
      </c>
    </row>
    <row r="516" spans="20:35" ht="15" x14ac:dyDescent="0.25">
      <c r="T516" s="331" t="str">
        <f>IF(OR(Protokoll!$X$5&lt;&gt;"",Lokalbeskrivn!$M$4&lt;&gt;""),"",U516)</f>
        <v/>
      </c>
      <c r="U516" s="351" t="s">
        <v>1483</v>
      </c>
      <c r="Y516" s="402" t="s">
        <v>2121</v>
      </c>
      <c r="Z516" s="402" t="s">
        <v>2363</v>
      </c>
      <c r="AB516" s="434" t="str">
        <f>IF(COUNT(AB513:AB515)&gt;0,MAX(AB513:AB515)+1,"")</f>
        <v/>
      </c>
      <c r="AC516" s="433" t="str">
        <f>IF(AND(AH516&lt;&gt;"",AG516&lt;&gt;"",AI516&gt;0,AH516&gt;0),MAX(AC$2:AC515)+1,"XX")</f>
        <v>XX</v>
      </c>
      <c r="AD516" s="431" t="str">
        <f>IF('Antal &amp; Längder (vikter)'!$C$68&lt;&gt;"",'Antal &amp; Längder (vikter)'!$C$68,"XX")</f>
        <v>XX</v>
      </c>
      <c r="AE516" s="417" t="str">
        <f>IF(AND('Antal &amp; Längder (vikter)'!D$70&lt;&gt;"",ISNUMBER($AH516)),'Antal &amp; Längder (vikter)'!D$70,"")</f>
        <v/>
      </c>
      <c r="AF516" s="425" t="str">
        <f t="shared" si="18"/>
        <v/>
      </c>
      <c r="AG516" s="426" t="str">
        <f t="shared" si="19"/>
        <v/>
      </c>
      <c r="AH516" s="409" t="str">
        <f>IF('Antal &amp; Längder (vikter)'!E$71="Längd (mm)",IF('Antal &amp; Längder (vikter)'!E75&lt;&gt;"",'Antal &amp; Längder (vikter)'!E75,"XX"),"XX")</f>
        <v>XX</v>
      </c>
      <c r="AI516" s="158">
        <v>-9</v>
      </c>
    </row>
    <row r="517" spans="20:35" ht="15" x14ac:dyDescent="0.25">
      <c r="T517" s="331" t="str">
        <f>IF(OR(Protokoll!$X$5&lt;&gt;"",Lokalbeskrivn!$M$4&lt;&gt;""),"",U517)</f>
        <v/>
      </c>
      <c r="U517" s="351" t="s">
        <v>1484</v>
      </c>
      <c r="Y517" s="402" t="s">
        <v>2365</v>
      </c>
      <c r="Z517" s="402" t="s">
        <v>2364</v>
      </c>
      <c r="AB517" s="475" t="str">
        <f>IF(COUNT(AB513:AB516)&gt;0,MAX(AB513:AB516)+1,"")</f>
        <v/>
      </c>
      <c r="AC517" s="433" t="str">
        <f>IF(AND(AH517&lt;&gt;"",AG517&lt;&gt;"",AI517&gt;0,AH517&gt;0),MAX(AC$2:AC516)+1,"XX")</f>
        <v>XX</v>
      </c>
      <c r="AD517" s="431" t="str">
        <f>IF('Antal &amp; Längder (vikter)'!$C$68&lt;&gt;"",'Antal &amp; Längder (vikter)'!$C$68,"XX")</f>
        <v>XX</v>
      </c>
      <c r="AE517" s="417" t="str">
        <f>IF(AND('Antal &amp; Längder (vikter)'!D$70&lt;&gt;"",ISNUMBER($AH517)),'Antal &amp; Längder (vikter)'!D$70,"")</f>
        <v/>
      </c>
      <c r="AF517" s="425" t="str">
        <f t="shared" si="18"/>
        <v/>
      </c>
      <c r="AG517" s="426" t="str">
        <f t="shared" si="19"/>
        <v/>
      </c>
      <c r="AH517" s="409" t="str">
        <f>IF('Antal &amp; Längder (vikter)'!E$71="Längd (mm)",IF('Antal &amp; Längder (vikter)'!E76&lt;&gt;"",'Antal &amp; Längder (vikter)'!E76,"XX"),"XX")</f>
        <v>XX</v>
      </c>
      <c r="AI517" s="158">
        <v>-9</v>
      </c>
    </row>
    <row r="518" spans="20:35" ht="15" x14ac:dyDescent="0.25">
      <c r="T518" s="331" t="str">
        <f>IF(OR(Protokoll!$X$5&lt;&gt;"",Lokalbeskrivn!$M$4&lt;&gt;""),"",U518)</f>
        <v/>
      </c>
      <c r="U518" s="351" t="s">
        <v>1485</v>
      </c>
      <c r="Y518" s="402" t="s">
        <v>1554</v>
      </c>
      <c r="Z518" s="402" t="s">
        <v>1553</v>
      </c>
      <c r="AB518" s="471" t="str">
        <f>IF(COUNT(AB513:AB517)&gt;0,MAX(AB513:AB517)+1,"")</f>
        <v/>
      </c>
      <c r="AC518" s="433" t="str">
        <f>IF(AND(AH518&lt;&gt;"",AG518&lt;&gt;"",AI518&gt;0,AH518&gt;0),MAX(AC$2:AC517)+1,"XX")</f>
        <v>XX</v>
      </c>
      <c r="AD518" s="431" t="str">
        <f>IF('Antal &amp; Längder (vikter)'!$C$68&lt;&gt;"",'Antal &amp; Längder (vikter)'!$C$68,"XX")</f>
        <v>XX</v>
      </c>
      <c r="AE518" s="417" t="str">
        <f>IF(AND('Antal &amp; Längder (vikter)'!D$70&lt;&gt;"",ISNUMBER($AH518)),'Antal &amp; Längder (vikter)'!D$70,"")</f>
        <v/>
      </c>
      <c r="AF518" s="425" t="str">
        <f t="shared" si="18"/>
        <v/>
      </c>
      <c r="AG518" s="426" t="str">
        <f t="shared" si="19"/>
        <v/>
      </c>
      <c r="AH518" s="409" t="str">
        <f>IF('Antal &amp; Längder (vikter)'!E$71="Längd (mm)",IF('Antal &amp; Längder (vikter)'!E77&lt;&gt;"",'Antal &amp; Längder (vikter)'!E77,"XX"),"XX")</f>
        <v>XX</v>
      </c>
      <c r="AI518" s="158">
        <v>-9</v>
      </c>
    </row>
    <row r="519" spans="20:35" ht="15" x14ac:dyDescent="0.25">
      <c r="T519" s="331" t="str">
        <f>IF(OR(Protokoll!$X$5&lt;&gt;"",Lokalbeskrivn!$M$4&lt;&gt;""),"",U519)</f>
        <v/>
      </c>
      <c r="U519" s="351" t="s">
        <v>1513</v>
      </c>
      <c r="Y519" s="402" t="s">
        <v>2123</v>
      </c>
      <c r="Z519" s="402" t="s">
        <v>2122</v>
      </c>
      <c r="AB519" s="474" t="str">
        <f>IF(COUNT(AB513:AB518)&gt;0,MAX(AB513:AB518)+1,"")</f>
        <v/>
      </c>
      <c r="AC519" s="433" t="str">
        <f>IF(AND(AH519&lt;&gt;"",AG519&lt;&gt;"",AI519&gt;0,AH519&gt;0),MAX(AC$2:AC518)+1,"XX")</f>
        <v>XX</v>
      </c>
      <c r="AD519" s="431" t="str">
        <f>IF('Antal &amp; Längder (vikter)'!$C$68&lt;&gt;"",'Antal &amp; Längder (vikter)'!$C$68,"XX")</f>
        <v>XX</v>
      </c>
      <c r="AE519" s="417" t="str">
        <f>IF(AND('Antal &amp; Längder (vikter)'!D$70&lt;&gt;"",ISNUMBER($AH519)),'Antal &amp; Längder (vikter)'!D$70,"")</f>
        <v/>
      </c>
      <c r="AF519" s="425" t="str">
        <f t="shared" si="18"/>
        <v/>
      </c>
      <c r="AG519" s="426" t="str">
        <f t="shared" si="19"/>
        <v/>
      </c>
      <c r="AH519" s="409" t="str">
        <f>IF('Antal &amp; Längder (vikter)'!E$71="Längd (mm)",IF('Antal &amp; Längder (vikter)'!E78&lt;&gt;"",'Antal &amp; Längder (vikter)'!E78,"XX"),"XX")</f>
        <v>XX</v>
      </c>
      <c r="AI519" s="158">
        <v>-9</v>
      </c>
    </row>
    <row r="520" spans="20:35" ht="15" x14ac:dyDescent="0.25">
      <c r="T520" s="331" t="str">
        <f>IF(OR(Protokoll!$X$5&lt;&gt;"",Lokalbeskrivn!$M$4&lt;&gt;""),"",U520)</f>
        <v/>
      </c>
      <c r="U520" s="351" t="s">
        <v>1516</v>
      </c>
      <c r="Y520" s="402" t="s">
        <v>1556</v>
      </c>
      <c r="Z520" s="402" t="s">
        <v>1555</v>
      </c>
      <c r="AB520" s="478" t="str">
        <f>IF(COUNT(AB513:AB519)&gt;0,MAX(AB513:AB519)+1,"")</f>
        <v/>
      </c>
      <c r="AC520" s="433" t="str">
        <f>IF(AND(AH520&lt;&gt;"",AG520&lt;&gt;"",AI520&gt;0,AH520&gt;0),MAX(AC$2:AC519)+1,"XX")</f>
        <v>XX</v>
      </c>
      <c r="AD520" s="431" t="str">
        <f>IF('Antal &amp; Längder (vikter)'!$C$68&lt;&gt;"",'Antal &amp; Längder (vikter)'!$C$68,"XX")</f>
        <v>XX</v>
      </c>
      <c r="AE520" s="417" t="str">
        <f>IF(AND('Antal &amp; Längder (vikter)'!D$70&lt;&gt;"",ISNUMBER($AH520)),'Antal &amp; Längder (vikter)'!D$70,"")</f>
        <v/>
      </c>
      <c r="AF520" s="425" t="str">
        <f t="shared" si="18"/>
        <v/>
      </c>
      <c r="AG520" s="426" t="str">
        <f t="shared" si="19"/>
        <v/>
      </c>
      <c r="AH520" s="409" t="str">
        <f>IF('Antal &amp; Längder (vikter)'!E$71="Längd (mm)",IF('Antal &amp; Längder (vikter)'!E79&lt;&gt;"",'Antal &amp; Längder (vikter)'!E79,"XX"),"XX")</f>
        <v>XX</v>
      </c>
      <c r="AI520" s="158">
        <v>-9</v>
      </c>
    </row>
    <row r="521" spans="20:35" ht="15" x14ac:dyDescent="0.25">
      <c r="T521" s="331" t="str">
        <f>IF(OR(Protokoll!$X$5&lt;&gt;"",Lokalbeskrivn!$M$4&lt;&gt;""),"",U521)</f>
        <v/>
      </c>
      <c r="U521" s="351" t="s">
        <v>1512</v>
      </c>
      <c r="Y521" s="402" t="s">
        <v>2523</v>
      </c>
      <c r="Z521" s="402" t="s">
        <v>2523</v>
      </c>
      <c r="AB521" s="472" t="str">
        <f>IF(COUNT(AB513:AB520)&gt;0,MAX(AB513:AB520)+1,"")</f>
        <v/>
      </c>
      <c r="AC521" s="433" t="str">
        <f>IF(AND(AH521&lt;&gt;"",AG521&lt;&gt;"",AI521&gt;0,AH521&gt;0),MAX(AC$2:AC520)+1,"XX")</f>
        <v>XX</v>
      </c>
      <c r="AD521" s="431" t="str">
        <f>IF('Antal &amp; Längder (vikter)'!$C$68&lt;&gt;"",'Antal &amp; Längder (vikter)'!$C$68,"XX")</f>
        <v>XX</v>
      </c>
      <c r="AE521" s="417" t="str">
        <f>IF(AND('Antal &amp; Längder (vikter)'!D$70&lt;&gt;"",ISNUMBER($AH521)),'Antal &amp; Längder (vikter)'!D$70,"")</f>
        <v/>
      </c>
      <c r="AF521" s="425" t="str">
        <f t="shared" si="18"/>
        <v/>
      </c>
      <c r="AG521" s="426" t="str">
        <f t="shared" si="19"/>
        <v/>
      </c>
      <c r="AH521" s="409" t="str">
        <f>IF('Antal &amp; Längder (vikter)'!E$71="Längd (mm)",IF('Antal &amp; Längder (vikter)'!E80&lt;&gt;"",'Antal &amp; Längder (vikter)'!E80,"XX"),"XX")</f>
        <v>XX</v>
      </c>
      <c r="AI521" s="158">
        <v>-9</v>
      </c>
    </row>
    <row r="522" spans="20:35" ht="15" x14ac:dyDescent="0.25">
      <c r="T522" s="331" t="str">
        <f>IF(OR(Protokoll!$X$5&lt;&gt;"",Lokalbeskrivn!$M$4&lt;&gt;""),"",U522)</f>
        <v/>
      </c>
      <c r="U522" s="351" t="s">
        <v>1518</v>
      </c>
      <c r="Y522" s="402" t="s">
        <v>1558</v>
      </c>
      <c r="Z522" s="402" t="s">
        <v>1557</v>
      </c>
      <c r="AB522" s="479" t="str">
        <f>IF(COUNT(AB513:AB521)&gt;0,MAX(AB513:AB521)+1,"")</f>
        <v/>
      </c>
      <c r="AC522" s="433" t="str">
        <f>IF(AND(AH522&lt;&gt;"",AG522&lt;&gt;"",AI522&gt;0,AH522&gt;0),MAX(AC$2:AC521)+1,"XX")</f>
        <v>XX</v>
      </c>
      <c r="AD522" s="431" t="str">
        <f>IF('Antal &amp; Längder (vikter)'!$C$68&lt;&gt;"",'Antal &amp; Längder (vikter)'!$C$68,"XX")</f>
        <v>XX</v>
      </c>
      <c r="AE522" s="417" t="str">
        <f>IF(AND('Antal &amp; Längder (vikter)'!D$70&lt;&gt;"",ISNUMBER($AH522)),'Antal &amp; Längder (vikter)'!D$70,"")</f>
        <v/>
      </c>
      <c r="AF522" s="425" t="str">
        <f t="shared" si="18"/>
        <v/>
      </c>
      <c r="AG522" s="426" t="str">
        <f t="shared" si="19"/>
        <v/>
      </c>
      <c r="AH522" s="409" t="str">
        <f>IF('Antal &amp; Längder (vikter)'!E$71="Längd (mm)",IF('Antal &amp; Längder (vikter)'!E81&lt;&gt;"",'Antal &amp; Längder (vikter)'!E81,"XX"),"XX")</f>
        <v>XX</v>
      </c>
      <c r="AI522" s="158">
        <v>-9</v>
      </c>
    </row>
    <row r="523" spans="20:35" x14ac:dyDescent="0.25">
      <c r="T523" s="331" t="str">
        <f>IF(OR(Protokoll!$X$5&lt;&gt;"",Lokalbeskrivn!$M$4&lt;&gt;""),"",U523)</f>
        <v/>
      </c>
      <c r="U523" s="351" t="s">
        <v>1486</v>
      </c>
      <c r="Y523" s="402" t="s">
        <v>2125</v>
      </c>
      <c r="Z523" s="402" t="s">
        <v>2124</v>
      </c>
      <c r="AB523" s="480" t="str">
        <f>IF(AND(ISNUMBER(AH523),AH523&gt;0),IF(MAX(AB$3:AB522)&gt;0,MAX(AB$3:AB522)+1,10+COUNTIF(F$38:F$49,"&gt;0")*10+1),"")</f>
        <v/>
      </c>
      <c r="AC523" s="433" t="str">
        <f>IF(AND(AH523&lt;&gt;"",AG523&lt;&gt;"",AI523&gt;0,AH523&gt;0),MAX(AC$2:AC522)+1,"XX")</f>
        <v>XX</v>
      </c>
      <c r="AD523" s="431" t="str">
        <f>IF('Antal &amp; Längder (vikter)'!$C$68&lt;&gt;"",'Antal &amp; Längder (vikter)'!$C$68,"XX")</f>
        <v>XX</v>
      </c>
      <c r="AE523" s="421" t="str">
        <f>IF(AND('Antal &amp; Längder (vikter)'!F$70&lt;&gt;"",ISNUMBER($AH523)),'Antal &amp; Längder (vikter)'!F$70,"")</f>
        <v/>
      </c>
      <c r="AF523" s="425" t="str">
        <f t="shared" si="18"/>
        <v/>
      </c>
      <c r="AG523" s="426" t="str">
        <f t="shared" si="19"/>
        <v/>
      </c>
      <c r="AH523" s="407" t="str">
        <f>IF('Antal &amp; Längder (vikter)'!F72&lt;&gt;"",'Antal &amp; Längder (vikter)'!F72,"XX")</f>
        <v>XX</v>
      </c>
      <c r="AI523" s="405">
        <f>IF('Antal &amp; Längder (vikter)'!G$71="Vikt (g)",IF('Antal &amp; Längder (vikter)'!G72&lt;&gt;"",'Antal &amp; Längder (vikter)'!G72,-9),-9)</f>
        <v>-9</v>
      </c>
    </row>
    <row r="524" spans="20:35" x14ac:dyDescent="0.25">
      <c r="T524" s="331" t="str">
        <f>IF(OR(Protokoll!$X$5&lt;&gt;"",Lokalbeskrivn!$M$4&lt;&gt;""),"",U524)</f>
        <v/>
      </c>
      <c r="U524" s="351" t="s">
        <v>1487</v>
      </c>
      <c r="Y524" s="402" t="s">
        <v>2127</v>
      </c>
      <c r="Z524" s="402" t="s">
        <v>2126</v>
      </c>
      <c r="AB524" s="476" t="str">
        <f>IF(COUNT(AB523:AB523)&gt;0,MAX(AB523:AB523)+1,"")</f>
        <v/>
      </c>
      <c r="AC524" s="433" t="str">
        <f>IF(AND(AH524&lt;&gt;"",AG524&lt;&gt;"",AI524&gt;0,AH524&gt;0),MAX(AC$2:AC523)+1,"XX")</f>
        <v>XX</v>
      </c>
      <c r="AD524" s="431" t="str">
        <f>IF('Antal &amp; Längder (vikter)'!$C$68&lt;&gt;"",'Antal &amp; Längder (vikter)'!$C$68,"XX")</f>
        <v>XX</v>
      </c>
      <c r="AE524" s="421" t="str">
        <f>IF(AND('Antal &amp; Längder (vikter)'!F$70&lt;&gt;"",ISNUMBER($AH524)),'Antal &amp; Längder (vikter)'!F$70,"")</f>
        <v/>
      </c>
      <c r="AF524" s="425" t="str">
        <f t="shared" si="18"/>
        <v/>
      </c>
      <c r="AG524" s="426" t="str">
        <f t="shared" si="19"/>
        <v/>
      </c>
      <c r="AH524" s="407" t="str">
        <f>IF('Antal &amp; Längder (vikter)'!F73&lt;&gt;"",'Antal &amp; Längder (vikter)'!F73,"XX")</f>
        <v>XX</v>
      </c>
      <c r="AI524" s="405">
        <f>IF('Antal &amp; Längder (vikter)'!G$71="Vikt (g)",IF('Antal &amp; Längder (vikter)'!G73&lt;&gt;"",'Antal &amp; Längder (vikter)'!G73,-9),-9)</f>
        <v>-9</v>
      </c>
    </row>
    <row r="525" spans="20:35" x14ac:dyDescent="0.25">
      <c r="T525" s="331" t="str">
        <f>IF(OR(Protokoll!$X$5&lt;&gt;"",Lokalbeskrivn!$M$4&lt;&gt;""),"",U525)</f>
        <v/>
      </c>
      <c r="U525" s="351" t="s">
        <v>1488</v>
      </c>
      <c r="Y525" s="402" t="s">
        <v>2129</v>
      </c>
      <c r="Z525" s="402" t="s">
        <v>2128</v>
      </c>
      <c r="AB525" s="477" t="str">
        <f>IF(COUNT(AB523:AB524)&gt;0,MAX(AB523:AB524)+1,"")</f>
        <v/>
      </c>
      <c r="AC525" s="433" t="str">
        <f>IF(AND(AH525&lt;&gt;"",AG525&lt;&gt;"",AI525&gt;0,AH525&gt;0),MAX(AC$2:AC524)+1,"XX")</f>
        <v>XX</v>
      </c>
      <c r="AD525" s="431" t="str">
        <f>IF('Antal &amp; Längder (vikter)'!$C$68&lt;&gt;"",'Antal &amp; Längder (vikter)'!$C$68,"XX")</f>
        <v>XX</v>
      </c>
      <c r="AE525" s="421" t="str">
        <f>IF(AND('Antal &amp; Längder (vikter)'!F$70&lt;&gt;"",ISNUMBER($AH525)),'Antal &amp; Längder (vikter)'!F$70,"")</f>
        <v/>
      </c>
      <c r="AF525" s="425" t="str">
        <f t="shared" si="18"/>
        <v/>
      </c>
      <c r="AG525" s="426" t="str">
        <f t="shared" si="19"/>
        <v/>
      </c>
      <c r="AH525" s="407" t="str">
        <f>IF('Antal &amp; Längder (vikter)'!F74&lt;&gt;"",'Antal &amp; Längder (vikter)'!F74,"XX")</f>
        <v>XX</v>
      </c>
      <c r="AI525" s="405">
        <f>IF('Antal &amp; Längder (vikter)'!G$71="Vikt (g)",IF('Antal &amp; Längder (vikter)'!G74&lt;&gt;"",'Antal &amp; Längder (vikter)'!G74,-9),-9)</f>
        <v>-9</v>
      </c>
    </row>
    <row r="526" spans="20:35" x14ac:dyDescent="0.25">
      <c r="T526" s="331" t="str">
        <f>IF(OR(Protokoll!$X$5&lt;&gt;"",Lokalbeskrivn!$M$4&lt;&gt;""),"",U526)</f>
        <v/>
      </c>
      <c r="U526" s="351" t="s">
        <v>1489</v>
      </c>
      <c r="Y526" s="402" t="s">
        <v>2371</v>
      </c>
      <c r="Z526" s="402" t="s">
        <v>2370</v>
      </c>
      <c r="AB526" s="434" t="str">
        <f>IF(COUNT(AB523:AB525)&gt;0,MAX(AB523:AB525)+1,"")</f>
        <v/>
      </c>
      <c r="AC526" s="433" t="str">
        <f>IF(AND(AH526&lt;&gt;"",AG526&lt;&gt;"",AI526&gt;0,AH526&gt;0),MAX(AC$2:AC525)+1,"XX")</f>
        <v>XX</v>
      </c>
      <c r="AD526" s="431" t="str">
        <f>IF('Antal &amp; Längder (vikter)'!$C$68&lt;&gt;"",'Antal &amp; Längder (vikter)'!$C$68,"XX")</f>
        <v>XX</v>
      </c>
      <c r="AE526" s="421" t="str">
        <f>IF(AND('Antal &amp; Längder (vikter)'!F$70&lt;&gt;"",ISNUMBER($AH526)),'Antal &amp; Längder (vikter)'!F$70,"")</f>
        <v/>
      </c>
      <c r="AF526" s="425" t="str">
        <f t="shared" si="18"/>
        <v/>
      </c>
      <c r="AG526" s="426" t="str">
        <f t="shared" si="19"/>
        <v/>
      </c>
      <c r="AH526" s="407" t="str">
        <f>IF('Antal &amp; Längder (vikter)'!F75&lt;&gt;"",'Antal &amp; Längder (vikter)'!F75,"XX")</f>
        <v>XX</v>
      </c>
      <c r="AI526" s="405">
        <f>IF('Antal &amp; Längder (vikter)'!G$71="Vikt (g)",IF('Antal &amp; Längder (vikter)'!G75&lt;&gt;"",'Antal &amp; Längder (vikter)'!G75,-9),-9)</f>
        <v>-9</v>
      </c>
    </row>
    <row r="527" spans="20:35" x14ac:dyDescent="0.25">
      <c r="Y527" s="402" t="s">
        <v>2373</v>
      </c>
      <c r="Z527" s="402" t="s">
        <v>2372</v>
      </c>
      <c r="AB527" s="475" t="str">
        <f>IF(COUNT(AB523:AB526)&gt;0,MAX(AB523:AB526)+1,"")</f>
        <v/>
      </c>
      <c r="AC527" s="433" t="str">
        <f>IF(AND(AH527&lt;&gt;"",AG527&lt;&gt;"",AI527&gt;0,AH527&gt;0),MAX(AC$2:AC526)+1,"XX")</f>
        <v>XX</v>
      </c>
      <c r="AD527" s="431" t="str">
        <f>IF('Antal &amp; Längder (vikter)'!$C$68&lt;&gt;"",'Antal &amp; Längder (vikter)'!$C$68,"XX")</f>
        <v>XX</v>
      </c>
      <c r="AE527" s="421" t="str">
        <f>IF(AND('Antal &amp; Längder (vikter)'!F$70&lt;&gt;"",ISNUMBER($AH527)),'Antal &amp; Längder (vikter)'!F$70,"")</f>
        <v/>
      </c>
      <c r="AF527" s="425" t="str">
        <f t="shared" si="18"/>
        <v/>
      </c>
      <c r="AG527" s="426" t="str">
        <f t="shared" si="19"/>
        <v/>
      </c>
      <c r="AH527" s="407" t="str">
        <f>IF('Antal &amp; Längder (vikter)'!F76&lt;&gt;"",'Antal &amp; Längder (vikter)'!F76,"XX")</f>
        <v>XX</v>
      </c>
      <c r="AI527" s="405">
        <f>IF('Antal &amp; Längder (vikter)'!G$71="Vikt (g)",IF('Antal &amp; Längder (vikter)'!G76&lt;&gt;"",'Antal &amp; Längder (vikter)'!G76,-9),-9)</f>
        <v>-9</v>
      </c>
    </row>
    <row r="528" spans="20:35" x14ac:dyDescent="0.25">
      <c r="Y528" s="402" t="s">
        <v>1560</v>
      </c>
      <c r="Z528" s="402" t="s">
        <v>1559</v>
      </c>
      <c r="AB528" s="471" t="str">
        <f>IF(COUNT(AB523:AB527)&gt;0,MAX(AB523:AB527)+1,"")</f>
        <v/>
      </c>
      <c r="AC528" s="433" t="str">
        <f>IF(AND(AH528&lt;&gt;"",AG528&lt;&gt;"",AI528&gt;0,AH528&gt;0),MAX(AC$2:AC527)+1,"XX")</f>
        <v>XX</v>
      </c>
      <c r="AD528" s="431" t="str">
        <f>IF('Antal &amp; Längder (vikter)'!$C$68&lt;&gt;"",'Antal &amp; Längder (vikter)'!$C$68,"XX")</f>
        <v>XX</v>
      </c>
      <c r="AE528" s="421" t="str">
        <f>IF(AND('Antal &amp; Längder (vikter)'!F$70&lt;&gt;"",ISNUMBER($AH528)),'Antal &amp; Längder (vikter)'!F$70,"")</f>
        <v/>
      </c>
      <c r="AF528" s="425" t="str">
        <f t="shared" si="18"/>
        <v/>
      </c>
      <c r="AG528" s="426" t="str">
        <f t="shared" si="19"/>
        <v/>
      </c>
      <c r="AH528" s="407" t="str">
        <f>IF('Antal &amp; Längder (vikter)'!F77&lt;&gt;"",'Antal &amp; Längder (vikter)'!F77,"XX")</f>
        <v>XX</v>
      </c>
      <c r="AI528" s="405">
        <f>IF('Antal &amp; Längder (vikter)'!G$71="Vikt (g)",IF('Antal &amp; Längder (vikter)'!G77&lt;&gt;"",'Antal &amp; Längder (vikter)'!G77,-9),-9)</f>
        <v>-9</v>
      </c>
    </row>
    <row r="529" spans="25:35" x14ac:dyDescent="0.25">
      <c r="Y529" s="402" t="s">
        <v>2131</v>
      </c>
      <c r="Z529" s="402" t="s">
        <v>2130</v>
      </c>
      <c r="AB529" s="474" t="str">
        <f>IF(COUNT(AB523:AB528)&gt;0,MAX(AB523:AB528)+1,"")</f>
        <v/>
      </c>
      <c r="AC529" s="433" t="str">
        <f>IF(AND(AH529&lt;&gt;"",AG529&lt;&gt;"",AI529&gt;0,AH529&gt;0),MAX(AC$2:AC528)+1,"XX")</f>
        <v>XX</v>
      </c>
      <c r="AD529" s="431" t="str">
        <f>IF('Antal &amp; Längder (vikter)'!$C$68&lt;&gt;"",'Antal &amp; Längder (vikter)'!$C$68,"XX")</f>
        <v>XX</v>
      </c>
      <c r="AE529" s="421" t="str">
        <f>IF(AND('Antal &amp; Längder (vikter)'!F$70&lt;&gt;"",ISNUMBER($AH529)),'Antal &amp; Längder (vikter)'!F$70,"")</f>
        <v/>
      </c>
      <c r="AF529" s="425" t="str">
        <f t="shared" si="18"/>
        <v/>
      </c>
      <c r="AG529" s="426" t="str">
        <f t="shared" si="19"/>
        <v/>
      </c>
      <c r="AH529" s="407" t="str">
        <f>IF('Antal &amp; Längder (vikter)'!F78&lt;&gt;"",'Antal &amp; Längder (vikter)'!F78,"XX")</f>
        <v>XX</v>
      </c>
      <c r="AI529" s="405">
        <f>IF('Antal &amp; Längder (vikter)'!G$71="Vikt (g)",IF('Antal &amp; Längder (vikter)'!G78&lt;&gt;"",'Antal &amp; Längder (vikter)'!G78,-9),-9)</f>
        <v>-9</v>
      </c>
    </row>
    <row r="530" spans="25:35" x14ac:dyDescent="0.25">
      <c r="Y530" s="402" t="s">
        <v>2133</v>
      </c>
      <c r="Z530" s="402" t="s">
        <v>2132</v>
      </c>
      <c r="AB530" s="478" t="str">
        <f>IF(COUNT(AB523:AB529)&gt;0,MAX(AB523:AB529)+1,"")</f>
        <v/>
      </c>
      <c r="AC530" s="433" t="str">
        <f>IF(AND(AH530&lt;&gt;"",AG530&lt;&gt;"",AI530&gt;0,AH530&gt;0),MAX(AC$2:AC529)+1,"XX")</f>
        <v>XX</v>
      </c>
      <c r="AD530" s="431" t="str">
        <f>IF('Antal &amp; Längder (vikter)'!$C$68&lt;&gt;"",'Antal &amp; Längder (vikter)'!$C$68,"XX")</f>
        <v>XX</v>
      </c>
      <c r="AE530" s="421" t="str">
        <f>IF(AND('Antal &amp; Längder (vikter)'!F$70&lt;&gt;"",ISNUMBER($AH530)),'Antal &amp; Längder (vikter)'!F$70,"")</f>
        <v/>
      </c>
      <c r="AF530" s="425" t="str">
        <f t="shared" si="18"/>
        <v/>
      </c>
      <c r="AG530" s="426" t="str">
        <f t="shared" si="19"/>
        <v/>
      </c>
      <c r="AH530" s="407" t="str">
        <f>IF('Antal &amp; Längder (vikter)'!F79&lt;&gt;"",'Antal &amp; Längder (vikter)'!F79,"XX")</f>
        <v>XX</v>
      </c>
      <c r="AI530" s="405">
        <f>IF('Antal &amp; Längder (vikter)'!G$71="Vikt (g)",IF('Antal &amp; Längder (vikter)'!G79&lt;&gt;"",'Antal &amp; Längder (vikter)'!G79,-9),-9)</f>
        <v>-9</v>
      </c>
    </row>
    <row r="531" spans="25:35" x14ac:dyDescent="0.25">
      <c r="Y531" s="402" t="s">
        <v>1562</v>
      </c>
      <c r="Z531" s="402" t="s">
        <v>1561</v>
      </c>
      <c r="AB531" s="472" t="str">
        <f>IF(COUNT(AB523:AB530)&gt;0,MAX(AB523:AB530)+1,"")</f>
        <v/>
      </c>
      <c r="AC531" s="433" t="str">
        <f>IF(AND(AH531&lt;&gt;"",AG531&lt;&gt;"",AI531&gt;0,AH531&gt;0),MAX(AC$2:AC530)+1,"XX")</f>
        <v>XX</v>
      </c>
      <c r="AD531" s="431" t="str">
        <f>IF('Antal &amp; Längder (vikter)'!$C$68&lt;&gt;"",'Antal &amp; Längder (vikter)'!$C$68,"XX")</f>
        <v>XX</v>
      </c>
      <c r="AE531" s="421" t="str">
        <f>IF(AND('Antal &amp; Längder (vikter)'!F$70&lt;&gt;"",ISNUMBER($AH531)),'Antal &amp; Längder (vikter)'!F$70,"")</f>
        <v/>
      </c>
      <c r="AF531" s="425" t="str">
        <f t="shared" si="18"/>
        <v/>
      </c>
      <c r="AG531" s="426" t="str">
        <f t="shared" si="19"/>
        <v/>
      </c>
      <c r="AH531" s="407" t="str">
        <f>IF('Antal &amp; Längder (vikter)'!F80&lt;&gt;"",'Antal &amp; Längder (vikter)'!F80,"XX")</f>
        <v>XX</v>
      </c>
      <c r="AI531" s="405">
        <f>IF('Antal &amp; Längder (vikter)'!G$71="Vikt (g)",IF('Antal &amp; Längder (vikter)'!G80&lt;&gt;"",'Antal &amp; Längder (vikter)'!G80,-9),-9)</f>
        <v>-9</v>
      </c>
    </row>
    <row r="532" spans="25:35" x14ac:dyDescent="0.25">
      <c r="Y532" s="402" t="s">
        <v>1564</v>
      </c>
      <c r="Z532" s="402" t="s">
        <v>1563</v>
      </c>
      <c r="AB532" s="479" t="str">
        <f>IF(COUNT(AB523:AB531)&gt;0,MAX(AB523:AB531)+1,"")</f>
        <v/>
      </c>
      <c r="AC532" s="433" t="str">
        <f>IF(AND(AH532&lt;&gt;"",AG532&lt;&gt;"",AI532&gt;0,AH532&gt;0),MAX(AC$2:AC531)+1,"XX")</f>
        <v>XX</v>
      </c>
      <c r="AD532" s="431" t="str">
        <f>IF('Antal &amp; Längder (vikter)'!$C$68&lt;&gt;"",'Antal &amp; Längder (vikter)'!$C$68,"XX")</f>
        <v>XX</v>
      </c>
      <c r="AE532" s="421" t="str">
        <f>IF(AND('Antal &amp; Längder (vikter)'!F$70&lt;&gt;"",ISNUMBER($AH532)),'Antal &amp; Längder (vikter)'!F$70,"")</f>
        <v/>
      </c>
      <c r="AF532" s="425" t="str">
        <f t="shared" si="18"/>
        <v/>
      </c>
      <c r="AG532" s="426" t="str">
        <f t="shared" si="19"/>
        <v/>
      </c>
      <c r="AH532" s="407" t="str">
        <f>IF('Antal &amp; Längder (vikter)'!F81&lt;&gt;"",'Antal &amp; Längder (vikter)'!F81,"XX")</f>
        <v>XX</v>
      </c>
      <c r="AI532" s="405">
        <f>IF('Antal &amp; Längder (vikter)'!G$71="Vikt (g)",IF('Antal &amp; Längder (vikter)'!G81&lt;&gt;"",'Antal &amp; Längder (vikter)'!G81,-9),-9)</f>
        <v>-9</v>
      </c>
    </row>
    <row r="533" spans="25:35" ht="15" x14ac:dyDescent="0.25">
      <c r="Y533" s="402" t="s">
        <v>1566</v>
      </c>
      <c r="Z533" s="402" t="s">
        <v>1565</v>
      </c>
      <c r="AB533" s="480" t="str">
        <f>IF(AND(ISNUMBER(AH533),AH533&gt;0),IF(MAX(AB$3:AB532)&gt;0,MAX(AB$3:AB532)+1,10+COUNTIF(F$38:F$49,"&gt;0")*10+1),"")</f>
        <v/>
      </c>
      <c r="AC533" s="433" t="str">
        <f>IF(AND(AH533&lt;&gt;"",AG533&lt;&gt;"",AI533&gt;0,AH533&gt;0),MAX(AC$2:AC532)+1,"XX")</f>
        <v>XX</v>
      </c>
      <c r="AD533" s="431" t="str">
        <f>IF('Antal &amp; Längder (vikter)'!$C$68&lt;&gt;"",'Antal &amp; Längder (vikter)'!$C$68,"XX")</f>
        <v>XX</v>
      </c>
      <c r="AE533" s="421" t="str">
        <f>IF(AND('Antal &amp; Längder (vikter)'!F$70&lt;&gt;"",ISNUMBER($AH533)),'Antal &amp; Längder (vikter)'!F$70,"")</f>
        <v/>
      </c>
      <c r="AF533" s="425" t="str">
        <f t="shared" si="18"/>
        <v/>
      </c>
      <c r="AG533" s="426" t="str">
        <f t="shared" si="19"/>
        <v/>
      </c>
      <c r="AH533" s="409" t="str">
        <f>IF('Antal &amp; Längder (vikter)'!G$71="Längd (mm)",IF('Antal &amp; Längder (vikter)'!G72&lt;&gt;"",'Antal &amp; Längder (vikter)'!G72,"XX"),"XX")</f>
        <v>XX</v>
      </c>
      <c r="AI533" s="158">
        <v>-9</v>
      </c>
    </row>
    <row r="534" spans="25:35" ht="15" x14ac:dyDescent="0.25">
      <c r="Y534" s="402" t="s">
        <v>2375</v>
      </c>
      <c r="Z534" s="402" t="s">
        <v>2374</v>
      </c>
      <c r="AB534" s="476" t="str">
        <f>IF(COUNT(AB533:AB533)&gt;0,MAX(AB533:AB533)+1,"")</f>
        <v/>
      </c>
      <c r="AC534" s="433" t="str">
        <f>IF(AND(AH534&lt;&gt;"",AG534&lt;&gt;"",AI534&gt;0,AH534&gt;0),MAX(AC$2:AC533)+1,"XX")</f>
        <v>XX</v>
      </c>
      <c r="AD534" s="431" t="str">
        <f>IF('Antal &amp; Längder (vikter)'!$C$68&lt;&gt;"",'Antal &amp; Längder (vikter)'!$C$68,"XX")</f>
        <v>XX</v>
      </c>
      <c r="AE534" s="421" t="str">
        <f>IF(AND('Antal &amp; Längder (vikter)'!F$70&lt;&gt;"",ISNUMBER($AH534)),'Antal &amp; Längder (vikter)'!F$70,"")</f>
        <v/>
      </c>
      <c r="AF534" s="425" t="str">
        <f t="shared" si="18"/>
        <v/>
      </c>
      <c r="AG534" s="426" t="str">
        <f t="shared" si="19"/>
        <v/>
      </c>
      <c r="AH534" s="409" t="str">
        <f>IF('Antal &amp; Längder (vikter)'!G$71="Längd (mm)",IF('Antal &amp; Längder (vikter)'!G73&lt;&gt;"",'Antal &amp; Längder (vikter)'!G73,"XX"),"XX")</f>
        <v>XX</v>
      </c>
      <c r="AI534" s="158">
        <v>-9</v>
      </c>
    </row>
    <row r="535" spans="25:35" ht="15" x14ac:dyDescent="0.25">
      <c r="Y535" s="402" t="s">
        <v>1568</v>
      </c>
      <c r="Z535" s="402" t="s">
        <v>1567</v>
      </c>
      <c r="AB535" s="477" t="str">
        <f>IF(COUNT(AB533:AB534)&gt;0,MAX(AB533:AB534)+1,"")</f>
        <v/>
      </c>
      <c r="AC535" s="433" t="str">
        <f>IF(AND(AH535&lt;&gt;"",AG535&lt;&gt;"",AI535&gt;0,AH535&gt;0),MAX(AC$2:AC534)+1,"XX")</f>
        <v>XX</v>
      </c>
      <c r="AD535" s="431" t="str">
        <f>IF('Antal &amp; Längder (vikter)'!$C$68&lt;&gt;"",'Antal &amp; Längder (vikter)'!$C$68,"XX")</f>
        <v>XX</v>
      </c>
      <c r="AE535" s="421" t="str">
        <f>IF(AND('Antal &amp; Längder (vikter)'!F$70&lt;&gt;"",ISNUMBER($AH535)),'Antal &amp; Längder (vikter)'!F$70,"")</f>
        <v/>
      </c>
      <c r="AF535" s="425" t="str">
        <f t="shared" si="18"/>
        <v/>
      </c>
      <c r="AG535" s="426" t="str">
        <f t="shared" si="19"/>
        <v/>
      </c>
      <c r="AH535" s="409" t="str">
        <f>IF('Antal &amp; Längder (vikter)'!G$71="Längd (mm)",IF('Antal &amp; Längder (vikter)'!G74&lt;&gt;"",'Antal &amp; Längder (vikter)'!G74,"XX"),"XX")</f>
        <v>XX</v>
      </c>
      <c r="AI535" s="158">
        <v>-9</v>
      </c>
    </row>
    <row r="536" spans="25:35" ht="15" x14ac:dyDescent="0.25">
      <c r="Y536" s="402" t="s">
        <v>1570</v>
      </c>
      <c r="Z536" s="402" t="s">
        <v>1569</v>
      </c>
      <c r="AB536" s="434" t="str">
        <f>IF(COUNT(AB533:AB535)&gt;0,MAX(AB533:AB535)+1,"")</f>
        <v/>
      </c>
      <c r="AC536" s="433" t="str">
        <f>IF(AND(AH536&lt;&gt;"",AG536&lt;&gt;"",AI536&gt;0,AH536&gt;0),MAX(AC$2:AC535)+1,"XX")</f>
        <v>XX</v>
      </c>
      <c r="AD536" s="431" t="str">
        <f>IF('Antal &amp; Längder (vikter)'!$C$68&lt;&gt;"",'Antal &amp; Längder (vikter)'!$C$68,"XX")</f>
        <v>XX</v>
      </c>
      <c r="AE536" s="421" t="str">
        <f>IF(AND('Antal &amp; Längder (vikter)'!F$70&lt;&gt;"",ISNUMBER($AH536)),'Antal &amp; Längder (vikter)'!F$70,"")</f>
        <v/>
      </c>
      <c r="AF536" s="425" t="str">
        <f t="shared" si="18"/>
        <v/>
      </c>
      <c r="AG536" s="426" t="str">
        <f t="shared" si="19"/>
        <v/>
      </c>
      <c r="AH536" s="409" t="str">
        <f>IF('Antal &amp; Längder (vikter)'!G$71="Längd (mm)",IF('Antal &amp; Längder (vikter)'!G75&lt;&gt;"",'Antal &amp; Längder (vikter)'!G75,"XX"),"XX")</f>
        <v>XX</v>
      </c>
      <c r="AI536" s="158">
        <v>-9</v>
      </c>
    </row>
    <row r="537" spans="25:35" ht="15" x14ac:dyDescent="0.25">
      <c r="Y537" s="402" t="s">
        <v>1572</v>
      </c>
      <c r="Z537" s="402" t="s">
        <v>1571</v>
      </c>
      <c r="AB537" s="475" t="str">
        <f>IF(COUNT(AB533:AB536)&gt;0,MAX(AB533:AB536)+1,"")</f>
        <v/>
      </c>
      <c r="AC537" s="433" t="str">
        <f>IF(AND(AH537&lt;&gt;"",AG537&lt;&gt;"",AI537&gt;0,AH537&gt;0),MAX(AC$2:AC536)+1,"XX")</f>
        <v>XX</v>
      </c>
      <c r="AD537" s="431" t="str">
        <f>IF('Antal &amp; Längder (vikter)'!$C$68&lt;&gt;"",'Antal &amp; Längder (vikter)'!$C$68,"XX")</f>
        <v>XX</v>
      </c>
      <c r="AE537" s="421" t="str">
        <f>IF(AND('Antal &amp; Längder (vikter)'!F$70&lt;&gt;"",ISNUMBER($AH537)),'Antal &amp; Längder (vikter)'!F$70,"")</f>
        <v/>
      </c>
      <c r="AF537" s="425" t="str">
        <f t="shared" si="18"/>
        <v/>
      </c>
      <c r="AG537" s="426" t="str">
        <f t="shared" si="19"/>
        <v/>
      </c>
      <c r="AH537" s="409" t="str">
        <f>IF('Antal &amp; Längder (vikter)'!G$71="Längd (mm)",IF('Antal &amp; Längder (vikter)'!G76&lt;&gt;"",'Antal &amp; Längder (vikter)'!G76,"XX"),"XX")</f>
        <v>XX</v>
      </c>
      <c r="AI537" s="158">
        <v>-9</v>
      </c>
    </row>
    <row r="538" spans="25:35" ht="15" x14ac:dyDescent="0.25">
      <c r="Y538" s="402" t="s">
        <v>1576</v>
      </c>
      <c r="Z538" s="402" t="s">
        <v>1575</v>
      </c>
      <c r="AB538" s="471" t="str">
        <f>IF(COUNT(AB533:AB537)&gt;0,MAX(AB533:AB537)+1,"")</f>
        <v/>
      </c>
      <c r="AC538" s="433" t="str">
        <f>IF(AND(AH538&lt;&gt;"",AG538&lt;&gt;"",AI538&gt;0,AH538&gt;0),MAX(AC$2:AC537)+1,"XX")</f>
        <v>XX</v>
      </c>
      <c r="AD538" s="431" t="str">
        <f>IF('Antal &amp; Längder (vikter)'!$C$68&lt;&gt;"",'Antal &amp; Längder (vikter)'!$C$68,"XX")</f>
        <v>XX</v>
      </c>
      <c r="AE538" s="421" t="str">
        <f>IF(AND('Antal &amp; Längder (vikter)'!F$70&lt;&gt;"",ISNUMBER($AH538)),'Antal &amp; Längder (vikter)'!F$70,"")</f>
        <v/>
      </c>
      <c r="AF538" s="425" t="str">
        <f t="shared" si="18"/>
        <v/>
      </c>
      <c r="AG538" s="426" t="str">
        <f t="shared" si="19"/>
        <v/>
      </c>
      <c r="AH538" s="409" t="str">
        <f>IF('Antal &amp; Längder (vikter)'!G$71="Längd (mm)",IF('Antal &amp; Längder (vikter)'!G77&lt;&gt;"",'Antal &amp; Längder (vikter)'!G77,"XX"),"XX")</f>
        <v>XX</v>
      </c>
      <c r="AI538" s="158">
        <v>-9</v>
      </c>
    </row>
    <row r="539" spans="25:35" ht="15" x14ac:dyDescent="0.25">
      <c r="Y539" s="402" t="s">
        <v>1578</v>
      </c>
      <c r="Z539" s="402" t="s">
        <v>1577</v>
      </c>
      <c r="AB539" s="474" t="str">
        <f>IF(COUNT(AB533:AB538)&gt;0,MAX(AB533:AB538)+1,"")</f>
        <v/>
      </c>
      <c r="AC539" s="433" t="str">
        <f>IF(AND(AH539&lt;&gt;"",AG539&lt;&gt;"",AI539&gt;0,AH539&gt;0),MAX(AC$2:AC538)+1,"XX")</f>
        <v>XX</v>
      </c>
      <c r="AD539" s="431" t="str">
        <f>IF('Antal &amp; Längder (vikter)'!$C$68&lt;&gt;"",'Antal &amp; Längder (vikter)'!$C$68,"XX")</f>
        <v>XX</v>
      </c>
      <c r="AE539" s="421" t="str">
        <f>IF(AND('Antal &amp; Längder (vikter)'!F$70&lt;&gt;"",ISNUMBER($AH539)),'Antal &amp; Längder (vikter)'!F$70,"")</f>
        <v/>
      </c>
      <c r="AF539" s="425" t="str">
        <f t="shared" si="18"/>
        <v/>
      </c>
      <c r="AG539" s="426" t="str">
        <f t="shared" si="19"/>
        <v/>
      </c>
      <c r="AH539" s="409" t="str">
        <f>IF('Antal &amp; Längder (vikter)'!G$71="Längd (mm)",IF('Antal &amp; Längder (vikter)'!G78&lt;&gt;"",'Antal &amp; Längder (vikter)'!G78,"XX"),"XX")</f>
        <v>XX</v>
      </c>
      <c r="AI539" s="158">
        <v>-9</v>
      </c>
    </row>
    <row r="540" spans="25:35" ht="15" x14ac:dyDescent="0.25">
      <c r="Y540" s="402" t="s">
        <v>1580</v>
      </c>
      <c r="Z540" s="402" t="s">
        <v>1579</v>
      </c>
      <c r="AB540" s="478" t="str">
        <f>IF(COUNT(AB533:AB539)&gt;0,MAX(AB533:AB539)+1,"")</f>
        <v/>
      </c>
      <c r="AC540" s="433" t="str">
        <f>IF(AND(AH540&lt;&gt;"",AG540&lt;&gt;"",AI540&gt;0,AH540&gt;0),MAX(AC$2:AC539)+1,"XX")</f>
        <v>XX</v>
      </c>
      <c r="AD540" s="431" t="str">
        <f>IF('Antal &amp; Längder (vikter)'!$C$68&lt;&gt;"",'Antal &amp; Längder (vikter)'!$C$68,"XX")</f>
        <v>XX</v>
      </c>
      <c r="AE540" s="421" t="str">
        <f>IF(AND('Antal &amp; Längder (vikter)'!F$70&lt;&gt;"",ISNUMBER($AH540)),'Antal &amp; Längder (vikter)'!F$70,"")</f>
        <v/>
      </c>
      <c r="AF540" s="425" t="str">
        <f t="shared" si="18"/>
        <v/>
      </c>
      <c r="AG540" s="426" t="str">
        <f t="shared" si="19"/>
        <v/>
      </c>
      <c r="AH540" s="409" t="str">
        <f>IF('Antal &amp; Längder (vikter)'!G$71="Längd (mm)",IF('Antal &amp; Längder (vikter)'!G79&lt;&gt;"",'Antal &amp; Längder (vikter)'!G79,"XX"),"XX")</f>
        <v>XX</v>
      </c>
      <c r="AI540" s="158">
        <v>-9</v>
      </c>
    </row>
    <row r="541" spans="25:35" ht="15" x14ac:dyDescent="0.25">
      <c r="Y541" s="402" t="s">
        <v>2135</v>
      </c>
      <c r="Z541" s="402" t="s">
        <v>2134</v>
      </c>
      <c r="AB541" s="472" t="str">
        <f>IF(COUNT(AB533:AB540)&gt;0,MAX(AB533:AB540)+1,"")</f>
        <v/>
      </c>
      <c r="AC541" s="433" t="str">
        <f>IF(AND(AH541&lt;&gt;"",AG541&lt;&gt;"",AI541&gt;0,AH541&gt;0),MAX(AC$2:AC540)+1,"XX")</f>
        <v>XX</v>
      </c>
      <c r="AD541" s="431" t="str">
        <f>IF('Antal &amp; Längder (vikter)'!$C$68&lt;&gt;"",'Antal &amp; Längder (vikter)'!$C$68,"XX")</f>
        <v>XX</v>
      </c>
      <c r="AE541" s="421" t="str">
        <f>IF(AND('Antal &amp; Längder (vikter)'!F$70&lt;&gt;"",ISNUMBER($AH541)),'Antal &amp; Längder (vikter)'!F$70,"")</f>
        <v/>
      </c>
      <c r="AF541" s="425" t="str">
        <f t="shared" si="18"/>
        <v/>
      </c>
      <c r="AG541" s="426" t="str">
        <f t="shared" si="19"/>
        <v/>
      </c>
      <c r="AH541" s="409" t="str">
        <f>IF('Antal &amp; Längder (vikter)'!G$71="Längd (mm)",IF('Antal &amp; Längder (vikter)'!G80&lt;&gt;"",'Antal &amp; Längder (vikter)'!G80,"XX"),"XX")</f>
        <v>XX</v>
      </c>
      <c r="AI541" s="158">
        <v>-9</v>
      </c>
    </row>
    <row r="542" spans="25:35" ht="15" x14ac:dyDescent="0.25">
      <c r="Y542" s="402" t="s">
        <v>2381</v>
      </c>
      <c r="Z542" s="402" t="s">
        <v>2380</v>
      </c>
      <c r="AB542" s="479" t="str">
        <f>IF(COUNT(AB533:AB541)&gt;0,MAX(AB533:AB541)+1,"")</f>
        <v/>
      </c>
      <c r="AC542" s="433" t="str">
        <f>IF(AND(AH542&lt;&gt;"",AG542&lt;&gt;"",AI542&gt;0,AH542&gt;0),MAX(AC$2:AC541)+1,"XX")</f>
        <v>XX</v>
      </c>
      <c r="AD542" s="431" t="str">
        <f>IF('Antal &amp; Längder (vikter)'!$C$68&lt;&gt;"",'Antal &amp; Längder (vikter)'!$C$68,"XX")</f>
        <v>XX</v>
      </c>
      <c r="AE542" s="421" t="str">
        <f>IF(AND('Antal &amp; Längder (vikter)'!F$70&lt;&gt;"",ISNUMBER($AH542)),'Antal &amp; Längder (vikter)'!F$70,"")</f>
        <v/>
      </c>
      <c r="AF542" s="425" t="str">
        <f t="shared" si="18"/>
        <v/>
      </c>
      <c r="AG542" s="426" t="str">
        <f t="shared" si="19"/>
        <v/>
      </c>
      <c r="AH542" s="409" t="str">
        <f>IF('Antal &amp; Längder (vikter)'!G$71="Längd (mm)",IF('Antal &amp; Längder (vikter)'!G81&lt;&gt;"",'Antal &amp; Längder (vikter)'!G81,"XX"),"XX")</f>
        <v>XX</v>
      </c>
      <c r="AI542" s="158">
        <v>-9</v>
      </c>
    </row>
    <row r="543" spans="25:35" x14ac:dyDescent="0.25">
      <c r="Y543" s="402" t="s">
        <v>1582</v>
      </c>
      <c r="Z543" s="402" t="s">
        <v>1581</v>
      </c>
      <c r="AB543" s="480" t="str">
        <f>IF(AND(ISNUMBER(AH543),AH543&gt;0),IF(MAX(AB$3:AB542)&gt;0,MAX(AB$3:AB542)+1,10+COUNTIF(F$38:F$49,"&gt;0")*10+1),"")</f>
        <v/>
      </c>
      <c r="AC543" s="433" t="str">
        <f>IF(AND(AH543&lt;&gt;"",AG543&lt;&gt;"",AI543&gt;0,AH543&gt;0),MAX(AC$2:AC542)+1,"XX")</f>
        <v>XX</v>
      </c>
      <c r="AD543" s="431" t="str">
        <f>IF('Antal &amp; Längder (vikter)'!$C$68&lt;&gt;"",'Antal &amp; Längder (vikter)'!$C$68,"XX")</f>
        <v>XX</v>
      </c>
      <c r="AE543" s="417" t="str">
        <f>IF(AND('Antal &amp; Längder (vikter)'!H$70&lt;&gt;"",ISNUMBER($AH543)),'Antal &amp; Längder (vikter)'!H$70,"")</f>
        <v/>
      </c>
      <c r="AF543" s="425" t="str">
        <f t="shared" si="18"/>
        <v/>
      </c>
      <c r="AG543" s="426" t="str">
        <f t="shared" si="19"/>
        <v/>
      </c>
      <c r="AH543" s="407" t="str">
        <f>IF('Antal &amp; Längder (vikter)'!H72&lt;&gt;"",'Antal &amp; Längder (vikter)'!H72,"XX")</f>
        <v>XX</v>
      </c>
      <c r="AI543" s="405">
        <f>IF('Antal &amp; Längder (vikter)'!I$71="Vikt (g)",IF('Antal &amp; Längder (vikter)'!I72&lt;&gt;"",'Antal &amp; Längder (vikter)'!I72,-9),-9)</f>
        <v>-9</v>
      </c>
    </row>
    <row r="544" spans="25:35" x14ac:dyDescent="0.25">
      <c r="Y544" s="402" t="s">
        <v>1584</v>
      </c>
      <c r="Z544" s="402" t="s">
        <v>1583</v>
      </c>
      <c r="AB544" s="476" t="str">
        <f>IF(COUNT(AB543:AB543)&gt;0,MAX(AB543:AB543)+1,"")</f>
        <v/>
      </c>
      <c r="AC544" s="433" t="str">
        <f>IF(AND(AH544&lt;&gt;"",AG544&lt;&gt;"",AI544&gt;0,AH544&gt;0),MAX(AC$2:AC543)+1,"XX")</f>
        <v>XX</v>
      </c>
      <c r="AD544" s="431" t="str">
        <f>IF('Antal &amp; Längder (vikter)'!$C$68&lt;&gt;"",'Antal &amp; Längder (vikter)'!$C$68,"XX")</f>
        <v>XX</v>
      </c>
      <c r="AE544" s="417" t="str">
        <f>IF(AND('Antal &amp; Längder (vikter)'!H$70&lt;&gt;"",ISNUMBER($AH544)),'Antal &amp; Längder (vikter)'!H$70,"")</f>
        <v/>
      </c>
      <c r="AF544" s="425" t="str">
        <f t="shared" si="18"/>
        <v/>
      </c>
      <c r="AG544" s="426" t="str">
        <f t="shared" si="19"/>
        <v/>
      </c>
      <c r="AH544" s="407" t="str">
        <f>IF('Antal &amp; Längder (vikter)'!H73&lt;&gt;"",'Antal &amp; Längder (vikter)'!H73,"XX")</f>
        <v>XX</v>
      </c>
      <c r="AI544" s="405">
        <f>IF('Antal &amp; Längder (vikter)'!I$71="Vikt (g)",IF('Antal &amp; Längder (vikter)'!I73&lt;&gt;"",'Antal &amp; Längder (vikter)'!I73,-9),-9)</f>
        <v>-9</v>
      </c>
    </row>
    <row r="545" spans="25:35" x14ac:dyDescent="0.25">
      <c r="Y545" s="402" t="s">
        <v>1586</v>
      </c>
      <c r="Z545" s="402" t="s">
        <v>1585</v>
      </c>
      <c r="AB545" s="477" t="str">
        <f>IF(COUNT(AB543:AB544)&gt;0,MAX(AB543:AB544)+1,"")</f>
        <v/>
      </c>
      <c r="AC545" s="433" t="str">
        <f>IF(AND(AH545&lt;&gt;"",AG545&lt;&gt;"",AI545&gt;0,AH545&gt;0),MAX(AC$2:AC544)+1,"XX")</f>
        <v>XX</v>
      </c>
      <c r="AD545" s="431" t="str">
        <f>IF('Antal &amp; Längder (vikter)'!$C$68&lt;&gt;"",'Antal &amp; Längder (vikter)'!$C$68,"XX")</f>
        <v>XX</v>
      </c>
      <c r="AE545" s="417" t="str">
        <f>IF(AND('Antal &amp; Längder (vikter)'!H$70&lt;&gt;"",ISNUMBER($AH545)),'Antal &amp; Längder (vikter)'!H$70,"")</f>
        <v/>
      </c>
      <c r="AF545" s="425" t="str">
        <f t="shared" si="18"/>
        <v/>
      </c>
      <c r="AG545" s="426" t="str">
        <f t="shared" si="19"/>
        <v/>
      </c>
      <c r="AH545" s="407" t="str">
        <f>IF('Antal &amp; Längder (vikter)'!H74&lt;&gt;"",'Antal &amp; Längder (vikter)'!H74,"XX")</f>
        <v>XX</v>
      </c>
      <c r="AI545" s="405">
        <f>IF('Antal &amp; Längder (vikter)'!I$71="Vikt (g)",IF('Antal &amp; Längder (vikter)'!I74&lt;&gt;"",'Antal &amp; Längder (vikter)'!I74,-9),-9)</f>
        <v>-9</v>
      </c>
    </row>
    <row r="546" spans="25:35" x14ac:dyDescent="0.25">
      <c r="Y546" s="402" t="s">
        <v>1588</v>
      </c>
      <c r="Z546" s="402" t="s">
        <v>1587</v>
      </c>
      <c r="AB546" s="434" t="str">
        <f>IF(COUNT(AB543:AB545)&gt;0,MAX(AB543:AB545)+1,"")</f>
        <v/>
      </c>
      <c r="AC546" s="433" t="str">
        <f>IF(AND(AH546&lt;&gt;"",AG546&lt;&gt;"",AI546&gt;0,AH546&gt;0),MAX(AC$2:AC545)+1,"XX")</f>
        <v>XX</v>
      </c>
      <c r="AD546" s="431" t="str">
        <f>IF('Antal &amp; Längder (vikter)'!$C$68&lt;&gt;"",'Antal &amp; Längder (vikter)'!$C$68,"XX")</f>
        <v>XX</v>
      </c>
      <c r="AE546" s="417" t="str">
        <f>IF(AND('Antal &amp; Längder (vikter)'!H$70&lt;&gt;"",ISNUMBER($AH546)),'Antal &amp; Längder (vikter)'!H$70,"")</f>
        <v/>
      </c>
      <c r="AF546" s="425" t="str">
        <f t="shared" si="18"/>
        <v/>
      </c>
      <c r="AG546" s="426" t="str">
        <f t="shared" si="19"/>
        <v/>
      </c>
      <c r="AH546" s="407" t="str">
        <f>IF('Antal &amp; Längder (vikter)'!H75&lt;&gt;"",'Antal &amp; Längder (vikter)'!H75,"XX")</f>
        <v>XX</v>
      </c>
      <c r="AI546" s="405">
        <f>IF('Antal &amp; Längder (vikter)'!I$71="Vikt (g)",IF('Antal &amp; Längder (vikter)'!I75&lt;&gt;"",'Antal &amp; Längder (vikter)'!I75,-9),-9)</f>
        <v>-9</v>
      </c>
    </row>
    <row r="547" spans="25:35" x14ac:dyDescent="0.25">
      <c r="Y547" s="402" t="s">
        <v>1590</v>
      </c>
      <c r="Z547" s="402" t="s">
        <v>1589</v>
      </c>
      <c r="AB547" s="475" t="str">
        <f>IF(COUNT(AB543:AB546)&gt;0,MAX(AB543:AB546)+1,"")</f>
        <v/>
      </c>
      <c r="AC547" s="433" t="str">
        <f>IF(AND(AH547&lt;&gt;"",AG547&lt;&gt;"",AI547&gt;0,AH547&gt;0),MAX(AC$2:AC546)+1,"XX")</f>
        <v>XX</v>
      </c>
      <c r="AD547" s="431" t="str">
        <f>IF('Antal &amp; Längder (vikter)'!$C$68&lt;&gt;"",'Antal &amp; Längder (vikter)'!$C$68,"XX")</f>
        <v>XX</v>
      </c>
      <c r="AE547" s="417" t="str">
        <f>IF(AND('Antal &amp; Längder (vikter)'!H$70&lt;&gt;"",ISNUMBER($AH547)),'Antal &amp; Längder (vikter)'!H$70,"")</f>
        <v/>
      </c>
      <c r="AF547" s="425" t="str">
        <f t="shared" si="18"/>
        <v/>
      </c>
      <c r="AG547" s="426" t="str">
        <f t="shared" si="19"/>
        <v/>
      </c>
      <c r="AH547" s="407" t="str">
        <f>IF('Antal &amp; Längder (vikter)'!H76&lt;&gt;"",'Antal &amp; Längder (vikter)'!H76,"XX")</f>
        <v>XX</v>
      </c>
      <c r="AI547" s="405">
        <f>IF('Antal &amp; Längder (vikter)'!I$71="Vikt (g)",IF('Antal &amp; Längder (vikter)'!I76&lt;&gt;"",'Antal &amp; Längder (vikter)'!I76,-9),-9)</f>
        <v>-9</v>
      </c>
    </row>
    <row r="548" spans="25:35" x14ac:dyDescent="0.25">
      <c r="Y548" s="402" t="s">
        <v>1592</v>
      </c>
      <c r="Z548" s="402" t="s">
        <v>1591</v>
      </c>
      <c r="AB548" s="471" t="str">
        <f>IF(COUNT(AB543:AB547)&gt;0,MAX(AB543:AB547)+1,"")</f>
        <v/>
      </c>
      <c r="AC548" s="433" t="str">
        <f>IF(AND(AH548&lt;&gt;"",AG548&lt;&gt;"",AI548&gt;0,AH548&gt;0),MAX(AC$2:AC547)+1,"XX")</f>
        <v>XX</v>
      </c>
      <c r="AD548" s="431" t="str">
        <f>IF('Antal &amp; Längder (vikter)'!$C$68&lt;&gt;"",'Antal &amp; Längder (vikter)'!$C$68,"XX")</f>
        <v>XX</v>
      </c>
      <c r="AE548" s="417" t="str">
        <f>IF(AND('Antal &amp; Längder (vikter)'!H$70&lt;&gt;"",ISNUMBER($AH548)),'Antal &amp; Längder (vikter)'!H$70,"")</f>
        <v/>
      </c>
      <c r="AF548" s="425" t="str">
        <f t="shared" si="18"/>
        <v/>
      </c>
      <c r="AG548" s="426" t="str">
        <f t="shared" si="19"/>
        <v/>
      </c>
      <c r="AH548" s="407" t="str">
        <f>IF('Antal &amp; Längder (vikter)'!H77&lt;&gt;"",'Antal &amp; Längder (vikter)'!H77,"XX")</f>
        <v>XX</v>
      </c>
      <c r="AI548" s="405">
        <f>IF('Antal &amp; Längder (vikter)'!I$71="Vikt (g)",IF('Antal &amp; Längder (vikter)'!I77&lt;&gt;"",'Antal &amp; Längder (vikter)'!I77,-9),-9)</f>
        <v>-9</v>
      </c>
    </row>
    <row r="549" spans="25:35" x14ac:dyDescent="0.25">
      <c r="Y549" s="402" t="s">
        <v>1594</v>
      </c>
      <c r="Z549" s="402" t="s">
        <v>1593</v>
      </c>
      <c r="AB549" s="474" t="str">
        <f>IF(COUNT(AB543:AB548)&gt;0,MAX(AB543:AB548)+1,"")</f>
        <v/>
      </c>
      <c r="AC549" s="433" t="str">
        <f>IF(AND(AH549&lt;&gt;"",AG549&lt;&gt;"",AI549&gt;0,AH549&gt;0),MAX(AC$2:AC548)+1,"XX")</f>
        <v>XX</v>
      </c>
      <c r="AD549" s="431" t="str">
        <f>IF('Antal &amp; Längder (vikter)'!$C$68&lt;&gt;"",'Antal &amp; Längder (vikter)'!$C$68,"XX")</f>
        <v>XX</v>
      </c>
      <c r="AE549" s="417" t="str">
        <f>IF(AND('Antal &amp; Längder (vikter)'!H$70&lt;&gt;"",ISNUMBER($AH549)),'Antal &amp; Längder (vikter)'!H$70,"")</f>
        <v/>
      </c>
      <c r="AF549" s="425" t="str">
        <f t="shared" si="18"/>
        <v/>
      </c>
      <c r="AG549" s="426" t="str">
        <f t="shared" si="19"/>
        <v/>
      </c>
      <c r="AH549" s="407" t="str">
        <f>IF('Antal &amp; Längder (vikter)'!H78&lt;&gt;"",'Antal &amp; Längder (vikter)'!H78,"XX")</f>
        <v>XX</v>
      </c>
      <c r="AI549" s="405">
        <f>IF('Antal &amp; Längder (vikter)'!I$71="Vikt (g)",IF('Antal &amp; Längder (vikter)'!I78&lt;&gt;"",'Antal &amp; Längder (vikter)'!I78,-9),-9)</f>
        <v>-9</v>
      </c>
    </row>
    <row r="550" spans="25:35" x14ac:dyDescent="0.25">
      <c r="Y550" s="402" t="s">
        <v>1596</v>
      </c>
      <c r="Z550" s="402" t="s">
        <v>1595</v>
      </c>
      <c r="AB550" s="478" t="str">
        <f>IF(COUNT(AB543:AB549)&gt;0,MAX(AB543:AB549)+1,"")</f>
        <v/>
      </c>
      <c r="AC550" s="433" t="str">
        <f>IF(AND(AH550&lt;&gt;"",AG550&lt;&gt;"",AI550&gt;0,AH550&gt;0),MAX(AC$2:AC549)+1,"XX")</f>
        <v>XX</v>
      </c>
      <c r="AD550" s="431" t="str">
        <f>IF('Antal &amp; Längder (vikter)'!$C$68&lt;&gt;"",'Antal &amp; Längder (vikter)'!$C$68,"XX")</f>
        <v>XX</v>
      </c>
      <c r="AE550" s="417" t="str">
        <f>IF(AND('Antal &amp; Längder (vikter)'!H$70&lt;&gt;"",ISNUMBER($AH550)),'Antal &amp; Längder (vikter)'!H$70,"")</f>
        <v/>
      </c>
      <c r="AF550" s="425" t="str">
        <f t="shared" si="18"/>
        <v/>
      </c>
      <c r="AG550" s="426" t="str">
        <f t="shared" si="19"/>
        <v/>
      </c>
      <c r="AH550" s="407" t="str">
        <f>IF('Antal &amp; Längder (vikter)'!H79&lt;&gt;"",'Antal &amp; Längder (vikter)'!H79,"XX")</f>
        <v>XX</v>
      </c>
      <c r="AI550" s="405">
        <f>IF('Antal &amp; Längder (vikter)'!I$71="Vikt (g)",IF('Antal &amp; Längder (vikter)'!I79&lt;&gt;"",'Antal &amp; Längder (vikter)'!I79,-9),-9)</f>
        <v>-9</v>
      </c>
    </row>
    <row r="551" spans="25:35" x14ac:dyDescent="0.25">
      <c r="Y551" s="402" t="s">
        <v>1598</v>
      </c>
      <c r="Z551" s="402" t="s">
        <v>1597</v>
      </c>
      <c r="AB551" s="472" t="str">
        <f>IF(COUNT(AB543:AB550)&gt;0,MAX(AB543:AB550)+1,"")</f>
        <v/>
      </c>
      <c r="AC551" s="433" t="str">
        <f>IF(AND(AH551&lt;&gt;"",AG551&lt;&gt;"",AI551&gt;0,AH551&gt;0),MAX(AC$2:AC550)+1,"XX")</f>
        <v>XX</v>
      </c>
      <c r="AD551" s="431" t="str">
        <f>IF('Antal &amp; Längder (vikter)'!$C$68&lt;&gt;"",'Antal &amp; Längder (vikter)'!$C$68,"XX")</f>
        <v>XX</v>
      </c>
      <c r="AE551" s="417" t="str">
        <f>IF(AND('Antal &amp; Längder (vikter)'!H$70&lt;&gt;"",ISNUMBER($AH551)),'Antal &amp; Längder (vikter)'!H$70,"")</f>
        <v/>
      </c>
      <c r="AF551" s="425" t="str">
        <f t="shared" si="18"/>
        <v/>
      </c>
      <c r="AG551" s="426" t="str">
        <f t="shared" si="19"/>
        <v/>
      </c>
      <c r="AH551" s="407" t="str">
        <f>IF('Antal &amp; Längder (vikter)'!H80&lt;&gt;"",'Antal &amp; Längder (vikter)'!H80,"XX")</f>
        <v>XX</v>
      </c>
      <c r="AI551" s="405">
        <f>IF('Antal &amp; Längder (vikter)'!I$71="Vikt (g)",IF('Antal &amp; Längder (vikter)'!I80&lt;&gt;"",'Antal &amp; Längder (vikter)'!I80,-9),-9)</f>
        <v>-9</v>
      </c>
    </row>
    <row r="552" spans="25:35" x14ac:dyDescent="0.25">
      <c r="Y552" s="402" t="s">
        <v>1600</v>
      </c>
      <c r="Z552" s="402" t="s">
        <v>1599</v>
      </c>
      <c r="AB552" s="479" t="str">
        <f>IF(COUNT(AB543:AB551)&gt;0,MAX(AB543:AB551)+1,"")</f>
        <v/>
      </c>
      <c r="AC552" s="433" t="str">
        <f>IF(AND(AH552&lt;&gt;"",AG552&lt;&gt;"",AI552&gt;0,AH552&gt;0),MAX(AC$2:AC551)+1,"XX")</f>
        <v>XX</v>
      </c>
      <c r="AD552" s="431" t="str">
        <f>IF('Antal &amp; Längder (vikter)'!$C$68&lt;&gt;"",'Antal &amp; Längder (vikter)'!$C$68,"XX")</f>
        <v>XX</v>
      </c>
      <c r="AE552" s="417" t="str">
        <f>IF(AND('Antal &amp; Längder (vikter)'!H$70&lt;&gt;"",ISNUMBER($AH552)),'Antal &amp; Längder (vikter)'!H$70,"")</f>
        <v/>
      </c>
      <c r="AF552" s="425" t="str">
        <f t="shared" si="18"/>
        <v/>
      </c>
      <c r="AG552" s="426" t="str">
        <f t="shared" si="19"/>
        <v/>
      </c>
      <c r="AH552" s="407" t="str">
        <f>IF('Antal &amp; Längder (vikter)'!H81&lt;&gt;"",'Antal &amp; Längder (vikter)'!H81,"XX")</f>
        <v>XX</v>
      </c>
      <c r="AI552" s="405">
        <f>IF('Antal &amp; Längder (vikter)'!I$71="Vikt (g)",IF('Antal &amp; Längder (vikter)'!I81&lt;&gt;"",'Antal &amp; Längder (vikter)'!I81,-9),-9)</f>
        <v>-9</v>
      </c>
    </row>
    <row r="553" spans="25:35" ht="15" x14ac:dyDescent="0.25">
      <c r="Y553" s="402" t="s">
        <v>1602</v>
      </c>
      <c r="Z553" s="402" t="s">
        <v>1601</v>
      </c>
      <c r="AB553" s="480" t="str">
        <f>IF(AND(ISNUMBER(AH553),AH553&gt;0),IF(MAX(AB$3:AB552)&gt;0,MAX(AB$3:AB552)+1,10+COUNTIF(F$38:F$49,"&gt;0")*10+1),"")</f>
        <v/>
      </c>
      <c r="AC553" s="433" t="str">
        <f>IF(AND(AH553&lt;&gt;"",AG553&lt;&gt;"",AI553&gt;0,AH553&gt;0),MAX(AC$2:AC552)+1,"XX")</f>
        <v>XX</v>
      </c>
      <c r="AD553" s="431" t="str">
        <f>IF('Antal &amp; Längder (vikter)'!$C$68&lt;&gt;"",'Antal &amp; Längder (vikter)'!$C$68,"XX")</f>
        <v>XX</v>
      </c>
      <c r="AE553" s="417" t="str">
        <f>IF(AND('Antal &amp; Längder (vikter)'!H$70&lt;&gt;"",ISNUMBER($AH553)),'Antal &amp; Längder (vikter)'!H$70,"")</f>
        <v/>
      </c>
      <c r="AF553" s="425" t="str">
        <f t="shared" si="18"/>
        <v/>
      </c>
      <c r="AG553" s="426" t="str">
        <f t="shared" si="19"/>
        <v/>
      </c>
      <c r="AH553" s="409" t="str">
        <f>IF('Antal &amp; Längder (vikter)'!I$71="Längd (mm)",IF('Antal &amp; Längder (vikter)'!I72&lt;&gt;"",'Antal &amp; Längder (vikter)'!I72,"XX"),"XX")</f>
        <v>XX</v>
      </c>
      <c r="AI553" s="158">
        <v>-9</v>
      </c>
    </row>
    <row r="554" spans="25:35" ht="15" x14ac:dyDescent="0.25">
      <c r="Y554" s="402" t="s">
        <v>1604</v>
      </c>
      <c r="Z554" s="402" t="s">
        <v>1603</v>
      </c>
      <c r="AB554" s="476" t="str">
        <f>IF(COUNT(AB553:AB553)&gt;0,MAX(AB553:AB553)+1,"")</f>
        <v/>
      </c>
      <c r="AC554" s="433" t="str">
        <f>IF(AND(AH554&lt;&gt;"",AG554&lt;&gt;"",AI554&gt;0,AH554&gt;0),MAX(AC$2:AC553)+1,"XX")</f>
        <v>XX</v>
      </c>
      <c r="AD554" s="431" t="str">
        <f>IF('Antal &amp; Längder (vikter)'!$C$68&lt;&gt;"",'Antal &amp; Längder (vikter)'!$C$68,"XX")</f>
        <v>XX</v>
      </c>
      <c r="AE554" s="417" t="str">
        <f>IF(AND('Antal &amp; Längder (vikter)'!H$70&lt;&gt;"",ISNUMBER($AH554)),'Antal &amp; Längder (vikter)'!H$70,"")</f>
        <v/>
      </c>
      <c r="AF554" s="425" t="str">
        <f t="shared" si="18"/>
        <v/>
      </c>
      <c r="AG554" s="426" t="str">
        <f t="shared" si="19"/>
        <v/>
      </c>
      <c r="AH554" s="409" t="str">
        <f>IF('Antal &amp; Längder (vikter)'!I$71="Längd (mm)",IF('Antal &amp; Längder (vikter)'!I73&lt;&gt;"",'Antal &amp; Längder (vikter)'!I73,"XX"),"XX")</f>
        <v>XX</v>
      </c>
      <c r="AI554" s="158">
        <v>-9</v>
      </c>
    </row>
    <row r="555" spans="25:35" ht="15" x14ac:dyDescent="0.25">
      <c r="Y555" s="402" t="s">
        <v>2379</v>
      </c>
      <c r="Z555" s="402" t="s">
        <v>2378</v>
      </c>
      <c r="AB555" s="477" t="str">
        <f>IF(COUNT(AB553:AB554)&gt;0,MAX(AB553:AB554)+1,"")</f>
        <v/>
      </c>
      <c r="AC555" s="433" t="str">
        <f>IF(AND(AH555&lt;&gt;"",AG555&lt;&gt;"",AI555&gt;0,AH555&gt;0),MAX(AC$2:AC554)+1,"XX")</f>
        <v>XX</v>
      </c>
      <c r="AD555" s="431" t="str">
        <f>IF('Antal &amp; Längder (vikter)'!$C$68&lt;&gt;"",'Antal &amp; Längder (vikter)'!$C$68,"XX")</f>
        <v>XX</v>
      </c>
      <c r="AE555" s="417" t="str">
        <f>IF(AND('Antal &amp; Längder (vikter)'!H$70&lt;&gt;"",ISNUMBER($AH555)),'Antal &amp; Längder (vikter)'!H$70,"")</f>
        <v/>
      </c>
      <c r="AF555" s="425" t="str">
        <f t="shared" si="18"/>
        <v/>
      </c>
      <c r="AG555" s="426" t="str">
        <f t="shared" si="19"/>
        <v/>
      </c>
      <c r="AH555" s="409" t="str">
        <f>IF('Antal &amp; Längder (vikter)'!I$71="Längd (mm)",IF('Antal &amp; Längder (vikter)'!I74&lt;&gt;"",'Antal &amp; Längder (vikter)'!I74,"XX"),"XX")</f>
        <v>XX</v>
      </c>
      <c r="AI555" s="158">
        <v>-9</v>
      </c>
    </row>
    <row r="556" spans="25:35" ht="15" x14ac:dyDescent="0.25">
      <c r="Y556" s="402" t="s">
        <v>2136</v>
      </c>
      <c r="Z556" s="402" t="s">
        <v>2136</v>
      </c>
      <c r="AB556" s="434" t="str">
        <f>IF(COUNT(AB553:AB555)&gt;0,MAX(AB553:AB555)+1,"")</f>
        <v/>
      </c>
      <c r="AC556" s="433" t="str">
        <f>IF(AND(AH556&lt;&gt;"",AG556&lt;&gt;"",AI556&gt;0,AH556&gt;0),MAX(AC$2:AC555)+1,"XX")</f>
        <v>XX</v>
      </c>
      <c r="AD556" s="431" t="str">
        <f>IF('Antal &amp; Längder (vikter)'!$C$68&lt;&gt;"",'Antal &amp; Längder (vikter)'!$C$68,"XX")</f>
        <v>XX</v>
      </c>
      <c r="AE556" s="417" t="str">
        <f>IF(AND('Antal &amp; Längder (vikter)'!H$70&lt;&gt;"",ISNUMBER($AH556)),'Antal &amp; Längder (vikter)'!H$70,"")</f>
        <v/>
      </c>
      <c r="AF556" s="425" t="str">
        <f t="shared" si="18"/>
        <v/>
      </c>
      <c r="AG556" s="426" t="str">
        <f t="shared" si="19"/>
        <v/>
      </c>
      <c r="AH556" s="409" t="str">
        <f>IF('Antal &amp; Längder (vikter)'!I$71="Längd (mm)",IF('Antal &amp; Längder (vikter)'!I75&lt;&gt;"",'Antal &amp; Längder (vikter)'!I75,"XX"),"XX")</f>
        <v>XX</v>
      </c>
      <c r="AI556" s="158">
        <v>-9</v>
      </c>
    </row>
    <row r="557" spans="25:35" ht="15" x14ac:dyDescent="0.25">
      <c r="Y557" s="402" t="s">
        <v>2138</v>
      </c>
      <c r="Z557" s="402" t="s">
        <v>2137</v>
      </c>
      <c r="AB557" s="475" t="str">
        <f>IF(COUNT(AB553:AB556)&gt;0,MAX(AB553:AB556)+1,"")</f>
        <v/>
      </c>
      <c r="AC557" s="433" t="str">
        <f>IF(AND(AH557&lt;&gt;"",AG557&lt;&gt;"",AI557&gt;0,AH557&gt;0),MAX(AC$2:AC556)+1,"XX")</f>
        <v>XX</v>
      </c>
      <c r="AD557" s="431" t="str">
        <f>IF('Antal &amp; Längder (vikter)'!$C$68&lt;&gt;"",'Antal &amp; Längder (vikter)'!$C$68,"XX")</f>
        <v>XX</v>
      </c>
      <c r="AE557" s="417" t="str">
        <f>IF(AND('Antal &amp; Längder (vikter)'!H$70&lt;&gt;"",ISNUMBER($AH557)),'Antal &amp; Längder (vikter)'!H$70,"")</f>
        <v/>
      </c>
      <c r="AF557" s="425" t="str">
        <f t="shared" si="18"/>
        <v/>
      </c>
      <c r="AG557" s="426" t="str">
        <f t="shared" si="19"/>
        <v/>
      </c>
      <c r="AH557" s="409" t="str">
        <f>IF('Antal &amp; Längder (vikter)'!I$71="Längd (mm)",IF('Antal &amp; Längder (vikter)'!I76&lt;&gt;"",'Antal &amp; Längder (vikter)'!I76,"XX"),"XX")</f>
        <v>XX</v>
      </c>
      <c r="AI557" s="158">
        <v>-9</v>
      </c>
    </row>
    <row r="558" spans="25:35" ht="15" x14ac:dyDescent="0.25">
      <c r="Y558" s="402" t="s">
        <v>1606</v>
      </c>
      <c r="Z558" s="402" t="s">
        <v>1605</v>
      </c>
      <c r="AB558" s="471" t="str">
        <f>IF(COUNT(AB553:AB557)&gt;0,MAX(AB553:AB557)+1,"")</f>
        <v/>
      </c>
      <c r="AC558" s="433" t="str">
        <f>IF(AND(AH558&lt;&gt;"",AG558&lt;&gt;"",AI558&gt;0,AH558&gt;0),MAX(AC$2:AC557)+1,"XX")</f>
        <v>XX</v>
      </c>
      <c r="AD558" s="431" t="str">
        <f>IF('Antal &amp; Längder (vikter)'!$C$68&lt;&gt;"",'Antal &amp; Längder (vikter)'!$C$68,"XX")</f>
        <v>XX</v>
      </c>
      <c r="AE558" s="417" t="str">
        <f>IF(AND('Antal &amp; Längder (vikter)'!H$70&lt;&gt;"",ISNUMBER($AH558)),'Antal &amp; Längder (vikter)'!H$70,"")</f>
        <v/>
      </c>
      <c r="AF558" s="425" t="str">
        <f t="shared" si="18"/>
        <v/>
      </c>
      <c r="AG558" s="426" t="str">
        <f t="shared" si="19"/>
        <v/>
      </c>
      <c r="AH558" s="409" t="str">
        <f>IF('Antal &amp; Längder (vikter)'!I$71="Längd (mm)",IF('Antal &amp; Längder (vikter)'!I77&lt;&gt;"",'Antal &amp; Längder (vikter)'!I77,"XX"),"XX")</f>
        <v>XX</v>
      </c>
      <c r="AI558" s="158">
        <v>-9</v>
      </c>
    </row>
    <row r="559" spans="25:35" ht="15" x14ac:dyDescent="0.25">
      <c r="Y559" s="402" t="s">
        <v>1608</v>
      </c>
      <c r="Z559" s="402" t="s">
        <v>1607</v>
      </c>
      <c r="AB559" s="474" t="str">
        <f>IF(COUNT(AB553:AB558)&gt;0,MAX(AB553:AB558)+1,"")</f>
        <v/>
      </c>
      <c r="AC559" s="433" t="str">
        <f>IF(AND(AH559&lt;&gt;"",AG559&lt;&gt;"",AI559&gt;0,AH559&gt;0),MAX(AC$2:AC558)+1,"XX")</f>
        <v>XX</v>
      </c>
      <c r="AD559" s="431" t="str">
        <f>IF('Antal &amp; Längder (vikter)'!$C$68&lt;&gt;"",'Antal &amp; Längder (vikter)'!$C$68,"XX")</f>
        <v>XX</v>
      </c>
      <c r="AE559" s="417" t="str">
        <f>IF(AND('Antal &amp; Längder (vikter)'!H$70&lt;&gt;"",ISNUMBER($AH559)),'Antal &amp; Längder (vikter)'!H$70,"")</f>
        <v/>
      </c>
      <c r="AF559" s="425" t="str">
        <f t="shared" si="18"/>
        <v/>
      </c>
      <c r="AG559" s="426" t="str">
        <f t="shared" si="19"/>
        <v/>
      </c>
      <c r="AH559" s="409" t="str">
        <f>IF('Antal &amp; Längder (vikter)'!I$71="Längd (mm)",IF('Antal &amp; Längder (vikter)'!I78&lt;&gt;"",'Antal &amp; Längder (vikter)'!I78,"XX"),"XX")</f>
        <v>XX</v>
      </c>
      <c r="AI559" s="158">
        <v>-9</v>
      </c>
    </row>
    <row r="560" spans="25:35" ht="15" x14ac:dyDescent="0.25">
      <c r="Y560" s="402" t="s">
        <v>2139</v>
      </c>
      <c r="Z560" s="402" t="s">
        <v>1609</v>
      </c>
      <c r="AB560" s="478" t="str">
        <f>IF(COUNT(AB553:AB559)&gt;0,MAX(AB553:AB559)+1,"")</f>
        <v/>
      </c>
      <c r="AC560" s="433" t="str">
        <f>IF(AND(AH560&lt;&gt;"",AG560&lt;&gt;"",AI560&gt;0,AH560&gt;0),MAX(AC$2:AC559)+1,"XX")</f>
        <v>XX</v>
      </c>
      <c r="AD560" s="431" t="str">
        <f>IF('Antal &amp; Längder (vikter)'!$C$68&lt;&gt;"",'Antal &amp; Längder (vikter)'!$C$68,"XX")</f>
        <v>XX</v>
      </c>
      <c r="AE560" s="417" t="str">
        <f>IF(AND('Antal &amp; Längder (vikter)'!H$70&lt;&gt;"",ISNUMBER($AH560)),'Antal &amp; Längder (vikter)'!H$70,"")</f>
        <v/>
      </c>
      <c r="AF560" s="425" t="str">
        <f t="shared" si="18"/>
        <v/>
      </c>
      <c r="AG560" s="426" t="str">
        <f t="shared" si="19"/>
        <v/>
      </c>
      <c r="AH560" s="409" t="str">
        <f>IF('Antal &amp; Längder (vikter)'!I$71="Längd (mm)",IF('Antal &amp; Längder (vikter)'!I79&lt;&gt;"",'Antal &amp; Längder (vikter)'!I79,"XX"),"XX")</f>
        <v>XX</v>
      </c>
      <c r="AI560" s="158">
        <v>-9</v>
      </c>
    </row>
    <row r="561" spans="25:35" ht="15" x14ac:dyDescent="0.25">
      <c r="Y561" s="402" t="s">
        <v>1613</v>
      </c>
      <c r="Z561" s="402" t="s">
        <v>1612</v>
      </c>
      <c r="AB561" s="472" t="str">
        <f>IF(COUNT(AB553:AB560)&gt;0,MAX(AB553:AB560)+1,"")</f>
        <v/>
      </c>
      <c r="AC561" s="433" t="str">
        <f>IF(AND(AH561&lt;&gt;"",AG561&lt;&gt;"",AI561&gt;0,AH561&gt;0),MAX(AC$2:AC560)+1,"XX")</f>
        <v>XX</v>
      </c>
      <c r="AD561" s="431" t="str">
        <f>IF('Antal &amp; Längder (vikter)'!$C$68&lt;&gt;"",'Antal &amp; Längder (vikter)'!$C$68,"XX")</f>
        <v>XX</v>
      </c>
      <c r="AE561" s="417" t="str">
        <f>IF(AND('Antal &amp; Längder (vikter)'!H$70&lt;&gt;"",ISNUMBER($AH561)),'Antal &amp; Längder (vikter)'!H$70,"")</f>
        <v/>
      </c>
      <c r="AF561" s="425" t="str">
        <f t="shared" si="18"/>
        <v/>
      </c>
      <c r="AG561" s="426" t="str">
        <f t="shared" si="19"/>
        <v/>
      </c>
      <c r="AH561" s="409" t="str">
        <f>IF('Antal &amp; Längder (vikter)'!I$71="Längd (mm)",IF('Antal &amp; Längder (vikter)'!I80&lt;&gt;"",'Antal &amp; Längder (vikter)'!I80,"XX"),"XX")</f>
        <v>XX</v>
      </c>
      <c r="AI561" s="158">
        <v>-9</v>
      </c>
    </row>
    <row r="562" spans="25:35" ht="15" x14ac:dyDescent="0.25">
      <c r="Y562" s="402" t="s">
        <v>1526</v>
      </c>
      <c r="Z562" s="402" t="s">
        <v>1614</v>
      </c>
      <c r="AB562" s="479" t="str">
        <f>IF(COUNT(AB553:AB561)&gt;0,MAX(AB553:AB561)+1,"")</f>
        <v/>
      </c>
      <c r="AC562" s="433" t="str">
        <f>IF(AND(AH562&lt;&gt;"",AG562&lt;&gt;"",AI562&gt;0,AH562&gt;0),MAX(AC$2:AC561)+1,"XX")</f>
        <v>XX</v>
      </c>
      <c r="AD562" s="431" t="str">
        <f>IF('Antal &amp; Längder (vikter)'!$C$68&lt;&gt;"",'Antal &amp; Längder (vikter)'!$C$68,"XX")</f>
        <v>XX</v>
      </c>
      <c r="AE562" s="417" t="str">
        <f>IF(AND('Antal &amp; Längder (vikter)'!H$70&lt;&gt;"",ISNUMBER($AH562)),'Antal &amp; Längder (vikter)'!H$70,"")</f>
        <v/>
      </c>
      <c r="AF562" s="425" t="str">
        <f t="shared" si="18"/>
        <v/>
      </c>
      <c r="AG562" s="426" t="str">
        <f t="shared" si="19"/>
        <v/>
      </c>
      <c r="AH562" s="409" t="str">
        <f>IF('Antal &amp; Längder (vikter)'!I$71="Längd (mm)",IF('Antal &amp; Längder (vikter)'!I81&lt;&gt;"",'Antal &amp; Längder (vikter)'!I81,"XX"),"XX")</f>
        <v>XX</v>
      </c>
      <c r="AI562" s="158">
        <v>-9</v>
      </c>
    </row>
    <row r="563" spans="25:35" x14ac:dyDescent="0.25">
      <c r="Y563" s="402" t="s">
        <v>1611</v>
      </c>
      <c r="Z563" s="402" t="s">
        <v>1610</v>
      </c>
      <c r="AB563" s="480" t="str">
        <f>IF(AND(ISNUMBER(AH563),AH563&gt;0),IF(MAX(AB$3:AB562)&gt;0,MAX(AB$3:AB562)+1,10+COUNTIF(F$38:F$49,"&gt;0")*10+1),"")</f>
        <v/>
      </c>
      <c r="AC563" s="433" t="str">
        <f>IF(AND(AH563&lt;&gt;"",AG563&lt;&gt;"",AI563&gt;0,AH563&gt;0),MAX(AC$2:AC562)+1,"XX")</f>
        <v>XX</v>
      </c>
      <c r="AD563" s="431" t="str">
        <f>IF('Antal &amp; Längder (vikter)'!$C$68&lt;&gt;"",'Antal &amp; Längder (vikter)'!$C$68,"XX")</f>
        <v>XX</v>
      </c>
      <c r="AE563" s="421" t="str">
        <f>IF(AND('Antal &amp; Längder (vikter)'!J$70&lt;&gt;"",ISNUMBER($AH563)),'Antal &amp; Längder (vikter)'!J$70,"")</f>
        <v/>
      </c>
      <c r="AF563" s="425" t="str">
        <f t="shared" si="18"/>
        <v/>
      </c>
      <c r="AG563" s="426" t="str">
        <f t="shared" si="19"/>
        <v/>
      </c>
      <c r="AH563" s="407" t="str">
        <f>IF('Antal &amp; Längder (vikter)'!J72&lt;&gt;"",'Antal &amp; Längder (vikter)'!J72,"XX")</f>
        <v>XX</v>
      </c>
      <c r="AI563" s="405">
        <f>IF('Antal &amp; Längder (vikter)'!K$71="Vikt (g)",IF('Antal &amp; Längder (vikter)'!K72&lt;&gt;"",'Antal &amp; Längder (vikter)'!K72,-9),-9)</f>
        <v>-9</v>
      </c>
    </row>
    <row r="564" spans="25:35" x14ac:dyDescent="0.25">
      <c r="Y564" s="402" t="s">
        <v>1574</v>
      </c>
      <c r="Z564" s="402" t="s">
        <v>1573</v>
      </c>
      <c r="AB564" s="476" t="str">
        <f>IF(COUNT(AB563:AB563)&gt;0,MAX(AB563:AB563)+1,"")</f>
        <v/>
      </c>
      <c r="AC564" s="433" t="str">
        <f>IF(AND(AH564&lt;&gt;"",AG564&lt;&gt;"",AI564&gt;0,AH564&gt;0),MAX(AC$2:AC563)+1,"XX")</f>
        <v>XX</v>
      </c>
      <c r="AD564" s="431" t="str">
        <f>IF('Antal &amp; Längder (vikter)'!$C$68&lt;&gt;"",'Antal &amp; Längder (vikter)'!$C$68,"XX")</f>
        <v>XX</v>
      </c>
      <c r="AE564" s="421" t="str">
        <f>IF(AND('Antal &amp; Längder (vikter)'!J$70&lt;&gt;"",ISNUMBER($AH564)),'Antal &amp; Längder (vikter)'!J$70,"")</f>
        <v/>
      </c>
      <c r="AF564" s="425" t="str">
        <f t="shared" si="18"/>
        <v/>
      </c>
      <c r="AG564" s="426" t="str">
        <f t="shared" si="19"/>
        <v/>
      </c>
      <c r="AH564" s="407" t="str">
        <f>IF('Antal &amp; Längder (vikter)'!J73&lt;&gt;"",'Antal &amp; Längder (vikter)'!J73,"XX")</f>
        <v>XX</v>
      </c>
      <c r="AI564" s="405">
        <f>IF('Antal &amp; Längder (vikter)'!K$71="Vikt (g)",IF('Antal &amp; Längder (vikter)'!K73&lt;&gt;"",'Antal &amp; Längder (vikter)'!K73,-9),-9)</f>
        <v>-9</v>
      </c>
    </row>
    <row r="565" spans="25:35" x14ac:dyDescent="0.25">
      <c r="Y565" s="402" t="s">
        <v>1616</v>
      </c>
      <c r="Z565" s="402" t="s">
        <v>1615</v>
      </c>
      <c r="AB565" s="477" t="str">
        <f>IF(COUNT(AB563:AB564)&gt;0,MAX(AB563:AB564)+1,"")</f>
        <v/>
      </c>
      <c r="AC565" s="433" t="str">
        <f>IF(AND(AH565&lt;&gt;"",AG565&lt;&gt;"",AI565&gt;0,AH565&gt;0),MAX(AC$2:AC564)+1,"XX")</f>
        <v>XX</v>
      </c>
      <c r="AD565" s="431" t="str">
        <f>IF('Antal &amp; Längder (vikter)'!$C$68&lt;&gt;"",'Antal &amp; Längder (vikter)'!$C$68,"XX")</f>
        <v>XX</v>
      </c>
      <c r="AE565" s="421" t="str">
        <f>IF(AND('Antal &amp; Längder (vikter)'!J$70&lt;&gt;"",ISNUMBER($AH565)),'Antal &amp; Längder (vikter)'!J$70,"")</f>
        <v/>
      </c>
      <c r="AF565" s="425" t="str">
        <f t="shared" si="18"/>
        <v/>
      </c>
      <c r="AG565" s="426" t="str">
        <f t="shared" si="19"/>
        <v/>
      </c>
      <c r="AH565" s="407" t="str">
        <f>IF('Antal &amp; Längder (vikter)'!J74&lt;&gt;"",'Antal &amp; Längder (vikter)'!J74,"XX")</f>
        <v>XX</v>
      </c>
      <c r="AI565" s="405">
        <f>IF('Antal &amp; Längder (vikter)'!K$71="Vikt (g)",IF('Antal &amp; Längder (vikter)'!K74&lt;&gt;"",'Antal &amp; Längder (vikter)'!K74,-9),-9)</f>
        <v>-9</v>
      </c>
    </row>
    <row r="566" spans="25:35" x14ac:dyDescent="0.25">
      <c r="Y566" s="402" t="s">
        <v>2383</v>
      </c>
      <c r="Z566" s="402" t="s">
        <v>2382</v>
      </c>
      <c r="AB566" s="434" t="str">
        <f>IF(COUNT(AB563:AB565)&gt;0,MAX(AB563:AB565)+1,"")</f>
        <v/>
      </c>
      <c r="AC566" s="433" t="str">
        <f>IF(AND(AH566&lt;&gt;"",AG566&lt;&gt;"",AI566&gt;0,AH566&gt;0),MAX(AC$2:AC565)+1,"XX")</f>
        <v>XX</v>
      </c>
      <c r="AD566" s="431" t="str">
        <f>IF('Antal &amp; Längder (vikter)'!$C$68&lt;&gt;"",'Antal &amp; Längder (vikter)'!$C$68,"XX")</f>
        <v>XX</v>
      </c>
      <c r="AE566" s="421" t="str">
        <f>IF(AND('Antal &amp; Längder (vikter)'!J$70&lt;&gt;"",ISNUMBER($AH566)),'Antal &amp; Längder (vikter)'!J$70,"")</f>
        <v/>
      </c>
      <c r="AF566" s="425" t="str">
        <f t="shared" si="18"/>
        <v/>
      </c>
      <c r="AG566" s="426" t="str">
        <f t="shared" si="19"/>
        <v/>
      </c>
      <c r="AH566" s="407" t="str">
        <f>IF('Antal &amp; Längder (vikter)'!J75&lt;&gt;"",'Antal &amp; Längder (vikter)'!J75,"XX")</f>
        <v>XX</v>
      </c>
      <c r="AI566" s="405">
        <f>IF('Antal &amp; Längder (vikter)'!K$71="Vikt (g)",IF('Antal &amp; Längder (vikter)'!K75&lt;&gt;"",'Antal &amp; Längder (vikter)'!K75,-9),-9)</f>
        <v>-9</v>
      </c>
    </row>
    <row r="567" spans="25:35" x14ac:dyDescent="0.25">
      <c r="Y567" s="402" t="s">
        <v>2140</v>
      </c>
      <c r="Z567" s="402" t="s">
        <v>1532</v>
      </c>
      <c r="AB567" s="475" t="str">
        <f>IF(COUNT(AB563:AB566)&gt;0,MAX(AB563:AB566)+1,"")</f>
        <v/>
      </c>
      <c r="AC567" s="433" t="str">
        <f>IF(AND(AH567&lt;&gt;"",AG567&lt;&gt;"",AI567&gt;0,AH567&gt;0),MAX(AC$2:AC566)+1,"XX")</f>
        <v>XX</v>
      </c>
      <c r="AD567" s="431" t="str">
        <f>IF('Antal &amp; Längder (vikter)'!$C$68&lt;&gt;"",'Antal &amp; Längder (vikter)'!$C$68,"XX")</f>
        <v>XX</v>
      </c>
      <c r="AE567" s="421" t="str">
        <f>IF(AND('Antal &amp; Längder (vikter)'!J$70&lt;&gt;"",ISNUMBER($AH567)),'Antal &amp; Längder (vikter)'!J$70,"")</f>
        <v/>
      </c>
      <c r="AF567" s="425" t="str">
        <f t="shared" si="18"/>
        <v/>
      </c>
      <c r="AG567" s="426" t="str">
        <f t="shared" si="19"/>
        <v/>
      </c>
      <c r="AH567" s="407" t="str">
        <f>IF('Antal &amp; Längder (vikter)'!J76&lt;&gt;"",'Antal &amp; Längder (vikter)'!J76,"XX")</f>
        <v>XX</v>
      </c>
      <c r="AI567" s="405">
        <f>IF('Antal &amp; Längder (vikter)'!K$71="Vikt (g)",IF('Antal &amp; Längder (vikter)'!K76&lt;&gt;"",'Antal &amp; Längder (vikter)'!K76,-9),-9)</f>
        <v>-9</v>
      </c>
    </row>
    <row r="568" spans="25:35" x14ac:dyDescent="0.25">
      <c r="Y568" s="402" t="s">
        <v>2142</v>
      </c>
      <c r="Z568" s="402" t="s">
        <v>2141</v>
      </c>
      <c r="AB568" s="471" t="str">
        <f>IF(COUNT(AB563:AB567)&gt;0,MAX(AB563:AB567)+1,"")</f>
        <v/>
      </c>
      <c r="AC568" s="433" t="str">
        <f>IF(AND(AH568&lt;&gt;"",AG568&lt;&gt;"",AI568&gt;0,AH568&gt;0),MAX(AC$2:AC567)+1,"XX")</f>
        <v>XX</v>
      </c>
      <c r="AD568" s="431" t="str">
        <f>IF('Antal &amp; Längder (vikter)'!$C$68&lt;&gt;"",'Antal &amp; Längder (vikter)'!$C$68,"XX")</f>
        <v>XX</v>
      </c>
      <c r="AE568" s="421" t="str">
        <f>IF(AND('Antal &amp; Längder (vikter)'!J$70&lt;&gt;"",ISNUMBER($AH568)),'Antal &amp; Längder (vikter)'!J$70,"")</f>
        <v/>
      </c>
      <c r="AF568" s="425" t="str">
        <f t="shared" si="18"/>
        <v/>
      </c>
      <c r="AG568" s="426" t="str">
        <f t="shared" si="19"/>
        <v/>
      </c>
      <c r="AH568" s="407" t="str">
        <f>IF('Antal &amp; Längder (vikter)'!J77&lt;&gt;"",'Antal &amp; Längder (vikter)'!J77,"XX")</f>
        <v>XX</v>
      </c>
      <c r="AI568" s="405">
        <f>IF('Antal &amp; Längder (vikter)'!K$71="Vikt (g)",IF('Antal &amp; Längder (vikter)'!K77&lt;&gt;"",'Antal &amp; Längder (vikter)'!K77,-9),-9)</f>
        <v>-9</v>
      </c>
    </row>
    <row r="569" spans="25:35" x14ac:dyDescent="0.25">
      <c r="Y569" s="402" t="s">
        <v>1618</v>
      </c>
      <c r="Z569" s="402" t="s">
        <v>1617</v>
      </c>
      <c r="AB569" s="474" t="str">
        <f>IF(COUNT(AB563:AB568)&gt;0,MAX(AB563:AB568)+1,"")</f>
        <v/>
      </c>
      <c r="AC569" s="433" t="str">
        <f>IF(AND(AH569&lt;&gt;"",AG569&lt;&gt;"",AI569&gt;0,AH569&gt;0),MAX(AC$2:AC568)+1,"XX")</f>
        <v>XX</v>
      </c>
      <c r="AD569" s="431" t="str">
        <f>IF('Antal &amp; Längder (vikter)'!$C$68&lt;&gt;"",'Antal &amp; Längder (vikter)'!$C$68,"XX")</f>
        <v>XX</v>
      </c>
      <c r="AE569" s="421" t="str">
        <f>IF(AND('Antal &amp; Längder (vikter)'!J$70&lt;&gt;"",ISNUMBER($AH569)),'Antal &amp; Längder (vikter)'!J$70,"")</f>
        <v/>
      </c>
      <c r="AF569" s="425" t="str">
        <f t="shared" si="18"/>
        <v/>
      </c>
      <c r="AG569" s="426" t="str">
        <f t="shared" si="19"/>
        <v/>
      </c>
      <c r="AH569" s="407" t="str">
        <f>IF('Antal &amp; Längder (vikter)'!J78&lt;&gt;"",'Antal &amp; Längder (vikter)'!J78,"XX")</f>
        <v>XX</v>
      </c>
      <c r="AI569" s="405">
        <f>IF('Antal &amp; Längder (vikter)'!K$71="Vikt (g)",IF('Antal &amp; Längder (vikter)'!K78&lt;&gt;"",'Antal &amp; Längder (vikter)'!K78,-9),-9)</f>
        <v>-9</v>
      </c>
    </row>
    <row r="570" spans="25:35" x14ac:dyDescent="0.25">
      <c r="Y570" s="402" t="s">
        <v>2385</v>
      </c>
      <c r="Z570" s="402" t="s">
        <v>2384</v>
      </c>
      <c r="AB570" s="478" t="str">
        <f>IF(COUNT(AB563:AB569)&gt;0,MAX(AB563:AB569)+1,"")</f>
        <v/>
      </c>
      <c r="AC570" s="433" t="str">
        <f>IF(AND(AH570&lt;&gt;"",AG570&lt;&gt;"",AI570&gt;0,AH570&gt;0),MAX(AC$2:AC569)+1,"XX")</f>
        <v>XX</v>
      </c>
      <c r="AD570" s="431" t="str">
        <f>IF('Antal &amp; Längder (vikter)'!$C$68&lt;&gt;"",'Antal &amp; Längder (vikter)'!$C$68,"XX")</f>
        <v>XX</v>
      </c>
      <c r="AE570" s="421" t="str">
        <f>IF(AND('Antal &amp; Längder (vikter)'!J$70&lt;&gt;"",ISNUMBER($AH570)),'Antal &amp; Längder (vikter)'!J$70,"")</f>
        <v/>
      </c>
      <c r="AF570" s="425" t="str">
        <f t="shared" si="18"/>
        <v/>
      </c>
      <c r="AG570" s="426" t="str">
        <f t="shared" si="19"/>
        <v/>
      </c>
      <c r="AH570" s="407" t="str">
        <f>IF('Antal &amp; Längder (vikter)'!J79&lt;&gt;"",'Antal &amp; Längder (vikter)'!J79,"XX")</f>
        <v>XX</v>
      </c>
      <c r="AI570" s="405">
        <f>IF('Antal &amp; Längder (vikter)'!K$71="Vikt (g)",IF('Antal &amp; Längder (vikter)'!K79&lt;&gt;"",'Antal &amp; Längder (vikter)'!K79,-9),-9)</f>
        <v>-9</v>
      </c>
    </row>
    <row r="571" spans="25:35" x14ac:dyDescent="0.25">
      <c r="Y571" s="402" t="s">
        <v>2387</v>
      </c>
      <c r="Z571" s="402" t="s">
        <v>2386</v>
      </c>
      <c r="AB571" s="472" t="str">
        <f>IF(COUNT(AB563:AB570)&gt;0,MAX(AB563:AB570)+1,"")</f>
        <v/>
      </c>
      <c r="AC571" s="433" t="str">
        <f>IF(AND(AH571&lt;&gt;"",AG571&lt;&gt;"",AI571&gt;0,AH571&gt;0),MAX(AC$2:AC570)+1,"XX")</f>
        <v>XX</v>
      </c>
      <c r="AD571" s="431" t="str">
        <f>IF('Antal &amp; Längder (vikter)'!$C$68&lt;&gt;"",'Antal &amp; Längder (vikter)'!$C$68,"XX")</f>
        <v>XX</v>
      </c>
      <c r="AE571" s="421" t="str">
        <f>IF(AND('Antal &amp; Längder (vikter)'!J$70&lt;&gt;"",ISNUMBER($AH571)),'Antal &amp; Längder (vikter)'!J$70,"")</f>
        <v/>
      </c>
      <c r="AF571" s="425" t="str">
        <f t="shared" si="18"/>
        <v/>
      </c>
      <c r="AG571" s="426" t="str">
        <f t="shared" si="19"/>
        <v/>
      </c>
      <c r="AH571" s="407" t="str">
        <f>IF('Antal &amp; Längder (vikter)'!J80&lt;&gt;"",'Antal &amp; Längder (vikter)'!J80,"XX")</f>
        <v>XX</v>
      </c>
      <c r="AI571" s="405">
        <f>IF('Antal &amp; Längder (vikter)'!K$71="Vikt (g)",IF('Antal &amp; Längder (vikter)'!K80&lt;&gt;"",'Antal &amp; Längder (vikter)'!K80,-9),-9)</f>
        <v>-9</v>
      </c>
    </row>
    <row r="572" spans="25:35" x14ac:dyDescent="0.25">
      <c r="Y572" s="402" t="s">
        <v>2144</v>
      </c>
      <c r="Z572" s="402" t="s">
        <v>2143</v>
      </c>
      <c r="AB572" s="479" t="str">
        <f>IF(COUNT(AB563:AB571)&gt;0,MAX(AB563:AB571)+1,"")</f>
        <v/>
      </c>
      <c r="AC572" s="433" t="str">
        <f>IF(AND(AH572&lt;&gt;"",AG572&lt;&gt;"",AI572&gt;0,AH572&gt;0),MAX(AC$2:AC571)+1,"XX")</f>
        <v>XX</v>
      </c>
      <c r="AD572" s="431" t="str">
        <f>IF('Antal &amp; Längder (vikter)'!$C$68&lt;&gt;"",'Antal &amp; Längder (vikter)'!$C$68,"XX")</f>
        <v>XX</v>
      </c>
      <c r="AE572" s="421" t="str">
        <f>IF(AND('Antal &amp; Längder (vikter)'!J$70&lt;&gt;"",ISNUMBER($AH572)),'Antal &amp; Längder (vikter)'!J$70,"")</f>
        <v/>
      </c>
      <c r="AF572" s="425" t="str">
        <f t="shared" si="18"/>
        <v/>
      </c>
      <c r="AG572" s="426" t="str">
        <f t="shared" si="19"/>
        <v/>
      </c>
      <c r="AH572" s="407" t="str">
        <f>IF('Antal &amp; Längder (vikter)'!J81&lt;&gt;"",'Antal &amp; Längder (vikter)'!J81,"XX")</f>
        <v>XX</v>
      </c>
      <c r="AI572" s="405">
        <f>IF('Antal &amp; Längder (vikter)'!K$71="Vikt (g)",IF('Antal &amp; Längder (vikter)'!K81&lt;&gt;"",'Antal &amp; Längder (vikter)'!K81,-9),-9)</f>
        <v>-9</v>
      </c>
    </row>
    <row r="573" spans="25:35" ht="15" x14ac:dyDescent="0.25">
      <c r="Y573" s="402" t="s">
        <v>2146</v>
      </c>
      <c r="Z573" s="402" t="s">
        <v>2145</v>
      </c>
      <c r="AB573" s="480" t="str">
        <f>IF(AND(ISNUMBER(AH573),AH573&gt;0),IF(MAX(AB$3:AB572)&gt;0,MAX(AB$3:AB572)+1,10+COUNTIF(F$38:F$49,"&gt;0")*10+1),"")</f>
        <v/>
      </c>
      <c r="AC573" s="433" t="str">
        <f>IF(AND(AH573&lt;&gt;"",AG573&lt;&gt;"",AI573&gt;0,AH573&gt;0),MAX(AC$2:AC572)+1,"XX")</f>
        <v>XX</v>
      </c>
      <c r="AD573" s="431" t="str">
        <f>IF('Antal &amp; Längder (vikter)'!$C$68&lt;&gt;"",'Antal &amp; Längder (vikter)'!$C$68,"XX")</f>
        <v>XX</v>
      </c>
      <c r="AE573" s="421" t="str">
        <f>IF(AND('Antal &amp; Längder (vikter)'!J$70&lt;&gt;"",ISNUMBER($AH573)),'Antal &amp; Längder (vikter)'!J$70,"")</f>
        <v/>
      </c>
      <c r="AF573" s="425" t="str">
        <f t="shared" si="18"/>
        <v/>
      </c>
      <c r="AG573" s="426" t="str">
        <f t="shared" si="19"/>
        <v/>
      </c>
      <c r="AH573" s="409" t="str">
        <f>IF('Antal &amp; Längder (vikter)'!K$71="Längd (mm)",IF('Antal &amp; Längder (vikter)'!K72&lt;&gt;"",'Antal &amp; Längder (vikter)'!K72,"XX"),"XX")</f>
        <v>XX</v>
      </c>
      <c r="AI573" s="158">
        <v>-9</v>
      </c>
    </row>
    <row r="574" spans="25:35" ht="15" x14ac:dyDescent="0.25">
      <c r="Y574" s="402" t="s">
        <v>1620</v>
      </c>
      <c r="Z574" s="402" t="s">
        <v>1619</v>
      </c>
      <c r="AB574" s="476" t="str">
        <f>IF(COUNT(AB573:AB573)&gt;0,MAX(AB573:AB573)+1,"")</f>
        <v/>
      </c>
      <c r="AC574" s="433" t="str">
        <f>IF(AND(AH574&lt;&gt;"",AG574&lt;&gt;"",AI574&gt;0,AH574&gt;0),MAX(AC$2:AC573)+1,"XX")</f>
        <v>XX</v>
      </c>
      <c r="AD574" s="431" t="str">
        <f>IF('Antal &amp; Längder (vikter)'!$C$68&lt;&gt;"",'Antal &amp; Längder (vikter)'!$C$68,"XX")</f>
        <v>XX</v>
      </c>
      <c r="AE574" s="421" t="str">
        <f>IF(AND('Antal &amp; Längder (vikter)'!J$70&lt;&gt;"",ISNUMBER($AH574)),'Antal &amp; Längder (vikter)'!J$70,"")</f>
        <v/>
      </c>
      <c r="AF574" s="425" t="str">
        <f t="shared" si="18"/>
        <v/>
      </c>
      <c r="AG574" s="426" t="str">
        <f t="shared" si="19"/>
        <v/>
      </c>
      <c r="AH574" s="409" t="str">
        <f>IF('Antal &amp; Längder (vikter)'!K$71="Längd (mm)",IF('Antal &amp; Längder (vikter)'!K73&lt;&gt;"",'Antal &amp; Längder (vikter)'!K73,"XX"),"XX")</f>
        <v>XX</v>
      </c>
      <c r="AI574" s="158">
        <v>-9</v>
      </c>
    </row>
    <row r="575" spans="25:35" ht="15" x14ac:dyDescent="0.25">
      <c r="Y575" s="402" t="s">
        <v>1622</v>
      </c>
      <c r="Z575" s="402" t="s">
        <v>1621</v>
      </c>
      <c r="AB575" s="477" t="str">
        <f>IF(COUNT(AB573:AB574)&gt;0,MAX(AB573:AB574)+1,"")</f>
        <v/>
      </c>
      <c r="AC575" s="433" t="str">
        <f>IF(AND(AH575&lt;&gt;"",AG575&lt;&gt;"",AI575&gt;0,AH575&gt;0),MAX(AC$2:AC574)+1,"XX")</f>
        <v>XX</v>
      </c>
      <c r="AD575" s="431" t="str">
        <f>IF('Antal &amp; Längder (vikter)'!$C$68&lt;&gt;"",'Antal &amp; Längder (vikter)'!$C$68,"XX")</f>
        <v>XX</v>
      </c>
      <c r="AE575" s="421" t="str">
        <f>IF(AND('Antal &amp; Längder (vikter)'!J$70&lt;&gt;"",ISNUMBER($AH575)),'Antal &amp; Längder (vikter)'!J$70,"")</f>
        <v/>
      </c>
      <c r="AF575" s="425" t="str">
        <f t="shared" si="18"/>
        <v/>
      </c>
      <c r="AG575" s="426" t="str">
        <f t="shared" si="19"/>
        <v/>
      </c>
      <c r="AH575" s="409" t="str">
        <f>IF('Antal &amp; Längder (vikter)'!K$71="Längd (mm)",IF('Antal &amp; Längder (vikter)'!K74&lt;&gt;"",'Antal &amp; Längder (vikter)'!K74,"XX"),"XX")</f>
        <v>XX</v>
      </c>
      <c r="AI575" s="158">
        <v>-9</v>
      </c>
    </row>
    <row r="576" spans="25:35" ht="15" x14ac:dyDescent="0.25">
      <c r="Y576" s="402" t="s">
        <v>1624</v>
      </c>
      <c r="Z576" s="402" t="s">
        <v>1623</v>
      </c>
      <c r="AB576" s="434" t="str">
        <f>IF(COUNT(AB573:AB575)&gt;0,MAX(AB573:AB575)+1,"")</f>
        <v/>
      </c>
      <c r="AC576" s="433" t="str">
        <f>IF(AND(AH576&lt;&gt;"",AG576&lt;&gt;"",AI576&gt;0,AH576&gt;0),MAX(AC$2:AC575)+1,"XX")</f>
        <v>XX</v>
      </c>
      <c r="AD576" s="431" t="str">
        <f>IF('Antal &amp; Längder (vikter)'!$C$68&lt;&gt;"",'Antal &amp; Längder (vikter)'!$C$68,"XX")</f>
        <v>XX</v>
      </c>
      <c r="AE576" s="421" t="str">
        <f>IF(AND('Antal &amp; Längder (vikter)'!J$70&lt;&gt;"",ISNUMBER($AH576)),'Antal &amp; Längder (vikter)'!J$70,"")</f>
        <v/>
      </c>
      <c r="AF576" s="425" t="str">
        <f t="shared" si="18"/>
        <v/>
      </c>
      <c r="AG576" s="426" t="str">
        <f t="shared" si="19"/>
        <v/>
      </c>
      <c r="AH576" s="409" t="str">
        <f>IF('Antal &amp; Längder (vikter)'!K$71="Längd (mm)",IF('Antal &amp; Längder (vikter)'!K75&lt;&gt;"",'Antal &amp; Längder (vikter)'!K75,"XX"),"XX")</f>
        <v>XX</v>
      </c>
      <c r="AI576" s="158">
        <v>-9</v>
      </c>
    </row>
    <row r="577" spans="25:35" ht="15" x14ac:dyDescent="0.25">
      <c r="Y577" s="402" t="s">
        <v>2148</v>
      </c>
      <c r="Z577" s="403" t="s">
        <v>2147</v>
      </c>
      <c r="AB577" s="475" t="str">
        <f>IF(COUNT(AB573:AB576)&gt;0,MAX(AB573:AB576)+1,"")</f>
        <v/>
      </c>
      <c r="AC577" s="433" t="str">
        <f>IF(AND(AH577&lt;&gt;"",AG577&lt;&gt;"",AI577&gt;0,AH577&gt;0),MAX(AC$2:AC576)+1,"XX")</f>
        <v>XX</v>
      </c>
      <c r="AD577" s="431" t="str">
        <f>IF('Antal &amp; Längder (vikter)'!$C$68&lt;&gt;"",'Antal &amp; Längder (vikter)'!$C$68,"XX")</f>
        <v>XX</v>
      </c>
      <c r="AE577" s="421" t="str">
        <f>IF(AND('Antal &amp; Längder (vikter)'!J$70&lt;&gt;"",ISNUMBER($AH577)),'Antal &amp; Längder (vikter)'!J$70,"")</f>
        <v/>
      </c>
      <c r="AF577" s="425" t="str">
        <f t="shared" si="18"/>
        <v/>
      </c>
      <c r="AG577" s="426" t="str">
        <f t="shared" si="19"/>
        <v/>
      </c>
      <c r="AH577" s="409" t="str">
        <f>IF('Antal &amp; Längder (vikter)'!K$71="Längd (mm)",IF('Antal &amp; Längder (vikter)'!K76&lt;&gt;"",'Antal &amp; Längder (vikter)'!K76,"XX"),"XX")</f>
        <v>XX</v>
      </c>
      <c r="AI577" s="158">
        <v>-9</v>
      </c>
    </row>
    <row r="578" spans="25:35" ht="15" x14ac:dyDescent="0.25">
      <c r="Y578" s="402" t="s">
        <v>1626</v>
      </c>
      <c r="Z578" s="402" t="s">
        <v>1625</v>
      </c>
      <c r="AB578" s="471" t="str">
        <f>IF(COUNT(AB573:AB577)&gt;0,MAX(AB573:AB577)+1,"")</f>
        <v/>
      </c>
      <c r="AC578" s="433" t="str">
        <f>IF(AND(AH578&lt;&gt;"",AG578&lt;&gt;"",AI578&gt;0,AH578&gt;0),MAX(AC$2:AC577)+1,"XX")</f>
        <v>XX</v>
      </c>
      <c r="AD578" s="431" t="str">
        <f>IF('Antal &amp; Längder (vikter)'!$C$68&lt;&gt;"",'Antal &amp; Längder (vikter)'!$C$68,"XX")</f>
        <v>XX</v>
      </c>
      <c r="AE578" s="421" t="str">
        <f>IF(AND('Antal &amp; Längder (vikter)'!J$70&lt;&gt;"",ISNUMBER($AH578)),'Antal &amp; Längder (vikter)'!J$70,"")</f>
        <v/>
      </c>
      <c r="AF578" s="425" t="str">
        <f t="shared" si="18"/>
        <v/>
      </c>
      <c r="AG578" s="426" t="str">
        <f t="shared" si="19"/>
        <v/>
      </c>
      <c r="AH578" s="409" t="str">
        <f>IF('Antal &amp; Längder (vikter)'!K$71="Längd (mm)",IF('Antal &amp; Längder (vikter)'!K77&lt;&gt;"",'Antal &amp; Längder (vikter)'!K77,"XX"),"XX")</f>
        <v>XX</v>
      </c>
      <c r="AI578" s="158">
        <v>-9</v>
      </c>
    </row>
    <row r="579" spans="25:35" ht="15" x14ac:dyDescent="0.25">
      <c r="Y579" s="402" t="s">
        <v>1628</v>
      </c>
      <c r="Z579" s="402" t="s">
        <v>1627</v>
      </c>
      <c r="AB579" s="474" t="str">
        <f>IF(COUNT(AB573:AB578)&gt;0,MAX(AB573:AB578)+1,"")</f>
        <v/>
      </c>
      <c r="AC579" s="433" t="str">
        <f>IF(AND(AH579&lt;&gt;"",AG579&lt;&gt;"",AI579&gt;0,AH579&gt;0),MAX(AC$2:AC578)+1,"XX")</f>
        <v>XX</v>
      </c>
      <c r="AD579" s="431" t="str">
        <f>IF('Antal &amp; Längder (vikter)'!$C$68&lt;&gt;"",'Antal &amp; Längder (vikter)'!$C$68,"XX")</f>
        <v>XX</v>
      </c>
      <c r="AE579" s="421" t="str">
        <f>IF(AND('Antal &amp; Längder (vikter)'!J$70&lt;&gt;"",ISNUMBER($AH579)),'Antal &amp; Längder (vikter)'!J$70,"")</f>
        <v/>
      </c>
      <c r="AF579" s="425" t="str">
        <f t="shared" ref="AF579:AF642" si="20">IF(AND(ISNUMBER(AH579),AE579&lt;&gt;""),VLOOKUP(AE579,$N$2:$O$60,2,FALSE),"")</f>
        <v/>
      </c>
      <c r="AG579" s="426" t="str">
        <f t="shared" ref="AG579:AG642" si="21">IF(AF579&lt;&gt;"",VLOOKUP(AF579,O$2:U$60,7,FALSE),"")</f>
        <v/>
      </c>
      <c r="AH579" s="409" t="str">
        <f>IF('Antal &amp; Längder (vikter)'!K$71="Längd (mm)",IF('Antal &amp; Längder (vikter)'!K78&lt;&gt;"",'Antal &amp; Längder (vikter)'!K78,"XX"),"XX")</f>
        <v>XX</v>
      </c>
      <c r="AI579" s="158">
        <v>-9</v>
      </c>
    </row>
    <row r="580" spans="25:35" ht="15" x14ac:dyDescent="0.25">
      <c r="Y580" s="402" t="s">
        <v>1630</v>
      </c>
      <c r="Z580" s="402" t="s">
        <v>1629</v>
      </c>
      <c r="AB580" s="478" t="str">
        <f>IF(COUNT(AB573:AB579)&gt;0,MAX(AB573:AB579)+1,"")</f>
        <v/>
      </c>
      <c r="AC580" s="433" t="str">
        <f>IF(AND(AH580&lt;&gt;"",AG580&lt;&gt;"",AI580&gt;0,AH580&gt;0),MAX(AC$2:AC579)+1,"XX")</f>
        <v>XX</v>
      </c>
      <c r="AD580" s="431" t="str">
        <f>IF('Antal &amp; Längder (vikter)'!$C$68&lt;&gt;"",'Antal &amp; Längder (vikter)'!$C$68,"XX")</f>
        <v>XX</v>
      </c>
      <c r="AE580" s="421" t="str">
        <f>IF(AND('Antal &amp; Längder (vikter)'!J$70&lt;&gt;"",ISNUMBER($AH580)),'Antal &amp; Längder (vikter)'!J$70,"")</f>
        <v/>
      </c>
      <c r="AF580" s="425" t="str">
        <f t="shared" si="20"/>
        <v/>
      </c>
      <c r="AG580" s="426" t="str">
        <f t="shared" si="21"/>
        <v/>
      </c>
      <c r="AH580" s="409" t="str">
        <f>IF('Antal &amp; Längder (vikter)'!K$71="Längd (mm)",IF('Antal &amp; Längder (vikter)'!K79&lt;&gt;"",'Antal &amp; Längder (vikter)'!K79,"XX"),"XX")</f>
        <v>XX</v>
      </c>
      <c r="AI580" s="158">
        <v>-9</v>
      </c>
    </row>
    <row r="581" spans="25:35" ht="15" x14ac:dyDescent="0.25">
      <c r="Y581" s="402" t="s">
        <v>1632</v>
      </c>
      <c r="Z581" s="402" t="s">
        <v>1631</v>
      </c>
      <c r="AB581" s="472" t="str">
        <f>IF(COUNT(AB573:AB580)&gt;0,MAX(AB573:AB580)+1,"")</f>
        <v/>
      </c>
      <c r="AC581" s="433" t="str">
        <f>IF(AND(AH581&lt;&gt;"",AG581&lt;&gt;"",AI581&gt;0,AH581&gt;0),MAX(AC$2:AC580)+1,"XX")</f>
        <v>XX</v>
      </c>
      <c r="AD581" s="431" t="str">
        <f>IF('Antal &amp; Längder (vikter)'!$C$68&lt;&gt;"",'Antal &amp; Längder (vikter)'!$C$68,"XX")</f>
        <v>XX</v>
      </c>
      <c r="AE581" s="421" t="str">
        <f>IF(AND('Antal &amp; Längder (vikter)'!J$70&lt;&gt;"",ISNUMBER($AH581)),'Antal &amp; Längder (vikter)'!J$70,"")</f>
        <v/>
      </c>
      <c r="AF581" s="425" t="str">
        <f t="shared" si="20"/>
        <v/>
      </c>
      <c r="AG581" s="426" t="str">
        <f t="shared" si="21"/>
        <v/>
      </c>
      <c r="AH581" s="409" t="str">
        <f>IF('Antal &amp; Längder (vikter)'!K$71="Längd (mm)",IF('Antal &amp; Längder (vikter)'!K80&lt;&gt;"",'Antal &amp; Längder (vikter)'!K80,"XX"),"XX")</f>
        <v>XX</v>
      </c>
      <c r="AI581" s="158">
        <v>-9</v>
      </c>
    </row>
    <row r="582" spans="25:35" ht="15" x14ac:dyDescent="0.25">
      <c r="Y582" s="402" t="s">
        <v>1634</v>
      </c>
      <c r="Z582" s="402" t="s">
        <v>1633</v>
      </c>
      <c r="AB582" s="479" t="str">
        <f>IF(COUNT(AB573:AB581)&gt;0,MAX(AB573:AB581)+1,"")</f>
        <v/>
      </c>
      <c r="AC582" s="433" t="str">
        <f>IF(AND(AH582&lt;&gt;"",AG582&lt;&gt;"",AI582&gt;0,AH582&gt;0),MAX(AC$2:AC581)+1,"XX")</f>
        <v>XX</v>
      </c>
      <c r="AD582" s="431" t="str">
        <f>IF('Antal &amp; Längder (vikter)'!$C$68&lt;&gt;"",'Antal &amp; Längder (vikter)'!$C$68,"XX")</f>
        <v>XX</v>
      </c>
      <c r="AE582" s="421" t="str">
        <f>IF(AND('Antal &amp; Längder (vikter)'!J$70&lt;&gt;"",ISNUMBER($AH582)),'Antal &amp; Längder (vikter)'!J$70,"")</f>
        <v/>
      </c>
      <c r="AF582" s="425" t="str">
        <f t="shared" si="20"/>
        <v/>
      </c>
      <c r="AG582" s="426" t="str">
        <f t="shared" si="21"/>
        <v/>
      </c>
      <c r="AH582" s="409" t="str">
        <f>IF('Antal &amp; Längder (vikter)'!K$71="Längd (mm)",IF('Antal &amp; Längder (vikter)'!K81&lt;&gt;"",'Antal &amp; Längder (vikter)'!K81,"XX"),"XX")</f>
        <v>XX</v>
      </c>
      <c r="AI582" s="158">
        <v>-9</v>
      </c>
    </row>
    <row r="583" spans="25:35" x14ac:dyDescent="0.25">
      <c r="Y583" s="402" t="s">
        <v>1636</v>
      </c>
      <c r="Z583" s="402" t="s">
        <v>1635</v>
      </c>
      <c r="AB583" s="480" t="str">
        <f>IF(AND(ISNUMBER(AH583),AH583&gt;0),IF(MAX(AB$3:AB582)&gt;0,MAX(AB$3:AB582)+1,10+COUNTIF(F$38:F$49,"&gt;0")*10+1),"")</f>
        <v/>
      </c>
      <c r="AC583" s="433" t="str">
        <f>IF(AND(AH583&lt;&gt;"",AG583&lt;&gt;"",AI583&gt;0,AH583&gt;0),MAX(AC$2:AC582)+1,"XX")</f>
        <v>XX</v>
      </c>
      <c r="AD583" s="431" t="str">
        <f>IF('Antal &amp; Längder (vikter)'!$C$68&lt;&gt;"",'Antal &amp; Längder (vikter)'!$C$68,"XX")</f>
        <v>XX</v>
      </c>
      <c r="AE583" s="417" t="str">
        <f>IF(AND('Antal &amp; Längder (vikter)'!L$70&lt;&gt;"",ISNUMBER($AH583)),'Antal &amp; Längder (vikter)'!L$70,"")</f>
        <v/>
      </c>
      <c r="AF583" s="425" t="str">
        <f t="shared" si="20"/>
        <v/>
      </c>
      <c r="AG583" s="426" t="str">
        <f t="shared" si="21"/>
        <v/>
      </c>
      <c r="AH583" s="407" t="str">
        <f>IF('Antal &amp; Längder (vikter)'!L72&lt;&gt;"",'Antal &amp; Längder (vikter)'!L72,"XX")</f>
        <v>XX</v>
      </c>
      <c r="AI583" s="405">
        <f>IF('Antal &amp; Längder (vikter)'!M$71="Vikt (g)",IF('Antal &amp; Längder (vikter)'!M72&lt;&gt;"",'Antal &amp; Längder (vikter)'!M72,-9),-9)</f>
        <v>-9</v>
      </c>
    </row>
    <row r="584" spans="25:35" x14ac:dyDescent="0.25">
      <c r="Y584" s="402" t="s">
        <v>1638</v>
      </c>
      <c r="Z584" s="402" t="s">
        <v>1637</v>
      </c>
      <c r="AB584" s="476" t="str">
        <f>IF(COUNT(AB583:AB583)&gt;0,MAX(AB583:AB583)+1,"")</f>
        <v/>
      </c>
      <c r="AC584" s="433" t="str">
        <f>IF(AND(AH584&lt;&gt;"",AG584&lt;&gt;"",AI584&gt;0,AH584&gt;0),MAX(AC$2:AC583)+1,"XX")</f>
        <v>XX</v>
      </c>
      <c r="AD584" s="431" t="str">
        <f>IF('Antal &amp; Längder (vikter)'!$C$68&lt;&gt;"",'Antal &amp; Längder (vikter)'!$C$68,"XX")</f>
        <v>XX</v>
      </c>
      <c r="AE584" s="417" t="str">
        <f>IF(AND('Antal &amp; Längder (vikter)'!L$70&lt;&gt;"",ISNUMBER($AH584)),'Antal &amp; Längder (vikter)'!L$70,"")</f>
        <v/>
      </c>
      <c r="AF584" s="425" t="str">
        <f t="shared" si="20"/>
        <v/>
      </c>
      <c r="AG584" s="426" t="str">
        <f t="shared" si="21"/>
        <v/>
      </c>
      <c r="AH584" s="407" t="str">
        <f>IF('Antal &amp; Längder (vikter)'!L73&lt;&gt;"",'Antal &amp; Längder (vikter)'!L73,"XX")</f>
        <v>XX</v>
      </c>
      <c r="AI584" s="405">
        <f>IF('Antal &amp; Längder (vikter)'!M$71="Vikt (g)",IF('Antal &amp; Längder (vikter)'!M73&lt;&gt;"",'Antal &amp; Längder (vikter)'!M73,-9),-9)</f>
        <v>-9</v>
      </c>
    </row>
    <row r="585" spans="25:35" x14ac:dyDescent="0.25">
      <c r="Y585" s="402" t="s">
        <v>1640</v>
      </c>
      <c r="Z585" s="402" t="s">
        <v>1639</v>
      </c>
      <c r="AB585" s="477" t="str">
        <f>IF(COUNT(AB583:AB584)&gt;0,MAX(AB583:AB584)+1,"")</f>
        <v/>
      </c>
      <c r="AC585" s="433" t="str">
        <f>IF(AND(AH585&lt;&gt;"",AG585&lt;&gt;"",AI585&gt;0,AH585&gt;0),MAX(AC$2:AC584)+1,"XX")</f>
        <v>XX</v>
      </c>
      <c r="AD585" s="431" t="str">
        <f>IF('Antal &amp; Längder (vikter)'!$C$68&lt;&gt;"",'Antal &amp; Längder (vikter)'!$C$68,"XX")</f>
        <v>XX</v>
      </c>
      <c r="AE585" s="417" t="str">
        <f>IF(AND('Antal &amp; Längder (vikter)'!L$70&lt;&gt;"",ISNUMBER($AH585)),'Antal &amp; Längder (vikter)'!L$70,"")</f>
        <v/>
      </c>
      <c r="AF585" s="425" t="str">
        <f t="shared" si="20"/>
        <v/>
      </c>
      <c r="AG585" s="426" t="str">
        <f t="shared" si="21"/>
        <v/>
      </c>
      <c r="AH585" s="407" t="str">
        <f>IF('Antal &amp; Längder (vikter)'!L74&lt;&gt;"",'Antal &amp; Längder (vikter)'!L74,"XX")</f>
        <v>XX</v>
      </c>
      <c r="AI585" s="405">
        <f>IF('Antal &amp; Längder (vikter)'!M$71="Vikt (g)",IF('Antal &amp; Längder (vikter)'!M74&lt;&gt;"",'Antal &amp; Längder (vikter)'!M74,-9),-9)</f>
        <v>-9</v>
      </c>
    </row>
    <row r="586" spans="25:35" x14ac:dyDescent="0.25">
      <c r="Y586" s="402" t="s">
        <v>1642</v>
      </c>
      <c r="Z586" s="402" t="s">
        <v>1641</v>
      </c>
      <c r="AB586" s="434" t="str">
        <f>IF(COUNT(AB583:AB585)&gt;0,MAX(AB583:AB585)+1,"")</f>
        <v/>
      </c>
      <c r="AC586" s="433" t="str">
        <f>IF(AND(AH586&lt;&gt;"",AG586&lt;&gt;"",AI586&gt;0,AH586&gt;0),MAX(AC$2:AC585)+1,"XX")</f>
        <v>XX</v>
      </c>
      <c r="AD586" s="431" t="str">
        <f>IF('Antal &amp; Längder (vikter)'!$C$68&lt;&gt;"",'Antal &amp; Längder (vikter)'!$C$68,"XX")</f>
        <v>XX</v>
      </c>
      <c r="AE586" s="417" t="str">
        <f>IF(AND('Antal &amp; Längder (vikter)'!L$70&lt;&gt;"",ISNUMBER($AH586)),'Antal &amp; Längder (vikter)'!L$70,"")</f>
        <v/>
      </c>
      <c r="AF586" s="425" t="str">
        <f t="shared" si="20"/>
        <v/>
      </c>
      <c r="AG586" s="426" t="str">
        <f t="shared" si="21"/>
        <v/>
      </c>
      <c r="AH586" s="407" t="str">
        <f>IF('Antal &amp; Längder (vikter)'!L75&lt;&gt;"",'Antal &amp; Längder (vikter)'!L75,"XX")</f>
        <v>XX</v>
      </c>
      <c r="AI586" s="405">
        <f>IF('Antal &amp; Längder (vikter)'!M$71="Vikt (g)",IF('Antal &amp; Längder (vikter)'!M75&lt;&gt;"",'Antal &amp; Längder (vikter)'!M75,-9),-9)</f>
        <v>-9</v>
      </c>
    </row>
    <row r="587" spans="25:35" x14ac:dyDescent="0.25">
      <c r="Y587" s="402" t="s">
        <v>1644</v>
      </c>
      <c r="Z587" s="402" t="s">
        <v>1643</v>
      </c>
      <c r="AB587" s="475" t="str">
        <f>IF(COUNT(AB583:AB586)&gt;0,MAX(AB583:AB586)+1,"")</f>
        <v/>
      </c>
      <c r="AC587" s="433" t="str">
        <f>IF(AND(AH587&lt;&gt;"",AG587&lt;&gt;"",AI587&gt;0,AH587&gt;0),MAX(AC$2:AC586)+1,"XX")</f>
        <v>XX</v>
      </c>
      <c r="AD587" s="431" t="str">
        <f>IF('Antal &amp; Längder (vikter)'!$C$68&lt;&gt;"",'Antal &amp; Längder (vikter)'!$C$68,"XX")</f>
        <v>XX</v>
      </c>
      <c r="AE587" s="417" t="str">
        <f>IF(AND('Antal &amp; Längder (vikter)'!L$70&lt;&gt;"",ISNUMBER($AH587)),'Antal &amp; Längder (vikter)'!L$70,"")</f>
        <v/>
      </c>
      <c r="AF587" s="425" t="str">
        <f t="shared" si="20"/>
        <v/>
      </c>
      <c r="AG587" s="426" t="str">
        <f t="shared" si="21"/>
        <v/>
      </c>
      <c r="AH587" s="407" t="str">
        <f>IF('Antal &amp; Längder (vikter)'!L76&lt;&gt;"",'Antal &amp; Längder (vikter)'!L76,"XX")</f>
        <v>XX</v>
      </c>
      <c r="AI587" s="405">
        <f>IF('Antal &amp; Längder (vikter)'!M$71="Vikt (g)",IF('Antal &amp; Längder (vikter)'!M76&lt;&gt;"",'Antal &amp; Längder (vikter)'!M76,-9),-9)</f>
        <v>-9</v>
      </c>
    </row>
    <row r="588" spans="25:35" x14ac:dyDescent="0.25">
      <c r="Y588" s="402" t="s">
        <v>2395</v>
      </c>
      <c r="Z588" s="402" t="s">
        <v>2394</v>
      </c>
      <c r="AB588" s="471" t="str">
        <f>IF(COUNT(AB583:AB587)&gt;0,MAX(AB583:AB587)+1,"")</f>
        <v/>
      </c>
      <c r="AC588" s="433" t="str">
        <f>IF(AND(AH588&lt;&gt;"",AG588&lt;&gt;"",AI588&gt;0,AH588&gt;0),MAX(AC$2:AC587)+1,"XX")</f>
        <v>XX</v>
      </c>
      <c r="AD588" s="431" t="str">
        <f>IF('Antal &amp; Längder (vikter)'!$C$68&lt;&gt;"",'Antal &amp; Längder (vikter)'!$C$68,"XX")</f>
        <v>XX</v>
      </c>
      <c r="AE588" s="417" t="str">
        <f>IF(AND('Antal &amp; Längder (vikter)'!L$70&lt;&gt;"",ISNUMBER($AH588)),'Antal &amp; Längder (vikter)'!L$70,"")</f>
        <v/>
      </c>
      <c r="AF588" s="425" t="str">
        <f t="shared" si="20"/>
        <v/>
      </c>
      <c r="AG588" s="426" t="str">
        <f t="shared" si="21"/>
        <v/>
      </c>
      <c r="AH588" s="407" t="str">
        <f>IF('Antal &amp; Längder (vikter)'!L77&lt;&gt;"",'Antal &amp; Längder (vikter)'!L77,"XX")</f>
        <v>XX</v>
      </c>
      <c r="AI588" s="405">
        <f>IF('Antal &amp; Längder (vikter)'!M$71="Vikt (g)",IF('Antal &amp; Längder (vikter)'!M77&lt;&gt;"",'Antal &amp; Längder (vikter)'!M77,-9),-9)</f>
        <v>-9</v>
      </c>
    </row>
    <row r="589" spans="25:35" x14ac:dyDescent="0.25">
      <c r="Y589" s="402" t="s">
        <v>2406</v>
      </c>
      <c r="Z589" s="402" t="s">
        <v>2405</v>
      </c>
      <c r="AB589" s="474" t="str">
        <f>IF(COUNT(AB583:AB588)&gt;0,MAX(AB583:AB588)+1,"")</f>
        <v/>
      </c>
      <c r="AC589" s="433" t="str">
        <f>IF(AND(AH589&lt;&gt;"",AG589&lt;&gt;"",AI589&gt;0,AH589&gt;0),MAX(AC$2:AC588)+1,"XX")</f>
        <v>XX</v>
      </c>
      <c r="AD589" s="431" t="str">
        <f>IF('Antal &amp; Längder (vikter)'!$C$68&lt;&gt;"",'Antal &amp; Längder (vikter)'!$C$68,"XX")</f>
        <v>XX</v>
      </c>
      <c r="AE589" s="417" t="str">
        <f>IF(AND('Antal &amp; Längder (vikter)'!L$70&lt;&gt;"",ISNUMBER($AH589)),'Antal &amp; Längder (vikter)'!L$70,"")</f>
        <v/>
      </c>
      <c r="AF589" s="425" t="str">
        <f t="shared" si="20"/>
        <v/>
      </c>
      <c r="AG589" s="426" t="str">
        <f t="shared" si="21"/>
        <v/>
      </c>
      <c r="AH589" s="407" t="str">
        <f>IF('Antal &amp; Längder (vikter)'!L78&lt;&gt;"",'Antal &amp; Längder (vikter)'!L78,"XX")</f>
        <v>XX</v>
      </c>
      <c r="AI589" s="405">
        <f>IF('Antal &amp; Längder (vikter)'!M$71="Vikt (g)",IF('Antal &amp; Längder (vikter)'!M78&lt;&gt;"",'Antal &amp; Längder (vikter)'!M78,-9),-9)</f>
        <v>-9</v>
      </c>
    </row>
    <row r="590" spans="25:35" x14ac:dyDescent="0.25">
      <c r="Y590" s="402" t="s">
        <v>2407</v>
      </c>
      <c r="Z590" s="402" t="s">
        <v>1645</v>
      </c>
      <c r="AB590" s="478" t="str">
        <f>IF(COUNT(AB583:AB589)&gt;0,MAX(AB583:AB589)+1,"")</f>
        <v/>
      </c>
      <c r="AC590" s="433" t="str">
        <f>IF(AND(AH590&lt;&gt;"",AG590&lt;&gt;"",AI590&gt;0,AH590&gt;0),MAX(AC$2:AC589)+1,"XX")</f>
        <v>XX</v>
      </c>
      <c r="AD590" s="431" t="str">
        <f>IF('Antal &amp; Längder (vikter)'!$C$68&lt;&gt;"",'Antal &amp; Längder (vikter)'!$C$68,"XX")</f>
        <v>XX</v>
      </c>
      <c r="AE590" s="417" t="str">
        <f>IF(AND('Antal &amp; Längder (vikter)'!L$70&lt;&gt;"",ISNUMBER($AH590)),'Antal &amp; Längder (vikter)'!L$70,"")</f>
        <v/>
      </c>
      <c r="AF590" s="425" t="str">
        <f t="shared" si="20"/>
        <v/>
      </c>
      <c r="AG590" s="426" t="str">
        <f t="shared" si="21"/>
        <v/>
      </c>
      <c r="AH590" s="407" t="str">
        <f>IF('Antal &amp; Längder (vikter)'!L79&lt;&gt;"",'Antal &amp; Längder (vikter)'!L79,"XX")</f>
        <v>XX</v>
      </c>
      <c r="AI590" s="405">
        <f>IF('Antal &amp; Längder (vikter)'!M$71="Vikt (g)",IF('Antal &amp; Längder (vikter)'!M79&lt;&gt;"",'Antal &amp; Längder (vikter)'!M79,-9),-9)</f>
        <v>-9</v>
      </c>
    </row>
    <row r="591" spans="25:35" x14ac:dyDescent="0.25">
      <c r="Y591" s="402" t="s">
        <v>1647</v>
      </c>
      <c r="Z591" s="402" t="s">
        <v>1646</v>
      </c>
      <c r="AB591" s="472" t="str">
        <f>IF(COUNT(AB583:AB590)&gt;0,MAX(AB583:AB590)+1,"")</f>
        <v/>
      </c>
      <c r="AC591" s="433" t="str">
        <f>IF(AND(AH591&lt;&gt;"",AG591&lt;&gt;"",AI591&gt;0,AH591&gt;0),MAX(AC$2:AC590)+1,"XX")</f>
        <v>XX</v>
      </c>
      <c r="AD591" s="431" t="str">
        <f>IF('Antal &amp; Längder (vikter)'!$C$68&lt;&gt;"",'Antal &amp; Längder (vikter)'!$C$68,"XX")</f>
        <v>XX</v>
      </c>
      <c r="AE591" s="417" t="str">
        <f>IF(AND('Antal &amp; Längder (vikter)'!L$70&lt;&gt;"",ISNUMBER($AH591)),'Antal &amp; Längder (vikter)'!L$70,"")</f>
        <v/>
      </c>
      <c r="AF591" s="425" t="str">
        <f t="shared" si="20"/>
        <v/>
      </c>
      <c r="AG591" s="426" t="str">
        <f t="shared" si="21"/>
        <v/>
      </c>
      <c r="AH591" s="407" t="str">
        <f>IF('Antal &amp; Längder (vikter)'!L80&lt;&gt;"",'Antal &amp; Längder (vikter)'!L80,"XX")</f>
        <v>XX</v>
      </c>
      <c r="AI591" s="405">
        <f>IF('Antal &amp; Längder (vikter)'!M$71="Vikt (g)",IF('Antal &amp; Längder (vikter)'!M80&lt;&gt;"",'Antal &amp; Längder (vikter)'!M80,-9),-9)</f>
        <v>-9</v>
      </c>
    </row>
    <row r="592" spans="25:35" x14ac:dyDescent="0.25">
      <c r="Y592" s="402" t="s">
        <v>2409</v>
      </c>
      <c r="Z592" s="402" t="s">
        <v>2408</v>
      </c>
      <c r="AB592" s="479" t="str">
        <f>IF(COUNT(AB583:AB591)&gt;0,MAX(AB583:AB591)+1,"")</f>
        <v/>
      </c>
      <c r="AC592" s="433" t="str">
        <f>IF(AND(AH592&lt;&gt;"",AG592&lt;&gt;"",AI592&gt;0,AH592&gt;0),MAX(AC$2:AC591)+1,"XX")</f>
        <v>XX</v>
      </c>
      <c r="AD592" s="431" t="str">
        <f>IF('Antal &amp; Längder (vikter)'!$C$68&lt;&gt;"",'Antal &amp; Längder (vikter)'!$C$68,"XX")</f>
        <v>XX</v>
      </c>
      <c r="AE592" s="417" t="str">
        <f>IF(AND('Antal &amp; Längder (vikter)'!L$70&lt;&gt;"",ISNUMBER($AH592)),'Antal &amp; Längder (vikter)'!L$70,"")</f>
        <v/>
      </c>
      <c r="AF592" s="425" t="str">
        <f t="shared" si="20"/>
        <v/>
      </c>
      <c r="AG592" s="426" t="str">
        <f t="shared" si="21"/>
        <v/>
      </c>
      <c r="AH592" s="407" t="str">
        <f>IF('Antal &amp; Längder (vikter)'!L81&lt;&gt;"",'Antal &amp; Längder (vikter)'!L81,"XX")</f>
        <v>XX</v>
      </c>
      <c r="AI592" s="405">
        <f>IF('Antal &amp; Längder (vikter)'!M$71="Vikt (g)",IF('Antal &amp; Längder (vikter)'!M81&lt;&gt;"",'Antal &amp; Längder (vikter)'!M81,-9),-9)</f>
        <v>-9</v>
      </c>
    </row>
    <row r="593" spans="25:35" ht="15" x14ac:dyDescent="0.25">
      <c r="Y593" s="402" t="s">
        <v>1649</v>
      </c>
      <c r="Z593" s="402" t="s">
        <v>1648</v>
      </c>
      <c r="AB593" s="480" t="str">
        <f>IF(AND(ISNUMBER(AH593),AH593&gt;0),IF(MAX(AB$3:AB592)&gt;0,MAX(AB$3:AB592)+1,10+COUNTIF(F$38:F$49,"&gt;0")*10+1),"")</f>
        <v/>
      </c>
      <c r="AC593" s="433" t="str">
        <f>IF(AND(AH593&lt;&gt;"",AG593&lt;&gt;"",AI593&gt;0,AH593&gt;0),MAX(AC$2:AC592)+1,"XX")</f>
        <v>XX</v>
      </c>
      <c r="AD593" s="431" t="str">
        <f>IF('Antal &amp; Längder (vikter)'!$C$68&lt;&gt;"",'Antal &amp; Längder (vikter)'!$C$68,"XX")</f>
        <v>XX</v>
      </c>
      <c r="AE593" s="417" t="str">
        <f>IF(AND('Antal &amp; Längder (vikter)'!L$70&lt;&gt;"",ISNUMBER($AH593)),'Antal &amp; Längder (vikter)'!L$70,"")</f>
        <v/>
      </c>
      <c r="AF593" s="425" t="str">
        <f t="shared" si="20"/>
        <v/>
      </c>
      <c r="AG593" s="426" t="str">
        <f t="shared" si="21"/>
        <v/>
      </c>
      <c r="AH593" s="409" t="str">
        <f>IF('Antal &amp; Längder (vikter)'!M$71="Längd (mm)",IF('Antal &amp; Längder (vikter)'!M72&lt;&gt;"",'Antal &amp; Längder (vikter)'!M72,"XX"),"XX")</f>
        <v>XX</v>
      </c>
      <c r="AI593" s="158">
        <v>-9</v>
      </c>
    </row>
    <row r="594" spans="25:35" ht="15" x14ac:dyDescent="0.25">
      <c r="Y594" s="402" t="s">
        <v>1650</v>
      </c>
      <c r="Z594" s="402" t="s">
        <v>1525</v>
      </c>
      <c r="AB594" s="476" t="str">
        <f>IF(COUNT(AB593:AB593)&gt;0,MAX(AB593:AB593)+1,"")</f>
        <v/>
      </c>
      <c r="AC594" s="433" t="str">
        <f>IF(AND(AH594&lt;&gt;"",AG594&lt;&gt;"",AI594&gt;0,AH594&gt;0),MAX(AC$2:AC593)+1,"XX")</f>
        <v>XX</v>
      </c>
      <c r="AD594" s="431" t="str">
        <f>IF('Antal &amp; Längder (vikter)'!$C$68&lt;&gt;"",'Antal &amp; Längder (vikter)'!$C$68,"XX")</f>
        <v>XX</v>
      </c>
      <c r="AE594" s="417" t="str">
        <f>IF(AND('Antal &amp; Längder (vikter)'!L$70&lt;&gt;"",ISNUMBER($AH594)),'Antal &amp; Längder (vikter)'!L$70,"")</f>
        <v/>
      </c>
      <c r="AF594" s="425" t="str">
        <f t="shared" si="20"/>
        <v/>
      </c>
      <c r="AG594" s="426" t="str">
        <f t="shared" si="21"/>
        <v/>
      </c>
      <c r="AH594" s="409" t="str">
        <f>IF('Antal &amp; Längder (vikter)'!M$71="Längd (mm)",IF('Antal &amp; Längder (vikter)'!M73&lt;&gt;"",'Antal &amp; Längder (vikter)'!M73,"XX"),"XX")</f>
        <v>XX</v>
      </c>
      <c r="AI594" s="158">
        <v>-9</v>
      </c>
    </row>
    <row r="595" spans="25:35" ht="15" x14ac:dyDescent="0.25">
      <c r="Y595" s="402" t="s">
        <v>2487</v>
      </c>
      <c r="Z595" s="402" t="s">
        <v>2486</v>
      </c>
      <c r="AB595" s="477" t="str">
        <f>IF(COUNT(AB593:AB594)&gt;0,MAX(AB593:AB594)+1,"")</f>
        <v/>
      </c>
      <c r="AC595" s="433" t="str">
        <f>IF(AND(AH595&lt;&gt;"",AG595&lt;&gt;"",AI595&gt;0,AH595&gt;0),MAX(AC$2:AC594)+1,"XX")</f>
        <v>XX</v>
      </c>
      <c r="AD595" s="431" t="str">
        <f>IF('Antal &amp; Längder (vikter)'!$C$68&lt;&gt;"",'Antal &amp; Längder (vikter)'!$C$68,"XX")</f>
        <v>XX</v>
      </c>
      <c r="AE595" s="417" t="str">
        <f>IF(AND('Antal &amp; Längder (vikter)'!L$70&lt;&gt;"",ISNUMBER($AH595)),'Antal &amp; Längder (vikter)'!L$70,"")</f>
        <v/>
      </c>
      <c r="AF595" s="425" t="str">
        <f t="shared" si="20"/>
        <v/>
      </c>
      <c r="AG595" s="426" t="str">
        <f t="shared" si="21"/>
        <v/>
      </c>
      <c r="AH595" s="409" t="str">
        <f>IF('Antal &amp; Längder (vikter)'!M$71="Längd (mm)",IF('Antal &amp; Längder (vikter)'!M74&lt;&gt;"",'Antal &amp; Längder (vikter)'!M74,"XX"),"XX")</f>
        <v>XX</v>
      </c>
      <c r="AI595" s="158">
        <v>-9</v>
      </c>
    </row>
    <row r="596" spans="25:35" ht="15" x14ac:dyDescent="0.25">
      <c r="Y596" s="402" t="s">
        <v>1652</v>
      </c>
      <c r="Z596" s="402" t="s">
        <v>1651</v>
      </c>
      <c r="AB596" s="434" t="str">
        <f>IF(COUNT(AB593:AB595)&gt;0,MAX(AB593:AB595)+1,"")</f>
        <v/>
      </c>
      <c r="AC596" s="433" t="str">
        <f>IF(AND(AH596&lt;&gt;"",AG596&lt;&gt;"",AI596&gt;0,AH596&gt;0),MAX(AC$2:AC595)+1,"XX")</f>
        <v>XX</v>
      </c>
      <c r="AD596" s="431" t="str">
        <f>IF('Antal &amp; Längder (vikter)'!$C$68&lt;&gt;"",'Antal &amp; Längder (vikter)'!$C$68,"XX")</f>
        <v>XX</v>
      </c>
      <c r="AE596" s="417" t="str">
        <f>IF(AND('Antal &amp; Längder (vikter)'!L$70&lt;&gt;"",ISNUMBER($AH596)),'Antal &amp; Längder (vikter)'!L$70,"")</f>
        <v/>
      </c>
      <c r="AF596" s="425" t="str">
        <f t="shared" si="20"/>
        <v/>
      </c>
      <c r="AG596" s="426" t="str">
        <f t="shared" si="21"/>
        <v/>
      </c>
      <c r="AH596" s="409" t="str">
        <f>IF('Antal &amp; Längder (vikter)'!M$71="Längd (mm)",IF('Antal &amp; Längder (vikter)'!M75&lt;&gt;"",'Antal &amp; Längder (vikter)'!M75,"XX"),"XX")</f>
        <v>XX</v>
      </c>
      <c r="AI596" s="158">
        <v>-9</v>
      </c>
    </row>
    <row r="597" spans="25:35" ht="15" x14ac:dyDescent="0.25">
      <c r="Y597" s="402" t="s">
        <v>1654</v>
      </c>
      <c r="Z597" s="402" t="s">
        <v>1653</v>
      </c>
      <c r="AB597" s="475" t="str">
        <f>IF(COUNT(AB593:AB596)&gt;0,MAX(AB593:AB596)+1,"")</f>
        <v/>
      </c>
      <c r="AC597" s="433" t="str">
        <f>IF(AND(AH597&lt;&gt;"",AG597&lt;&gt;"",AI597&gt;0,AH597&gt;0),MAX(AC$2:AC596)+1,"XX")</f>
        <v>XX</v>
      </c>
      <c r="AD597" s="431" t="str">
        <f>IF('Antal &amp; Längder (vikter)'!$C$68&lt;&gt;"",'Antal &amp; Längder (vikter)'!$C$68,"XX")</f>
        <v>XX</v>
      </c>
      <c r="AE597" s="417" t="str">
        <f>IF(AND('Antal &amp; Längder (vikter)'!L$70&lt;&gt;"",ISNUMBER($AH597)),'Antal &amp; Längder (vikter)'!L$70,"")</f>
        <v/>
      </c>
      <c r="AF597" s="425" t="str">
        <f t="shared" si="20"/>
        <v/>
      </c>
      <c r="AG597" s="426" t="str">
        <f t="shared" si="21"/>
        <v/>
      </c>
      <c r="AH597" s="409" t="str">
        <f>IF('Antal &amp; Längder (vikter)'!M$71="Längd (mm)",IF('Antal &amp; Längder (vikter)'!M76&lt;&gt;"",'Antal &amp; Längder (vikter)'!M76,"XX"),"XX")</f>
        <v>XX</v>
      </c>
      <c r="AI597" s="158">
        <v>-9</v>
      </c>
    </row>
    <row r="598" spans="25:35" ht="15" x14ac:dyDescent="0.25">
      <c r="Y598" s="402" t="s">
        <v>1656</v>
      </c>
      <c r="Z598" s="402" t="s">
        <v>1655</v>
      </c>
      <c r="AB598" s="471" t="str">
        <f>IF(COUNT(AB593:AB597)&gt;0,MAX(AB593:AB597)+1,"")</f>
        <v/>
      </c>
      <c r="AC598" s="433" t="str">
        <f>IF(AND(AH598&lt;&gt;"",AG598&lt;&gt;"",AI598&gt;0,AH598&gt;0),MAX(AC$2:AC597)+1,"XX")</f>
        <v>XX</v>
      </c>
      <c r="AD598" s="431" t="str">
        <f>IF('Antal &amp; Längder (vikter)'!$C$68&lt;&gt;"",'Antal &amp; Längder (vikter)'!$C$68,"XX")</f>
        <v>XX</v>
      </c>
      <c r="AE598" s="417" t="str">
        <f>IF(AND('Antal &amp; Längder (vikter)'!L$70&lt;&gt;"",ISNUMBER($AH598)),'Antal &amp; Längder (vikter)'!L$70,"")</f>
        <v/>
      </c>
      <c r="AF598" s="425" t="str">
        <f t="shared" si="20"/>
        <v/>
      </c>
      <c r="AG598" s="426" t="str">
        <f t="shared" si="21"/>
        <v/>
      </c>
      <c r="AH598" s="409" t="str">
        <f>IF('Antal &amp; Längder (vikter)'!M$71="Längd (mm)",IF('Antal &amp; Längder (vikter)'!M77&lt;&gt;"",'Antal &amp; Längder (vikter)'!M77,"XX"),"XX")</f>
        <v>XX</v>
      </c>
      <c r="AI598" s="158">
        <v>-9</v>
      </c>
    </row>
    <row r="599" spans="25:35" ht="15" x14ac:dyDescent="0.25">
      <c r="Y599" s="402" t="s">
        <v>1658</v>
      </c>
      <c r="Z599" s="402" t="s">
        <v>1657</v>
      </c>
      <c r="AB599" s="474" t="str">
        <f>IF(COUNT(AB593:AB598)&gt;0,MAX(AB593:AB598)+1,"")</f>
        <v/>
      </c>
      <c r="AC599" s="433" t="str">
        <f>IF(AND(AH599&lt;&gt;"",AG599&lt;&gt;"",AI599&gt;0,AH599&gt;0),MAX(AC$2:AC598)+1,"XX")</f>
        <v>XX</v>
      </c>
      <c r="AD599" s="431" t="str">
        <f>IF('Antal &amp; Längder (vikter)'!$C$68&lt;&gt;"",'Antal &amp; Längder (vikter)'!$C$68,"XX")</f>
        <v>XX</v>
      </c>
      <c r="AE599" s="417" t="str">
        <f>IF(AND('Antal &amp; Längder (vikter)'!L$70&lt;&gt;"",ISNUMBER($AH599)),'Antal &amp; Längder (vikter)'!L$70,"")</f>
        <v/>
      </c>
      <c r="AF599" s="425" t="str">
        <f t="shared" si="20"/>
        <v/>
      </c>
      <c r="AG599" s="426" t="str">
        <f t="shared" si="21"/>
        <v/>
      </c>
      <c r="AH599" s="409" t="str">
        <f>IF('Antal &amp; Längder (vikter)'!M$71="Längd (mm)",IF('Antal &amp; Längder (vikter)'!M78&lt;&gt;"",'Antal &amp; Längder (vikter)'!M78,"XX"),"XX")</f>
        <v>XX</v>
      </c>
      <c r="AI599" s="158">
        <v>-9</v>
      </c>
    </row>
    <row r="600" spans="25:35" ht="15" x14ac:dyDescent="0.25">
      <c r="Y600" s="402" t="s">
        <v>1660</v>
      </c>
      <c r="Z600" s="402" t="s">
        <v>1659</v>
      </c>
      <c r="AB600" s="478" t="str">
        <f>IF(COUNT(AB593:AB599)&gt;0,MAX(AB593:AB599)+1,"")</f>
        <v/>
      </c>
      <c r="AC600" s="433" t="str">
        <f>IF(AND(AH600&lt;&gt;"",AG600&lt;&gt;"",AI600&gt;0,AH600&gt;0),MAX(AC$2:AC599)+1,"XX")</f>
        <v>XX</v>
      </c>
      <c r="AD600" s="431" t="str">
        <f>IF('Antal &amp; Längder (vikter)'!$C$68&lt;&gt;"",'Antal &amp; Längder (vikter)'!$C$68,"XX")</f>
        <v>XX</v>
      </c>
      <c r="AE600" s="417" t="str">
        <f>IF(AND('Antal &amp; Längder (vikter)'!L$70&lt;&gt;"",ISNUMBER($AH600)),'Antal &amp; Längder (vikter)'!L$70,"")</f>
        <v/>
      </c>
      <c r="AF600" s="425" t="str">
        <f t="shared" si="20"/>
        <v/>
      </c>
      <c r="AG600" s="426" t="str">
        <f t="shared" si="21"/>
        <v/>
      </c>
      <c r="AH600" s="409" t="str">
        <f>IF('Antal &amp; Längder (vikter)'!M$71="Längd (mm)",IF('Antal &amp; Längder (vikter)'!M79&lt;&gt;"",'Antal &amp; Längder (vikter)'!M79,"XX"),"XX")</f>
        <v>XX</v>
      </c>
      <c r="AI600" s="158">
        <v>-9</v>
      </c>
    </row>
    <row r="601" spans="25:35" ht="15" x14ac:dyDescent="0.25">
      <c r="Y601" s="402" t="s">
        <v>1662</v>
      </c>
      <c r="Z601" s="402" t="s">
        <v>1661</v>
      </c>
      <c r="AB601" s="472" t="str">
        <f>IF(COUNT(AB593:AB600)&gt;0,MAX(AB593:AB600)+1,"")</f>
        <v/>
      </c>
      <c r="AC601" s="433" t="str">
        <f>IF(AND(AH601&lt;&gt;"",AG601&lt;&gt;"",AI601&gt;0,AH601&gt;0),MAX(AC$2:AC600)+1,"XX")</f>
        <v>XX</v>
      </c>
      <c r="AD601" s="431" t="str">
        <f>IF('Antal &amp; Längder (vikter)'!$C$68&lt;&gt;"",'Antal &amp; Längder (vikter)'!$C$68,"XX")</f>
        <v>XX</v>
      </c>
      <c r="AE601" s="417" t="str">
        <f>IF(AND('Antal &amp; Längder (vikter)'!L$70&lt;&gt;"",ISNUMBER($AH601)),'Antal &amp; Längder (vikter)'!L$70,"")</f>
        <v/>
      </c>
      <c r="AF601" s="425" t="str">
        <f t="shared" si="20"/>
        <v/>
      </c>
      <c r="AG601" s="426" t="str">
        <f t="shared" si="21"/>
        <v/>
      </c>
      <c r="AH601" s="409" t="str">
        <f>IF('Antal &amp; Längder (vikter)'!M$71="Längd (mm)",IF('Antal &amp; Längder (vikter)'!M80&lt;&gt;"",'Antal &amp; Längder (vikter)'!M80,"XX"),"XX")</f>
        <v>XX</v>
      </c>
      <c r="AI601" s="158">
        <v>-9</v>
      </c>
    </row>
    <row r="602" spans="25:35" ht="15" x14ac:dyDescent="0.25">
      <c r="Y602" s="402" t="s">
        <v>1664</v>
      </c>
      <c r="Z602" s="402" t="s">
        <v>1663</v>
      </c>
      <c r="AB602" s="479" t="str">
        <f>IF(COUNT(AB593:AB601)&gt;0,MAX(AB593:AB601)+1,"")</f>
        <v/>
      </c>
      <c r="AC602" s="433" t="str">
        <f>IF(AND(AH602&lt;&gt;"",AG602&lt;&gt;"",AI602&gt;0,AH602&gt;0),MAX(AC$2:AC601)+1,"XX")</f>
        <v>XX</v>
      </c>
      <c r="AD602" s="431" t="str">
        <f>IF('Antal &amp; Längder (vikter)'!$C$68&lt;&gt;"",'Antal &amp; Längder (vikter)'!$C$68,"XX")</f>
        <v>XX</v>
      </c>
      <c r="AE602" s="417" t="str">
        <f>IF(AND('Antal &amp; Längder (vikter)'!L$70&lt;&gt;"",ISNUMBER($AH602)),'Antal &amp; Längder (vikter)'!L$70,"")</f>
        <v/>
      </c>
      <c r="AF602" s="425" t="str">
        <f t="shared" si="20"/>
        <v/>
      </c>
      <c r="AG602" s="426" t="str">
        <f t="shared" si="21"/>
        <v/>
      </c>
      <c r="AH602" s="409" t="str">
        <f>IF('Antal &amp; Längder (vikter)'!M$71="Längd (mm)",IF('Antal &amp; Längder (vikter)'!M81&lt;&gt;"",'Antal &amp; Längder (vikter)'!M81,"XX"),"XX")</f>
        <v>XX</v>
      </c>
      <c r="AI602" s="158">
        <v>-9</v>
      </c>
    </row>
    <row r="603" spans="25:35" x14ac:dyDescent="0.25">
      <c r="Y603" s="402" t="s">
        <v>2473</v>
      </c>
      <c r="Z603" s="402" t="s">
        <v>2472</v>
      </c>
      <c r="AB603" s="480" t="str">
        <f>IF(AND(ISNUMBER(AH603),AH603&gt;0),IF(MAX(AB$3:AB602)&gt;0,MAX(AB$3:AB602)+1,10+COUNTIF(F$38:F$49,"&gt;0")*10+1),"")</f>
        <v/>
      </c>
      <c r="AC603" s="433" t="str">
        <f>IF(AND(AH603&lt;&gt;"",AG603&lt;&gt;"",AI603&gt;0,AH603&gt;0),MAX(AC$2:AC602)+1,"XX")</f>
        <v>XX</v>
      </c>
      <c r="AD603" s="432" t="str">
        <f>IF('Antal &amp; Längder (vikter)'!$C$83&lt;&gt;"",'Antal &amp; Längder (vikter)'!$C$83,"XX")</f>
        <v>XX</v>
      </c>
      <c r="AE603" s="422" t="str">
        <f>IF(AND('Antal &amp; Längder (vikter)'!B$85&lt;&gt;"",ISNUMBER($AH603)),'Antal &amp; Längder (vikter)'!B$85,"")</f>
        <v/>
      </c>
      <c r="AF603" s="425" t="str">
        <f t="shared" si="20"/>
        <v/>
      </c>
      <c r="AG603" s="426" t="str">
        <f t="shared" si="21"/>
        <v/>
      </c>
      <c r="AH603" s="410" t="str">
        <f>IF('Antal &amp; Längder (vikter)'!B87&lt;&gt;"",'Antal &amp; Längder (vikter)'!B87,"XX")</f>
        <v>XX</v>
      </c>
      <c r="AI603" s="405">
        <f>IF('Antal &amp; Längder (vikter)'!C$86="Vikt (g)",IF('Antal &amp; Längder (vikter)'!C87&lt;&gt;"",'Antal &amp; Längder (vikter)'!C87,-9),-9)</f>
        <v>-9</v>
      </c>
    </row>
    <row r="604" spans="25:35" x14ac:dyDescent="0.25">
      <c r="Y604" s="402" t="s">
        <v>1666</v>
      </c>
      <c r="Z604" s="402" t="s">
        <v>1665</v>
      </c>
      <c r="AB604" s="476" t="str">
        <f>IF(COUNT(AB603:AB603)&gt;0,MAX(AB603:AB603)+1,"")</f>
        <v/>
      </c>
      <c r="AC604" s="433" t="str">
        <f>IF(AND(AH604&lt;&gt;"",AG604&lt;&gt;"",AI604&gt;0,AH604&gt;0),MAX(AC$2:AC603)+1,"XX")</f>
        <v>XX</v>
      </c>
      <c r="AD604" s="432" t="str">
        <f>IF('Antal &amp; Längder (vikter)'!$C$83&lt;&gt;"",'Antal &amp; Längder (vikter)'!$C$83,"XX")</f>
        <v>XX</v>
      </c>
      <c r="AE604" s="422" t="str">
        <f>IF(AND('Antal &amp; Längder (vikter)'!B$85&lt;&gt;"",ISNUMBER($AH604)),'Antal &amp; Längder (vikter)'!B$85,"")</f>
        <v/>
      </c>
      <c r="AF604" s="425" t="str">
        <f t="shared" si="20"/>
        <v/>
      </c>
      <c r="AG604" s="426" t="str">
        <f t="shared" si="21"/>
        <v/>
      </c>
      <c r="AH604" s="410" t="str">
        <f>IF('Antal &amp; Längder (vikter)'!B88&lt;&gt;"",'Antal &amp; Längder (vikter)'!B88,"XX")</f>
        <v>XX</v>
      </c>
      <c r="AI604" s="405">
        <f>IF('Antal &amp; Längder (vikter)'!C$86="Vikt (g)",IF('Antal &amp; Längder (vikter)'!C88&lt;&gt;"",'Antal &amp; Längder (vikter)'!C88,-9),-9)</f>
        <v>-9</v>
      </c>
    </row>
    <row r="605" spans="25:35" x14ac:dyDescent="0.25">
      <c r="Y605" s="402" t="s">
        <v>2467</v>
      </c>
      <c r="Z605" s="402" t="s">
        <v>2466</v>
      </c>
      <c r="AB605" s="477" t="str">
        <f>IF(COUNT(AB603:AB604)&gt;0,MAX(AB603:AB604)+1,"")</f>
        <v/>
      </c>
      <c r="AC605" s="433" t="str">
        <f>IF(AND(AH605&lt;&gt;"",AG605&lt;&gt;"",AI605&gt;0,AH605&gt;0),MAX(AC$2:AC604)+1,"XX")</f>
        <v>XX</v>
      </c>
      <c r="AD605" s="432" t="str">
        <f>IF('Antal &amp; Längder (vikter)'!$C$83&lt;&gt;"",'Antal &amp; Längder (vikter)'!$C$83,"XX")</f>
        <v>XX</v>
      </c>
      <c r="AE605" s="422" t="str">
        <f>IF(AND('Antal &amp; Längder (vikter)'!B$85&lt;&gt;"",ISNUMBER($AH605)),'Antal &amp; Längder (vikter)'!B$85,"")</f>
        <v/>
      </c>
      <c r="AF605" s="425" t="str">
        <f t="shared" si="20"/>
        <v/>
      </c>
      <c r="AG605" s="426" t="str">
        <f t="shared" si="21"/>
        <v/>
      </c>
      <c r="AH605" s="410" t="str">
        <f>IF('Antal &amp; Längder (vikter)'!B89&lt;&gt;"",'Antal &amp; Längder (vikter)'!B89,"XX")</f>
        <v>XX</v>
      </c>
      <c r="AI605" s="405">
        <f>IF('Antal &amp; Längder (vikter)'!C$86="Vikt (g)",IF('Antal &amp; Längder (vikter)'!C89&lt;&gt;"",'Antal &amp; Längder (vikter)'!C89,-9),-9)</f>
        <v>-9</v>
      </c>
    </row>
    <row r="606" spans="25:35" x14ac:dyDescent="0.25">
      <c r="Y606" s="402" t="s">
        <v>2464</v>
      </c>
      <c r="Z606" s="402" t="s">
        <v>2463</v>
      </c>
      <c r="AB606" s="434" t="str">
        <f>IF(COUNT(AB603:AB605)&gt;0,MAX(AB603:AB605)+1,"")</f>
        <v/>
      </c>
      <c r="AC606" s="433" t="str">
        <f>IF(AND(AH606&lt;&gt;"",AG606&lt;&gt;"",AI606&gt;0,AH606&gt;0),MAX(AC$2:AC605)+1,"XX")</f>
        <v>XX</v>
      </c>
      <c r="AD606" s="432" t="str">
        <f>IF('Antal &amp; Längder (vikter)'!$C$83&lt;&gt;"",'Antal &amp; Längder (vikter)'!$C$83,"XX")</f>
        <v>XX</v>
      </c>
      <c r="AE606" s="422" t="str">
        <f>IF(AND('Antal &amp; Längder (vikter)'!B$85&lt;&gt;"",ISNUMBER($AH606)),'Antal &amp; Längder (vikter)'!B$85,"")</f>
        <v/>
      </c>
      <c r="AF606" s="425" t="str">
        <f t="shared" si="20"/>
        <v/>
      </c>
      <c r="AG606" s="426" t="str">
        <f t="shared" si="21"/>
        <v/>
      </c>
      <c r="AH606" s="410" t="str">
        <f>IF('Antal &amp; Längder (vikter)'!B90&lt;&gt;"",'Antal &amp; Längder (vikter)'!B90,"XX")</f>
        <v>XX</v>
      </c>
      <c r="AI606" s="405">
        <f>IF('Antal &amp; Längder (vikter)'!C$86="Vikt (g)",IF('Antal &amp; Längder (vikter)'!C90&lt;&gt;"",'Antal &amp; Längder (vikter)'!C90,-9),-9)</f>
        <v>-9</v>
      </c>
    </row>
    <row r="607" spans="25:35" x14ac:dyDescent="0.25">
      <c r="Y607" s="402" t="s">
        <v>1668</v>
      </c>
      <c r="Z607" s="402" t="s">
        <v>1667</v>
      </c>
      <c r="AB607" s="475" t="str">
        <f>IF(COUNT(AB603:AB606)&gt;0,MAX(AB603:AB606)+1,"")</f>
        <v/>
      </c>
      <c r="AC607" s="433" t="str">
        <f>IF(AND(AH607&lt;&gt;"",AG607&lt;&gt;"",AI607&gt;0,AH607&gt;0),MAX(AC$2:AC606)+1,"XX")</f>
        <v>XX</v>
      </c>
      <c r="AD607" s="432" t="str">
        <f>IF('Antal &amp; Längder (vikter)'!$C$83&lt;&gt;"",'Antal &amp; Längder (vikter)'!$C$83,"XX")</f>
        <v>XX</v>
      </c>
      <c r="AE607" s="422" t="str">
        <f>IF(AND('Antal &amp; Längder (vikter)'!B$85&lt;&gt;"",ISNUMBER($AH607)),'Antal &amp; Längder (vikter)'!B$85,"")</f>
        <v/>
      </c>
      <c r="AF607" s="425" t="str">
        <f t="shared" si="20"/>
        <v/>
      </c>
      <c r="AG607" s="426" t="str">
        <f t="shared" si="21"/>
        <v/>
      </c>
      <c r="AH607" s="410" t="str">
        <f>IF('Antal &amp; Längder (vikter)'!B91&lt;&gt;"",'Antal &amp; Längder (vikter)'!B91,"XX")</f>
        <v>XX</v>
      </c>
      <c r="AI607" s="405">
        <f>IF('Antal &amp; Längder (vikter)'!C$86="Vikt (g)",IF('Antal &amp; Längder (vikter)'!C91&lt;&gt;"",'Antal &amp; Längder (vikter)'!C91,-9),-9)</f>
        <v>-9</v>
      </c>
    </row>
    <row r="608" spans="25:35" x14ac:dyDescent="0.25">
      <c r="Y608" s="402" t="s">
        <v>1670</v>
      </c>
      <c r="Z608" s="402" t="s">
        <v>1669</v>
      </c>
      <c r="AB608" s="471" t="str">
        <f>IF(COUNT(AB603:AB607)&gt;0,MAX(AB603:AB607)+1,"")</f>
        <v/>
      </c>
      <c r="AC608" s="433" t="str">
        <f>IF(AND(AH608&lt;&gt;"",AG608&lt;&gt;"",AI608&gt;0,AH608&gt;0),MAX(AC$2:AC607)+1,"XX")</f>
        <v>XX</v>
      </c>
      <c r="AD608" s="432" t="str">
        <f>IF('Antal &amp; Längder (vikter)'!$C$83&lt;&gt;"",'Antal &amp; Längder (vikter)'!$C$83,"XX")</f>
        <v>XX</v>
      </c>
      <c r="AE608" s="422" t="str">
        <f>IF(AND('Antal &amp; Längder (vikter)'!B$85&lt;&gt;"",ISNUMBER($AH608)),'Antal &amp; Längder (vikter)'!B$85,"")</f>
        <v/>
      </c>
      <c r="AF608" s="425" t="str">
        <f t="shared" si="20"/>
        <v/>
      </c>
      <c r="AG608" s="426" t="str">
        <f t="shared" si="21"/>
        <v/>
      </c>
      <c r="AH608" s="410" t="str">
        <f>IF('Antal &amp; Längder (vikter)'!B92&lt;&gt;"",'Antal &amp; Längder (vikter)'!B92,"XX")</f>
        <v>XX</v>
      </c>
      <c r="AI608" s="405">
        <f>IF('Antal &amp; Längder (vikter)'!C$86="Vikt (g)",IF('Antal &amp; Längder (vikter)'!C92&lt;&gt;"",'Antal &amp; Längder (vikter)'!C92,-9),-9)</f>
        <v>-9</v>
      </c>
    </row>
    <row r="609" spans="25:35" x14ac:dyDescent="0.25">
      <c r="Y609" s="402" t="s">
        <v>1672</v>
      </c>
      <c r="Z609" s="402" t="s">
        <v>1671</v>
      </c>
      <c r="AB609" s="474" t="str">
        <f>IF(COUNT(AB603:AB608)&gt;0,MAX(AB603:AB608)+1,"")</f>
        <v/>
      </c>
      <c r="AC609" s="433" t="str">
        <f>IF(AND(AH609&lt;&gt;"",AG609&lt;&gt;"",AI609&gt;0,AH609&gt;0),MAX(AC$2:AC608)+1,"XX")</f>
        <v>XX</v>
      </c>
      <c r="AD609" s="432" t="str">
        <f>IF('Antal &amp; Längder (vikter)'!$C$83&lt;&gt;"",'Antal &amp; Längder (vikter)'!$C$83,"XX")</f>
        <v>XX</v>
      </c>
      <c r="AE609" s="422" t="str">
        <f>IF(AND('Antal &amp; Längder (vikter)'!B$85&lt;&gt;"",ISNUMBER($AH609)),'Antal &amp; Längder (vikter)'!B$85,"")</f>
        <v/>
      </c>
      <c r="AF609" s="425" t="str">
        <f t="shared" si="20"/>
        <v/>
      </c>
      <c r="AG609" s="426" t="str">
        <f t="shared" si="21"/>
        <v/>
      </c>
      <c r="AH609" s="410" t="str">
        <f>IF('Antal &amp; Längder (vikter)'!B93&lt;&gt;"",'Antal &amp; Längder (vikter)'!B93,"XX")</f>
        <v>XX</v>
      </c>
      <c r="AI609" s="405">
        <f>IF('Antal &amp; Längder (vikter)'!C$86="Vikt (g)",IF('Antal &amp; Längder (vikter)'!C93&lt;&gt;"",'Antal &amp; Längder (vikter)'!C93,-9),-9)</f>
        <v>-9</v>
      </c>
    </row>
    <row r="610" spans="25:35" x14ac:dyDescent="0.25">
      <c r="Y610" s="402" t="s">
        <v>1674</v>
      </c>
      <c r="Z610" s="402" t="s">
        <v>1673</v>
      </c>
      <c r="AB610" s="478" t="str">
        <f>IF(COUNT(AB603:AB609)&gt;0,MAX(AB603:AB609)+1,"")</f>
        <v/>
      </c>
      <c r="AC610" s="433" t="str">
        <f>IF(AND(AH610&lt;&gt;"",AG610&lt;&gt;"",AI610&gt;0,AH610&gt;0),MAX(AC$2:AC609)+1,"XX")</f>
        <v>XX</v>
      </c>
      <c r="AD610" s="432" t="str">
        <f>IF('Antal &amp; Längder (vikter)'!$C$83&lt;&gt;"",'Antal &amp; Längder (vikter)'!$C$83,"XX")</f>
        <v>XX</v>
      </c>
      <c r="AE610" s="422" t="str">
        <f>IF(AND('Antal &amp; Längder (vikter)'!B$85&lt;&gt;"",ISNUMBER($AH610)),'Antal &amp; Längder (vikter)'!B$85,"")</f>
        <v/>
      </c>
      <c r="AF610" s="425" t="str">
        <f t="shared" si="20"/>
        <v/>
      </c>
      <c r="AG610" s="426" t="str">
        <f t="shared" si="21"/>
        <v/>
      </c>
      <c r="AH610" s="410" t="str">
        <f>IF('Antal &amp; Längder (vikter)'!B94&lt;&gt;"",'Antal &amp; Längder (vikter)'!B94,"XX")</f>
        <v>XX</v>
      </c>
      <c r="AI610" s="405">
        <f>IF('Antal &amp; Längder (vikter)'!C$86="Vikt (g)",IF('Antal &amp; Längder (vikter)'!C94&lt;&gt;"",'Antal &amp; Längder (vikter)'!C94,-9),-9)</f>
        <v>-9</v>
      </c>
    </row>
    <row r="611" spans="25:35" x14ac:dyDescent="0.25">
      <c r="Y611" s="402" t="s">
        <v>2150</v>
      </c>
      <c r="Z611" s="402" t="s">
        <v>2149</v>
      </c>
      <c r="AB611" s="472" t="str">
        <f>IF(COUNT(AB603:AB610)&gt;0,MAX(AB603:AB610)+1,"")</f>
        <v/>
      </c>
      <c r="AC611" s="433" t="str">
        <f>IF(AND(AH611&lt;&gt;"",AG611&lt;&gt;"",AI611&gt;0,AH611&gt;0),MAX(AC$2:AC610)+1,"XX")</f>
        <v>XX</v>
      </c>
      <c r="AD611" s="432" t="str">
        <f>IF('Antal &amp; Längder (vikter)'!$C$83&lt;&gt;"",'Antal &amp; Längder (vikter)'!$C$83,"XX")</f>
        <v>XX</v>
      </c>
      <c r="AE611" s="422" t="str">
        <f>IF(AND('Antal &amp; Längder (vikter)'!B$85&lt;&gt;"",ISNUMBER($AH611)),'Antal &amp; Längder (vikter)'!B$85,"")</f>
        <v/>
      </c>
      <c r="AF611" s="425" t="str">
        <f t="shared" si="20"/>
        <v/>
      </c>
      <c r="AG611" s="426" t="str">
        <f t="shared" si="21"/>
        <v/>
      </c>
      <c r="AH611" s="410" t="str">
        <f>IF('Antal &amp; Längder (vikter)'!B95&lt;&gt;"",'Antal &amp; Längder (vikter)'!B95,"XX")</f>
        <v>XX</v>
      </c>
      <c r="AI611" s="405">
        <f>IF('Antal &amp; Längder (vikter)'!C$86="Vikt (g)",IF('Antal &amp; Längder (vikter)'!C95&lt;&gt;"",'Antal &amp; Längder (vikter)'!C95,-9),-9)</f>
        <v>-9</v>
      </c>
    </row>
    <row r="612" spans="25:35" x14ac:dyDescent="0.25">
      <c r="Y612" s="402" t="s">
        <v>1676</v>
      </c>
      <c r="Z612" s="402" t="s">
        <v>1675</v>
      </c>
      <c r="AB612" s="479" t="str">
        <f>IF(COUNT(AB603:AB611)&gt;0,MAX(AB603:AB611)+1,"")</f>
        <v/>
      </c>
      <c r="AC612" s="433" t="str">
        <f>IF(AND(AH612&lt;&gt;"",AG612&lt;&gt;"",AI612&gt;0,AH612&gt;0),MAX(AC$2:AC611)+1,"XX")</f>
        <v>XX</v>
      </c>
      <c r="AD612" s="432" t="str">
        <f>IF('Antal &amp; Längder (vikter)'!$C$83&lt;&gt;"",'Antal &amp; Längder (vikter)'!$C$83,"XX")</f>
        <v>XX</v>
      </c>
      <c r="AE612" s="422" t="str">
        <f>IF(AND('Antal &amp; Längder (vikter)'!B$85&lt;&gt;"",ISNUMBER($AH612)),'Antal &amp; Längder (vikter)'!B$85,"")</f>
        <v/>
      </c>
      <c r="AF612" s="425" t="str">
        <f t="shared" si="20"/>
        <v/>
      </c>
      <c r="AG612" s="426" t="str">
        <f t="shared" si="21"/>
        <v/>
      </c>
      <c r="AH612" s="410" t="str">
        <f>IF('Antal &amp; Längder (vikter)'!B96&lt;&gt;"",'Antal &amp; Längder (vikter)'!B96,"XX")</f>
        <v>XX</v>
      </c>
      <c r="AI612" s="405">
        <f>IF('Antal &amp; Längder (vikter)'!C$86="Vikt (g)",IF('Antal &amp; Längder (vikter)'!C96&lt;&gt;"",'Antal &amp; Längder (vikter)'!C96,-9),-9)</f>
        <v>-9</v>
      </c>
    </row>
    <row r="613" spans="25:35" x14ac:dyDescent="0.25">
      <c r="Y613" s="402" t="s">
        <v>2489</v>
      </c>
      <c r="Z613" s="402" t="s">
        <v>2488</v>
      </c>
      <c r="AB613" s="480" t="str">
        <f>IF(AND(ISNUMBER(AH613),AH613&gt;0),IF(MAX(AB$3:AB612)&gt;0,MAX(AB$3:AB612)+1,10+COUNTIF(F$38:F$49,"&gt;0")*10+1),"")</f>
        <v/>
      </c>
      <c r="AC613" s="433" t="str">
        <f>IF(AND(AH613&lt;&gt;"",AG613&lt;&gt;"",AI613&gt;0,AH613&gt;0),MAX(AC$2:AC612)+1,"XX")</f>
        <v>XX</v>
      </c>
      <c r="AD613" s="432" t="str">
        <f>IF('Antal &amp; Längder (vikter)'!$C$83&lt;&gt;"",'Antal &amp; Längder (vikter)'!$C$83,"XX")</f>
        <v>XX</v>
      </c>
      <c r="AE613" s="422" t="str">
        <f>IF(AND('Antal &amp; Längder (vikter)'!B$85&lt;&gt;"",ISNUMBER($AH613)),'Antal &amp; Längder (vikter)'!B$85,"")</f>
        <v/>
      </c>
      <c r="AF613" s="425" t="str">
        <f t="shared" si="20"/>
        <v/>
      </c>
      <c r="AG613" s="426" t="str">
        <f t="shared" si="21"/>
        <v/>
      </c>
      <c r="AH613" s="404" t="str">
        <f>IF('Antal &amp; Längder (vikter)'!C$86="Längd (mm)",IF('Antal &amp; Längder (vikter)'!C87&lt;&gt;"",'Antal &amp; Längder (vikter)'!C87,"XX"),"XX")</f>
        <v>XX</v>
      </c>
      <c r="AI613" s="7">
        <v>-9</v>
      </c>
    </row>
    <row r="614" spans="25:35" x14ac:dyDescent="0.25">
      <c r="Y614" s="402" t="s">
        <v>1678</v>
      </c>
      <c r="Z614" s="402" t="s">
        <v>1677</v>
      </c>
      <c r="AB614" s="476" t="str">
        <f>IF(COUNT(AB613:AB613)&gt;0,MAX(AB613:AB613)+1,"")</f>
        <v/>
      </c>
      <c r="AC614" s="433" t="str">
        <f>IF(AND(AH614&lt;&gt;"",AG614&lt;&gt;"",AI614&gt;0,AH614&gt;0),MAX(AC$2:AC613)+1,"XX")</f>
        <v>XX</v>
      </c>
      <c r="AD614" s="432" t="str">
        <f>IF('Antal &amp; Längder (vikter)'!$C$83&lt;&gt;"",'Antal &amp; Längder (vikter)'!$C$83,"XX")</f>
        <v>XX</v>
      </c>
      <c r="AE614" s="422" t="str">
        <f>IF(AND('Antal &amp; Längder (vikter)'!B$85&lt;&gt;"",ISNUMBER($AH614)),'Antal &amp; Längder (vikter)'!B$85,"")</f>
        <v/>
      </c>
      <c r="AF614" s="425" t="str">
        <f t="shared" si="20"/>
        <v/>
      </c>
      <c r="AG614" s="426" t="str">
        <f t="shared" si="21"/>
        <v/>
      </c>
      <c r="AH614" s="404" t="str">
        <f>IF('Antal &amp; Längder (vikter)'!C$86="Längd (mm)",IF('Antal &amp; Längder (vikter)'!C88&lt;&gt;"",'Antal &amp; Längder (vikter)'!C88,"XX"),"XX")</f>
        <v>XX</v>
      </c>
      <c r="AI614" s="7">
        <v>-9</v>
      </c>
    </row>
    <row r="615" spans="25:35" x14ac:dyDescent="0.25">
      <c r="Y615" s="402" t="s">
        <v>1680</v>
      </c>
      <c r="Z615" s="402" t="s">
        <v>1679</v>
      </c>
      <c r="AB615" s="477" t="str">
        <f>IF(COUNT(AB613:AB614)&gt;0,MAX(AB613:AB614)+1,"")</f>
        <v/>
      </c>
      <c r="AC615" s="433" t="str">
        <f>IF(AND(AH615&lt;&gt;"",AG615&lt;&gt;"",AI615&gt;0,AH615&gt;0),MAX(AC$2:AC614)+1,"XX")</f>
        <v>XX</v>
      </c>
      <c r="AD615" s="432" t="str">
        <f>IF('Antal &amp; Längder (vikter)'!$C$83&lt;&gt;"",'Antal &amp; Längder (vikter)'!$C$83,"XX")</f>
        <v>XX</v>
      </c>
      <c r="AE615" s="422" t="str">
        <f>IF(AND('Antal &amp; Längder (vikter)'!B$85&lt;&gt;"",ISNUMBER($AH615)),'Antal &amp; Längder (vikter)'!B$85,"")</f>
        <v/>
      </c>
      <c r="AF615" s="425" t="str">
        <f t="shared" si="20"/>
        <v/>
      </c>
      <c r="AG615" s="426" t="str">
        <f t="shared" si="21"/>
        <v/>
      </c>
      <c r="AH615" s="404" t="str">
        <f>IF('Antal &amp; Längder (vikter)'!C$86="Längd (mm)",IF('Antal &amp; Längder (vikter)'!C89&lt;&gt;"",'Antal &amp; Längder (vikter)'!C89,"XX"),"XX")</f>
        <v>XX</v>
      </c>
      <c r="AI615" s="7">
        <v>-9</v>
      </c>
    </row>
    <row r="616" spans="25:35" x14ac:dyDescent="0.25">
      <c r="Y616" s="402" t="s">
        <v>1682</v>
      </c>
      <c r="Z616" s="402" t="s">
        <v>1681</v>
      </c>
      <c r="AB616" s="434" t="str">
        <f>IF(COUNT(AB613:AB615)&gt;0,MAX(AB613:AB615)+1,"")</f>
        <v/>
      </c>
      <c r="AC616" s="433" t="str">
        <f>IF(AND(AH616&lt;&gt;"",AG616&lt;&gt;"",AI616&gt;0,AH616&gt;0),MAX(AC$2:AC615)+1,"XX")</f>
        <v>XX</v>
      </c>
      <c r="AD616" s="432" t="str">
        <f>IF('Antal &amp; Längder (vikter)'!$C$83&lt;&gt;"",'Antal &amp; Längder (vikter)'!$C$83,"XX")</f>
        <v>XX</v>
      </c>
      <c r="AE616" s="422" t="str">
        <f>IF(AND('Antal &amp; Längder (vikter)'!B$85&lt;&gt;"",ISNUMBER($AH616)),'Antal &amp; Längder (vikter)'!B$85,"")</f>
        <v/>
      </c>
      <c r="AF616" s="425" t="str">
        <f t="shared" si="20"/>
        <v/>
      </c>
      <c r="AG616" s="426" t="str">
        <f t="shared" si="21"/>
        <v/>
      </c>
      <c r="AH616" s="404" t="str">
        <f>IF('Antal &amp; Längder (vikter)'!C$86="Längd (mm)",IF('Antal &amp; Längder (vikter)'!C90&lt;&gt;"",'Antal &amp; Längder (vikter)'!C90,"XX"),"XX")</f>
        <v>XX</v>
      </c>
      <c r="AI616" s="7">
        <v>-9</v>
      </c>
    </row>
    <row r="617" spans="25:35" x14ac:dyDescent="0.25">
      <c r="Y617" s="402" t="s">
        <v>1684</v>
      </c>
      <c r="Z617" s="402" t="s">
        <v>1683</v>
      </c>
      <c r="AB617" s="475" t="str">
        <f>IF(COUNT(AB613:AB616)&gt;0,MAX(AB613:AB616)+1,"")</f>
        <v/>
      </c>
      <c r="AC617" s="433" t="str">
        <f>IF(AND(AH617&lt;&gt;"",AG617&lt;&gt;"",AI617&gt;0,AH617&gt;0),MAX(AC$2:AC616)+1,"XX")</f>
        <v>XX</v>
      </c>
      <c r="AD617" s="432" t="str">
        <f>IF('Antal &amp; Längder (vikter)'!$C$83&lt;&gt;"",'Antal &amp; Längder (vikter)'!$C$83,"XX")</f>
        <v>XX</v>
      </c>
      <c r="AE617" s="422" t="str">
        <f>IF(AND('Antal &amp; Längder (vikter)'!B$85&lt;&gt;"",ISNUMBER($AH617)),'Antal &amp; Längder (vikter)'!B$85,"")</f>
        <v/>
      </c>
      <c r="AF617" s="425" t="str">
        <f t="shared" si="20"/>
        <v/>
      </c>
      <c r="AG617" s="426" t="str">
        <f t="shared" si="21"/>
        <v/>
      </c>
      <c r="AH617" s="404" t="str">
        <f>IF('Antal &amp; Längder (vikter)'!C$86="Längd (mm)",IF('Antal &amp; Längder (vikter)'!C91&lt;&gt;"",'Antal &amp; Längder (vikter)'!C91,"XX"),"XX")</f>
        <v>XX</v>
      </c>
      <c r="AI617" s="7">
        <v>-9</v>
      </c>
    </row>
    <row r="618" spans="25:35" x14ac:dyDescent="0.25">
      <c r="Y618" s="402" t="s">
        <v>1686</v>
      </c>
      <c r="Z618" s="402" t="s">
        <v>1685</v>
      </c>
      <c r="AB618" s="471" t="str">
        <f>IF(COUNT(AB613:AB617)&gt;0,MAX(AB613:AB617)+1,"")</f>
        <v/>
      </c>
      <c r="AC618" s="433" t="str">
        <f>IF(AND(AH618&lt;&gt;"",AG618&lt;&gt;"",AI618&gt;0,AH618&gt;0),MAX(AC$2:AC617)+1,"XX")</f>
        <v>XX</v>
      </c>
      <c r="AD618" s="432" t="str">
        <f>IF('Antal &amp; Längder (vikter)'!$C$83&lt;&gt;"",'Antal &amp; Längder (vikter)'!$C$83,"XX")</f>
        <v>XX</v>
      </c>
      <c r="AE618" s="422" t="str">
        <f>IF(AND('Antal &amp; Längder (vikter)'!B$85&lt;&gt;"",ISNUMBER($AH618)),'Antal &amp; Längder (vikter)'!B$85,"")</f>
        <v/>
      </c>
      <c r="AF618" s="425" t="str">
        <f t="shared" si="20"/>
        <v/>
      </c>
      <c r="AG618" s="426" t="str">
        <f t="shared" si="21"/>
        <v/>
      </c>
      <c r="AH618" s="404" t="str">
        <f>IF('Antal &amp; Längder (vikter)'!C$86="Längd (mm)",IF('Antal &amp; Längder (vikter)'!C92&lt;&gt;"",'Antal &amp; Längder (vikter)'!C92,"XX"),"XX")</f>
        <v>XX</v>
      </c>
      <c r="AI618" s="7">
        <v>-9</v>
      </c>
    </row>
    <row r="619" spans="25:35" x14ac:dyDescent="0.25">
      <c r="Y619" s="402" t="s">
        <v>1688</v>
      </c>
      <c r="Z619" s="402" t="s">
        <v>1687</v>
      </c>
      <c r="AB619" s="474" t="str">
        <f>IF(COUNT(AB613:AB618)&gt;0,MAX(AB613:AB618)+1,"")</f>
        <v/>
      </c>
      <c r="AC619" s="433" t="str">
        <f>IF(AND(AH619&lt;&gt;"",AG619&lt;&gt;"",AI619&gt;0,AH619&gt;0),MAX(AC$2:AC618)+1,"XX")</f>
        <v>XX</v>
      </c>
      <c r="AD619" s="432" t="str">
        <f>IF('Antal &amp; Längder (vikter)'!$C$83&lt;&gt;"",'Antal &amp; Längder (vikter)'!$C$83,"XX")</f>
        <v>XX</v>
      </c>
      <c r="AE619" s="422" t="str">
        <f>IF(AND('Antal &amp; Längder (vikter)'!B$85&lt;&gt;"",ISNUMBER($AH619)),'Antal &amp; Längder (vikter)'!B$85,"")</f>
        <v/>
      </c>
      <c r="AF619" s="425" t="str">
        <f t="shared" si="20"/>
        <v/>
      </c>
      <c r="AG619" s="426" t="str">
        <f t="shared" si="21"/>
        <v/>
      </c>
      <c r="AH619" s="404" t="str">
        <f>IF('Antal &amp; Längder (vikter)'!C$86="Längd (mm)",IF('Antal &amp; Längder (vikter)'!C93&lt;&gt;"",'Antal &amp; Längder (vikter)'!C93,"XX"),"XX")</f>
        <v>XX</v>
      </c>
      <c r="AI619" s="7">
        <v>-9</v>
      </c>
    </row>
    <row r="620" spans="25:35" x14ac:dyDescent="0.25">
      <c r="Y620" s="402" t="s">
        <v>1690</v>
      </c>
      <c r="Z620" s="402" t="s">
        <v>1689</v>
      </c>
      <c r="AB620" s="478" t="str">
        <f>IF(COUNT(AB613:AB619)&gt;0,MAX(AB613:AB619)+1,"")</f>
        <v/>
      </c>
      <c r="AC620" s="433" t="str">
        <f>IF(AND(AH620&lt;&gt;"",AG620&lt;&gt;"",AI620&gt;0,AH620&gt;0),MAX(AC$2:AC619)+1,"XX")</f>
        <v>XX</v>
      </c>
      <c r="AD620" s="432" t="str">
        <f>IF('Antal &amp; Längder (vikter)'!$C$83&lt;&gt;"",'Antal &amp; Längder (vikter)'!$C$83,"XX")</f>
        <v>XX</v>
      </c>
      <c r="AE620" s="422" t="str">
        <f>IF(AND('Antal &amp; Längder (vikter)'!B$85&lt;&gt;"",ISNUMBER($AH620)),'Antal &amp; Längder (vikter)'!B$85,"")</f>
        <v/>
      </c>
      <c r="AF620" s="425" t="str">
        <f t="shared" si="20"/>
        <v/>
      </c>
      <c r="AG620" s="426" t="str">
        <f t="shared" si="21"/>
        <v/>
      </c>
      <c r="AH620" s="404" t="str">
        <f>IF('Antal &amp; Längder (vikter)'!C$86="Längd (mm)",IF('Antal &amp; Längder (vikter)'!C94&lt;&gt;"",'Antal &amp; Längder (vikter)'!C94,"XX"),"XX")</f>
        <v>XX</v>
      </c>
      <c r="AI620" s="7">
        <v>-9</v>
      </c>
    </row>
    <row r="621" spans="25:35" x14ac:dyDescent="0.25">
      <c r="Y621" s="402" t="s">
        <v>1692</v>
      </c>
      <c r="Z621" s="402" t="s">
        <v>1691</v>
      </c>
      <c r="AB621" s="472" t="str">
        <f>IF(COUNT(AB613:AB620)&gt;0,MAX(AB613:AB620)+1,"")</f>
        <v/>
      </c>
      <c r="AC621" s="433" t="str">
        <f>IF(AND(AH621&lt;&gt;"",AG621&lt;&gt;"",AI621&gt;0,AH621&gt;0),MAX(AC$2:AC620)+1,"XX")</f>
        <v>XX</v>
      </c>
      <c r="AD621" s="432" t="str">
        <f>IF('Antal &amp; Längder (vikter)'!$C$83&lt;&gt;"",'Antal &amp; Längder (vikter)'!$C$83,"XX")</f>
        <v>XX</v>
      </c>
      <c r="AE621" s="422" t="str">
        <f>IF(AND('Antal &amp; Längder (vikter)'!B$85&lt;&gt;"",ISNUMBER($AH621)),'Antal &amp; Längder (vikter)'!B$85,"")</f>
        <v/>
      </c>
      <c r="AF621" s="425" t="str">
        <f t="shared" si="20"/>
        <v/>
      </c>
      <c r="AG621" s="426" t="str">
        <f t="shared" si="21"/>
        <v/>
      </c>
      <c r="AH621" s="404" t="str">
        <f>IF('Antal &amp; Längder (vikter)'!C$86="Längd (mm)",IF('Antal &amp; Längder (vikter)'!C95&lt;&gt;"",'Antal &amp; Längder (vikter)'!C95,"XX"),"XX")</f>
        <v>XX</v>
      </c>
      <c r="AI621" s="7">
        <v>-9</v>
      </c>
    </row>
    <row r="622" spans="25:35" x14ac:dyDescent="0.25">
      <c r="Y622" s="402" t="s">
        <v>1694</v>
      </c>
      <c r="Z622" s="402" t="s">
        <v>1693</v>
      </c>
      <c r="AB622" s="479" t="str">
        <f>IF(COUNT(AB613:AB621)&gt;0,MAX(AB613:AB621)+1,"")</f>
        <v/>
      </c>
      <c r="AC622" s="433" t="str">
        <f>IF(AND(AH622&lt;&gt;"",AG622&lt;&gt;"",AI622&gt;0,AH622&gt;0),MAX(AC$2:AC621)+1,"XX")</f>
        <v>XX</v>
      </c>
      <c r="AD622" s="432" t="str">
        <f>IF('Antal &amp; Längder (vikter)'!$C$83&lt;&gt;"",'Antal &amp; Längder (vikter)'!$C$83,"XX")</f>
        <v>XX</v>
      </c>
      <c r="AE622" s="422" t="str">
        <f>IF(AND('Antal &amp; Längder (vikter)'!B$85&lt;&gt;"",ISNUMBER($AH622)),'Antal &amp; Längder (vikter)'!B$85,"")</f>
        <v/>
      </c>
      <c r="AF622" s="425" t="str">
        <f t="shared" si="20"/>
        <v/>
      </c>
      <c r="AG622" s="426" t="str">
        <f t="shared" si="21"/>
        <v/>
      </c>
      <c r="AH622" s="404" t="str">
        <f>IF('Antal &amp; Längder (vikter)'!C$86="Längd (mm)",IF('Antal &amp; Längder (vikter)'!C96&lt;&gt;"",'Antal &amp; Längder (vikter)'!C96,"XX"),"XX")</f>
        <v>XX</v>
      </c>
      <c r="AI622" s="7">
        <v>-9</v>
      </c>
    </row>
    <row r="623" spans="25:35" x14ac:dyDescent="0.25">
      <c r="Y623" s="402" t="s">
        <v>1696</v>
      </c>
      <c r="Z623" s="402" t="s">
        <v>1695</v>
      </c>
      <c r="AB623" s="480" t="str">
        <f>IF(AND(ISNUMBER(AH623),AH623&gt;0),IF(MAX(AB$3:AB622)&gt;0,MAX(AB$3:AB622)+1,10+COUNTIF(F$38:F$49,"&gt;0")*10+1),"")</f>
        <v/>
      </c>
      <c r="AC623" s="433" t="str">
        <f>IF(AND(AH623&lt;&gt;"",AG623&lt;&gt;"",AI623&gt;0,AH623&gt;0),MAX(AC$2:AC622)+1,"XX")</f>
        <v>XX</v>
      </c>
      <c r="AD623" s="432" t="str">
        <f>IF('Antal &amp; Längder (vikter)'!$C$83&lt;&gt;"",'Antal &amp; Längder (vikter)'!$C$83,"XX")</f>
        <v>XX</v>
      </c>
      <c r="AE623" s="417" t="str">
        <f>IF(AND('Antal &amp; Längder (vikter)'!D$85&lt;&gt;"",ISNUMBER($AH623)),'Antal &amp; Längder (vikter)'!D$85,"")</f>
        <v/>
      </c>
      <c r="AF623" s="425" t="str">
        <f t="shared" si="20"/>
        <v/>
      </c>
      <c r="AG623" s="426" t="str">
        <f t="shared" si="21"/>
        <v/>
      </c>
      <c r="AH623" s="410" t="str">
        <f>IF('Antal &amp; Längder (vikter)'!D87&lt;&gt;"",'Antal &amp; Längder (vikter)'!D87,"XX")</f>
        <v>XX</v>
      </c>
      <c r="AI623" s="405">
        <f>IF('Antal &amp; Längder (vikter)'!E$86="Vikt (g)",IF('Antal &amp; Längder (vikter)'!E87&lt;&gt;"",'Antal &amp; Längder (vikter)'!E87,-9),-9)</f>
        <v>-9</v>
      </c>
    </row>
    <row r="624" spans="25:35" x14ac:dyDescent="0.25">
      <c r="Y624" s="402" t="s">
        <v>1698</v>
      </c>
      <c r="Z624" s="402" t="s">
        <v>1697</v>
      </c>
      <c r="AB624" s="476" t="str">
        <f>IF(COUNT(AB623:AB623)&gt;0,MAX(AB623:AB623)+1,"")</f>
        <v/>
      </c>
      <c r="AC624" s="433" t="str">
        <f>IF(AND(AH624&lt;&gt;"",AG624&lt;&gt;"",AI624&gt;0,AH624&gt;0),MAX(AC$2:AC623)+1,"XX")</f>
        <v>XX</v>
      </c>
      <c r="AD624" s="432" t="str">
        <f>IF('Antal &amp; Längder (vikter)'!$C$83&lt;&gt;"",'Antal &amp; Längder (vikter)'!$C$83,"XX")</f>
        <v>XX</v>
      </c>
      <c r="AE624" s="417" t="str">
        <f>IF(AND('Antal &amp; Längder (vikter)'!D$85&lt;&gt;"",ISNUMBER($AH624)),'Antal &amp; Längder (vikter)'!D$85,"")</f>
        <v/>
      </c>
      <c r="AF624" s="425" t="str">
        <f t="shared" si="20"/>
        <v/>
      </c>
      <c r="AG624" s="426" t="str">
        <f t="shared" si="21"/>
        <v/>
      </c>
      <c r="AH624" s="410" t="str">
        <f>IF('Antal &amp; Längder (vikter)'!D88&lt;&gt;"",'Antal &amp; Längder (vikter)'!D88,"XX")</f>
        <v>XX</v>
      </c>
      <c r="AI624" s="405">
        <f>IF('Antal &amp; Längder (vikter)'!E$86="Vikt (g)",IF('Antal &amp; Längder (vikter)'!E88&lt;&gt;"",'Antal &amp; Längder (vikter)'!E88,-9),-9)</f>
        <v>-9</v>
      </c>
    </row>
    <row r="625" spans="25:35" x14ac:dyDescent="0.25">
      <c r="Y625" s="402" t="s">
        <v>2421</v>
      </c>
      <c r="Z625" s="402" t="s">
        <v>2420</v>
      </c>
      <c r="AB625" s="477" t="str">
        <f>IF(COUNT(AB623:AB624)&gt;0,MAX(AB623:AB624)+1,"")</f>
        <v/>
      </c>
      <c r="AC625" s="433" t="str">
        <f>IF(AND(AH625&lt;&gt;"",AG625&lt;&gt;"",AI625&gt;0,AH625&gt;0),MAX(AC$2:AC624)+1,"XX")</f>
        <v>XX</v>
      </c>
      <c r="AD625" s="432" t="str">
        <f>IF('Antal &amp; Längder (vikter)'!$C$83&lt;&gt;"",'Antal &amp; Längder (vikter)'!$C$83,"XX")</f>
        <v>XX</v>
      </c>
      <c r="AE625" s="417" t="str">
        <f>IF(AND('Antal &amp; Längder (vikter)'!D$85&lt;&gt;"",ISNUMBER($AH625)),'Antal &amp; Längder (vikter)'!D$85,"")</f>
        <v/>
      </c>
      <c r="AF625" s="425" t="str">
        <f t="shared" si="20"/>
        <v/>
      </c>
      <c r="AG625" s="426" t="str">
        <f t="shared" si="21"/>
        <v/>
      </c>
      <c r="AH625" s="410" t="str">
        <f>IF('Antal &amp; Längder (vikter)'!D89&lt;&gt;"",'Antal &amp; Längder (vikter)'!D89,"XX")</f>
        <v>XX</v>
      </c>
      <c r="AI625" s="405">
        <f>IF('Antal &amp; Längder (vikter)'!E$86="Vikt (g)",IF('Antal &amp; Längder (vikter)'!E89&lt;&gt;"",'Antal &amp; Längder (vikter)'!E89,-9),-9)</f>
        <v>-9</v>
      </c>
    </row>
    <row r="626" spans="25:35" x14ac:dyDescent="0.25">
      <c r="Y626" s="402" t="s">
        <v>1700</v>
      </c>
      <c r="Z626" s="402" t="s">
        <v>1699</v>
      </c>
      <c r="AB626" s="434" t="str">
        <f>IF(COUNT(AB623:AB625)&gt;0,MAX(AB623:AB625)+1,"")</f>
        <v/>
      </c>
      <c r="AC626" s="433" t="str">
        <f>IF(AND(AH626&lt;&gt;"",AG626&lt;&gt;"",AI626&gt;0,AH626&gt;0),MAX(AC$2:AC625)+1,"XX")</f>
        <v>XX</v>
      </c>
      <c r="AD626" s="432" t="str">
        <f>IF('Antal &amp; Längder (vikter)'!$C$83&lt;&gt;"",'Antal &amp; Längder (vikter)'!$C$83,"XX")</f>
        <v>XX</v>
      </c>
      <c r="AE626" s="417" t="str">
        <f>IF(AND('Antal &amp; Längder (vikter)'!D$85&lt;&gt;"",ISNUMBER($AH626)),'Antal &amp; Längder (vikter)'!D$85,"")</f>
        <v/>
      </c>
      <c r="AF626" s="425" t="str">
        <f t="shared" si="20"/>
        <v/>
      </c>
      <c r="AG626" s="426" t="str">
        <f t="shared" si="21"/>
        <v/>
      </c>
      <c r="AH626" s="410" t="str">
        <f>IF('Antal &amp; Längder (vikter)'!D90&lt;&gt;"",'Antal &amp; Längder (vikter)'!D90,"XX")</f>
        <v>XX</v>
      </c>
      <c r="AI626" s="405">
        <f>IF('Antal &amp; Längder (vikter)'!E$86="Vikt (g)",IF('Antal &amp; Längder (vikter)'!E90&lt;&gt;"",'Antal &amp; Längder (vikter)'!E90,-9),-9)</f>
        <v>-9</v>
      </c>
    </row>
    <row r="627" spans="25:35" x14ac:dyDescent="0.25">
      <c r="Y627" s="402" t="s">
        <v>1702</v>
      </c>
      <c r="Z627" s="402" t="s">
        <v>1701</v>
      </c>
      <c r="AB627" s="475" t="str">
        <f>IF(COUNT(AB623:AB626)&gt;0,MAX(AB623:AB626)+1,"")</f>
        <v/>
      </c>
      <c r="AC627" s="433" t="str">
        <f>IF(AND(AH627&lt;&gt;"",AG627&lt;&gt;"",AI627&gt;0,AH627&gt;0),MAX(AC$2:AC626)+1,"XX")</f>
        <v>XX</v>
      </c>
      <c r="AD627" s="432" t="str">
        <f>IF('Antal &amp; Längder (vikter)'!$C$83&lt;&gt;"",'Antal &amp; Längder (vikter)'!$C$83,"XX")</f>
        <v>XX</v>
      </c>
      <c r="AE627" s="417" t="str">
        <f>IF(AND('Antal &amp; Längder (vikter)'!D$85&lt;&gt;"",ISNUMBER($AH627)),'Antal &amp; Längder (vikter)'!D$85,"")</f>
        <v/>
      </c>
      <c r="AF627" s="425" t="str">
        <f t="shared" si="20"/>
        <v/>
      </c>
      <c r="AG627" s="426" t="str">
        <f t="shared" si="21"/>
        <v/>
      </c>
      <c r="AH627" s="410" t="str">
        <f>IF('Antal &amp; Längder (vikter)'!D91&lt;&gt;"",'Antal &amp; Längder (vikter)'!D91,"XX")</f>
        <v>XX</v>
      </c>
      <c r="AI627" s="405">
        <f>IF('Antal &amp; Längder (vikter)'!E$86="Vikt (g)",IF('Antal &amp; Längder (vikter)'!E91&lt;&gt;"",'Antal &amp; Längder (vikter)'!E91,-9),-9)</f>
        <v>-9</v>
      </c>
    </row>
    <row r="628" spans="25:35" x14ac:dyDescent="0.25">
      <c r="Y628" s="402" t="s">
        <v>1704</v>
      </c>
      <c r="Z628" s="402" t="s">
        <v>1703</v>
      </c>
      <c r="AB628" s="471" t="str">
        <f>IF(COUNT(AB623:AB627)&gt;0,MAX(AB623:AB627)+1,"")</f>
        <v/>
      </c>
      <c r="AC628" s="433" t="str">
        <f>IF(AND(AH628&lt;&gt;"",AG628&lt;&gt;"",AI628&gt;0,AH628&gt;0),MAX(AC$2:AC627)+1,"XX")</f>
        <v>XX</v>
      </c>
      <c r="AD628" s="432" t="str">
        <f>IF('Antal &amp; Längder (vikter)'!$C$83&lt;&gt;"",'Antal &amp; Längder (vikter)'!$C$83,"XX")</f>
        <v>XX</v>
      </c>
      <c r="AE628" s="417" t="str">
        <f>IF(AND('Antal &amp; Längder (vikter)'!D$85&lt;&gt;"",ISNUMBER($AH628)),'Antal &amp; Längder (vikter)'!D$85,"")</f>
        <v/>
      </c>
      <c r="AF628" s="425" t="str">
        <f t="shared" si="20"/>
        <v/>
      </c>
      <c r="AG628" s="426" t="str">
        <f t="shared" si="21"/>
        <v/>
      </c>
      <c r="AH628" s="410" t="str">
        <f>IF('Antal &amp; Längder (vikter)'!D92&lt;&gt;"",'Antal &amp; Längder (vikter)'!D92,"XX")</f>
        <v>XX</v>
      </c>
      <c r="AI628" s="405">
        <f>IF('Antal &amp; Längder (vikter)'!E$86="Vikt (g)",IF('Antal &amp; Längder (vikter)'!E92&lt;&gt;"",'Antal &amp; Längder (vikter)'!E92,-9),-9)</f>
        <v>-9</v>
      </c>
    </row>
    <row r="629" spans="25:35" x14ac:dyDescent="0.25">
      <c r="Y629" s="402" t="s">
        <v>1706</v>
      </c>
      <c r="Z629" s="402" t="s">
        <v>1705</v>
      </c>
      <c r="AB629" s="474" t="str">
        <f>IF(COUNT(AB623:AB628)&gt;0,MAX(AB623:AB628)+1,"")</f>
        <v/>
      </c>
      <c r="AC629" s="433" t="str">
        <f>IF(AND(AH629&lt;&gt;"",AG629&lt;&gt;"",AI629&gt;0,AH629&gt;0),MAX(AC$2:AC628)+1,"XX")</f>
        <v>XX</v>
      </c>
      <c r="AD629" s="432" t="str">
        <f>IF('Antal &amp; Längder (vikter)'!$C$83&lt;&gt;"",'Antal &amp; Längder (vikter)'!$C$83,"XX")</f>
        <v>XX</v>
      </c>
      <c r="AE629" s="417" t="str">
        <f>IF(AND('Antal &amp; Längder (vikter)'!D$85&lt;&gt;"",ISNUMBER($AH629)),'Antal &amp; Längder (vikter)'!D$85,"")</f>
        <v/>
      </c>
      <c r="AF629" s="425" t="str">
        <f t="shared" si="20"/>
        <v/>
      </c>
      <c r="AG629" s="426" t="str">
        <f t="shared" si="21"/>
        <v/>
      </c>
      <c r="AH629" s="410" t="str">
        <f>IF('Antal &amp; Längder (vikter)'!D93&lt;&gt;"",'Antal &amp; Längder (vikter)'!D93,"XX")</f>
        <v>XX</v>
      </c>
      <c r="AI629" s="405">
        <f>IF('Antal &amp; Längder (vikter)'!E$86="Vikt (g)",IF('Antal &amp; Längder (vikter)'!E93&lt;&gt;"",'Antal &amp; Längder (vikter)'!E93,-9),-9)</f>
        <v>-9</v>
      </c>
    </row>
    <row r="630" spans="25:35" x14ac:dyDescent="0.25">
      <c r="Y630" s="402" t="s">
        <v>1708</v>
      </c>
      <c r="Z630" s="402" t="s">
        <v>1707</v>
      </c>
      <c r="AB630" s="478" t="str">
        <f>IF(COUNT(AB623:AB629)&gt;0,MAX(AB623:AB629)+1,"")</f>
        <v/>
      </c>
      <c r="AC630" s="433" t="str">
        <f>IF(AND(AH630&lt;&gt;"",AG630&lt;&gt;"",AI630&gt;0,AH630&gt;0),MAX(AC$2:AC629)+1,"XX")</f>
        <v>XX</v>
      </c>
      <c r="AD630" s="432" t="str">
        <f>IF('Antal &amp; Längder (vikter)'!$C$83&lt;&gt;"",'Antal &amp; Längder (vikter)'!$C$83,"XX")</f>
        <v>XX</v>
      </c>
      <c r="AE630" s="417" t="str">
        <f>IF(AND('Antal &amp; Längder (vikter)'!D$85&lt;&gt;"",ISNUMBER($AH630)),'Antal &amp; Längder (vikter)'!D$85,"")</f>
        <v/>
      </c>
      <c r="AF630" s="425" t="str">
        <f t="shared" si="20"/>
        <v/>
      </c>
      <c r="AG630" s="426" t="str">
        <f t="shared" si="21"/>
        <v/>
      </c>
      <c r="AH630" s="410" t="str">
        <f>IF('Antal &amp; Längder (vikter)'!D94&lt;&gt;"",'Antal &amp; Längder (vikter)'!D94,"XX")</f>
        <v>XX</v>
      </c>
      <c r="AI630" s="405">
        <f>IF('Antal &amp; Längder (vikter)'!E$86="Vikt (g)",IF('Antal &amp; Längder (vikter)'!E94&lt;&gt;"",'Antal &amp; Längder (vikter)'!E94,-9),-9)</f>
        <v>-9</v>
      </c>
    </row>
    <row r="631" spans="25:35" x14ac:dyDescent="0.25">
      <c r="Y631" s="402" t="s">
        <v>1710</v>
      </c>
      <c r="Z631" s="402" t="s">
        <v>1709</v>
      </c>
      <c r="AB631" s="472" t="str">
        <f>IF(COUNT(AB623:AB630)&gt;0,MAX(AB623:AB630)+1,"")</f>
        <v/>
      </c>
      <c r="AC631" s="433" t="str">
        <f>IF(AND(AH631&lt;&gt;"",AG631&lt;&gt;"",AI631&gt;0,AH631&gt;0),MAX(AC$2:AC630)+1,"XX")</f>
        <v>XX</v>
      </c>
      <c r="AD631" s="432" t="str">
        <f>IF('Antal &amp; Längder (vikter)'!$C$83&lt;&gt;"",'Antal &amp; Längder (vikter)'!$C$83,"XX")</f>
        <v>XX</v>
      </c>
      <c r="AE631" s="417" t="str">
        <f>IF(AND('Antal &amp; Längder (vikter)'!D$85&lt;&gt;"",ISNUMBER($AH631)),'Antal &amp; Längder (vikter)'!D$85,"")</f>
        <v/>
      </c>
      <c r="AF631" s="425" t="str">
        <f t="shared" si="20"/>
        <v/>
      </c>
      <c r="AG631" s="426" t="str">
        <f t="shared" si="21"/>
        <v/>
      </c>
      <c r="AH631" s="410" t="str">
        <f>IF('Antal &amp; Längder (vikter)'!D95&lt;&gt;"",'Antal &amp; Längder (vikter)'!D95,"XX")</f>
        <v>XX</v>
      </c>
      <c r="AI631" s="405">
        <f>IF('Antal &amp; Längder (vikter)'!E$86="Vikt (g)",IF('Antal &amp; Längder (vikter)'!E95&lt;&gt;"",'Antal &amp; Längder (vikter)'!E95,-9),-9)</f>
        <v>-9</v>
      </c>
    </row>
    <row r="632" spans="25:35" x14ac:dyDescent="0.25">
      <c r="Y632" s="402" t="s">
        <v>1712</v>
      </c>
      <c r="Z632" s="402" t="s">
        <v>1711</v>
      </c>
      <c r="AB632" s="479" t="str">
        <f>IF(COUNT(AB623:AB631)&gt;0,MAX(AB623:AB631)+1,"")</f>
        <v/>
      </c>
      <c r="AC632" s="433" t="str">
        <f>IF(AND(AH632&lt;&gt;"",AG632&lt;&gt;"",AI632&gt;0,AH632&gt;0),MAX(AC$2:AC631)+1,"XX")</f>
        <v>XX</v>
      </c>
      <c r="AD632" s="432" t="str">
        <f>IF('Antal &amp; Längder (vikter)'!$C$83&lt;&gt;"",'Antal &amp; Längder (vikter)'!$C$83,"XX")</f>
        <v>XX</v>
      </c>
      <c r="AE632" s="417" t="str">
        <f>IF(AND('Antal &amp; Längder (vikter)'!D$85&lt;&gt;"",ISNUMBER($AH632)),'Antal &amp; Längder (vikter)'!D$85,"")</f>
        <v/>
      </c>
      <c r="AF632" s="425" t="str">
        <f t="shared" si="20"/>
        <v/>
      </c>
      <c r="AG632" s="426" t="str">
        <f t="shared" si="21"/>
        <v/>
      </c>
      <c r="AH632" s="410" t="str">
        <f>IF('Antal &amp; Längder (vikter)'!D96&lt;&gt;"",'Antal &amp; Längder (vikter)'!D96,"XX")</f>
        <v>XX</v>
      </c>
      <c r="AI632" s="405">
        <f>IF('Antal &amp; Längder (vikter)'!E$86="Vikt (g)",IF('Antal &amp; Längder (vikter)'!E96&lt;&gt;"",'Antal &amp; Längder (vikter)'!E96,-9),-9)</f>
        <v>-9</v>
      </c>
    </row>
    <row r="633" spans="25:35" x14ac:dyDescent="0.25">
      <c r="Y633" s="402" t="s">
        <v>2152</v>
      </c>
      <c r="Z633" s="402" t="s">
        <v>2151</v>
      </c>
      <c r="AB633" s="480" t="str">
        <f>IF(AND(ISNUMBER(AH633),AH633&gt;0),IF(MAX(AB$3:AB632)&gt;0,MAX(AB$3:AB632)+1,10+COUNTIF(F$38:F$49,"&gt;0")*10+1),"")</f>
        <v/>
      </c>
      <c r="AC633" s="433" t="str">
        <f>IF(AND(AH633&lt;&gt;"",AG633&lt;&gt;"",AI633&gt;0,AH633&gt;0),MAX(AC$2:AC632)+1,"XX")</f>
        <v>XX</v>
      </c>
      <c r="AD633" s="432" t="str">
        <f>IF('Antal &amp; Längder (vikter)'!$C$83&lt;&gt;"",'Antal &amp; Längder (vikter)'!$C$83,"XX")</f>
        <v>XX</v>
      </c>
      <c r="AE633" s="417" t="str">
        <f>IF(AND('Antal &amp; Längder (vikter)'!D$85&lt;&gt;"",ISNUMBER($AH633)),'Antal &amp; Längder (vikter)'!D$85,"")</f>
        <v/>
      </c>
      <c r="AF633" s="425" t="str">
        <f t="shared" si="20"/>
        <v/>
      </c>
      <c r="AG633" s="426" t="str">
        <f t="shared" si="21"/>
        <v/>
      </c>
      <c r="AH633" s="404" t="str">
        <f>IF('Antal &amp; Längder (vikter)'!E$86="Längd (mm)",IF('Antal &amp; Längder (vikter)'!E87&lt;&gt;"",'Antal &amp; Längder (vikter)'!E87,"XX"),"XX")</f>
        <v>XX</v>
      </c>
      <c r="AI633" s="7">
        <v>-9</v>
      </c>
    </row>
    <row r="634" spans="25:35" x14ac:dyDescent="0.25">
      <c r="Y634" s="402" t="s">
        <v>1714</v>
      </c>
      <c r="Z634" s="402" t="s">
        <v>1713</v>
      </c>
      <c r="AB634" s="476" t="str">
        <f>IF(COUNT(AB633:AB633)&gt;0,MAX(AB633:AB633)+1,"")</f>
        <v/>
      </c>
      <c r="AC634" s="433" t="str">
        <f>IF(AND(AH634&lt;&gt;"",AG634&lt;&gt;"",AI634&gt;0,AH634&gt;0),MAX(AC$2:AC633)+1,"XX")</f>
        <v>XX</v>
      </c>
      <c r="AD634" s="432" t="str">
        <f>IF('Antal &amp; Längder (vikter)'!$C$83&lt;&gt;"",'Antal &amp; Längder (vikter)'!$C$83,"XX")</f>
        <v>XX</v>
      </c>
      <c r="AE634" s="417" t="str">
        <f>IF(AND('Antal &amp; Längder (vikter)'!D$85&lt;&gt;"",ISNUMBER($AH634)),'Antal &amp; Längder (vikter)'!D$85,"")</f>
        <v/>
      </c>
      <c r="AF634" s="425" t="str">
        <f t="shared" si="20"/>
        <v/>
      </c>
      <c r="AG634" s="426" t="str">
        <f t="shared" si="21"/>
        <v/>
      </c>
      <c r="AH634" s="404" t="str">
        <f>IF('Antal &amp; Längder (vikter)'!E$86="Längd (mm)",IF('Antal &amp; Längder (vikter)'!E88&lt;&gt;"",'Antal &amp; Längder (vikter)'!E88,"XX"),"XX")</f>
        <v>XX</v>
      </c>
      <c r="AI634" s="7">
        <v>-9</v>
      </c>
    </row>
    <row r="635" spans="25:35" x14ac:dyDescent="0.25">
      <c r="Y635" s="402" t="s">
        <v>2154</v>
      </c>
      <c r="Z635" s="402" t="s">
        <v>2153</v>
      </c>
      <c r="AB635" s="477" t="str">
        <f>IF(COUNT(AB633:AB634)&gt;0,MAX(AB633:AB634)+1,"")</f>
        <v/>
      </c>
      <c r="AC635" s="433" t="str">
        <f>IF(AND(AH635&lt;&gt;"",AG635&lt;&gt;"",AI635&gt;0,AH635&gt;0),MAX(AC$2:AC634)+1,"XX")</f>
        <v>XX</v>
      </c>
      <c r="AD635" s="432" t="str">
        <f>IF('Antal &amp; Längder (vikter)'!$C$83&lt;&gt;"",'Antal &amp; Längder (vikter)'!$C$83,"XX")</f>
        <v>XX</v>
      </c>
      <c r="AE635" s="417" t="str">
        <f>IF(AND('Antal &amp; Längder (vikter)'!D$85&lt;&gt;"",ISNUMBER($AH635)),'Antal &amp; Längder (vikter)'!D$85,"")</f>
        <v/>
      </c>
      <c r="AF635" s="425" t="str">
        <f t="shared" si="20"/>
        <v/>
      </c>
      <c r="AG635" s="426" t="str">
        <f t="shared" si="21"/>
        <v/>
      </c>
      <c r="AH635" s="404" t="str">
        <f>IF('Antal &amp; Längder (vikter)'!E$86="Längd (mm)",IF('Antal &amp; Längder (vikter)'!E89&lt;&gt;"",'Antal &amp; Längder (vikter)'!E89,"XX"),"XX")</f>
        <v>XX</v>
      </c>
      <c r="AI635" s="7">
        <v>-9</v>
      </c>
    </row>
    <row r="636" spans="25:35" x14ac:dyDescent="0.25">
      <c r="Y636" s="402" t="s">
        <v>1716</v>
      </c>
      <c r="Z636" s="402" t="s">
        <v>1715</v>
      </c>
      <c r="AB636" s="434" t="str">
        <f>IF(COUNT(AB633:AB635)&gt;0,MAX(AB633:AB635)+1,"")</f>
        <v/>
      </c>
      <c r="AC636" s="433" t="str">
        <f>IF(AND(AH636&lt;&gt;"",AG636&lt;&gt;"",AI636&gt;0,AH636&gt;0),MAX(AC$2:AC635)+1,"XX")</f>
        <v>XX</v>
      </c>
      <c r="AD636" s="432" t="str">
        <f>IF('Antal &amp; Längder (vikter)'!$C$83&lt;&gt;"",'Antal &amp; Längder (vikter)'!$C$83,"XX")</f>
        <v>XX</v>
      </c>
      <c r="AE636" s="417" t="str">
        <f>IF(AND('Antal &amp; Längder (vikter)'!D$85&lt;&gt;"",ISNUMBER($AH636)),'Antal &amp; Längder (vikter)'!D$85,"")</f>
        <v/>
      </c>
      <c r="AF636" s="425" t="str">
        <f t="shared" si="20"/>
        <v/>
      </c>
      <c r="AG636" s="426" t="str">
        <f t="shared" si="21"/>
        <v/>
      </c>
      <c r="AH636" s="404" t="str">
        <f>IF('Antal &amp; Längder (vikter)'!E$86="Längd (mm)",IF('Antal &amp; Längder (vikter)'!E90&lt;&gt;"",'Antal &amp; Längder (vikter)'!E90,"XX"),"XX")</f>
        <v>XX</v>
      </c>
      <c r="AI636" s="7">
        <v>-9</v>
      </c>
    </row>
    <row r="637" spans="25:35" x14ac:dyDescent="0.25">
      <c r="Y637" s="402" t="s">
        <v>1718</v>
      </c>
      <c r="Z637" s="402" t="s">
        <v>1717</v>
      </c>
      <c r="AB637" s="475" t="str">
        <f>IF(COUNT(AB633:AB636)&gt;0,MAX(AB633:AB636)+1,"")</f>
        <v/>
      </c>
      <c r="AC637" s="433" t="str">
        <f>IF(AND(AH637&lt;&gt;"",AG637&lt;&gt;"",AI637&gt;0,AH637&gt;0),MAX(AC$2:AC636)+1,"XX")</f>
        <v>XX</v>
      </c>
      <c r="AD637" s="432" t="str">
        <f>IF('Antal &amp; Längder (vikter)'!$C$83&lt;&gt;"",'Antal &amp; Längder (vikter)'!$C$83,"XX")</f>
        <v>XX</v>
      </c>
      <c r="AE637" s="417" t="str">
        <f>IF(AND('Antal &amp; Längder (vikter)'!D$85&lt;&gt;"",ISNUMBER($AH637)),'Antal &amp; Längder (vikter)'!D$85,"")</f>
        <v/>
      </c>
      <c r="AF637" s="425" t="str">
        <f t="shared" si="20"/>
        <v/>
      </c>
      <c r="AG637" s="426" t="str">
        <f t="shared" si="21"/>
        <v/>
      </c>
      <c r="AH637" s="404" t="str">
        <f>IF('Antal &amp; Längder (vikter)'!E$86="Längd (mm)",IF('Antal &amp; Längder (vikter)'!E91&lt;&gt;"",'Antal &amp; Längder (vikter)'!E91,"XX"),"XX")</f>
        <v>XX</v>
      </c>
      <c r="AI637" s="7">
        <v>-9</v>
      </c>
    </row>
    <row r="638" spans="25:35" x14ac:dyDescent="0.25">
      <c r="Y638" s="402" t="s">
        <v>2156</v>
      </c>
      <c r="Z638" s="402" t="s">
        <v>2155</v>
      </c>
      <c r="AB638" s="471" t="str">
        <f>IF(COUNT(AB633:AB637)&gt;0,MAX(AB633:AB637)+1,"")</f>
        <v/>
      </c>
      <c r="AC638" s="433" t="str">
        <f>IF(AND(AH638&lt;&gt;"",AG638&lt;&gt;"",AI638&gt;0,AH638&gt;0),MAX(AC$2:AC637)+1,"XX")</f>
        <v>XX</v>
      </c>
      <c r="AD638" s="432" t="str">
        <f>IF('Antal &amp; Längder (vikter)'!$C$83&lt;&gt;"",'Antal &amp; Längder (vikter)'!$C$83,"XX")</f>
        <v>XX</v>
      </c>
      <c r="AE638" s="417" t="str">
        <f>IF(AND('Antal &amp; Längder (vikter)'!D$85&lt;&gt;"",ISNUMBER($AH638)),'Antal &amp; Längder (vikter)'!D$85,"")</f>
        <v/>
      </c>
      <c r="AF638" s="425" t="str">
        <f t="shared" si="20"/>
        <v/>
      </c>
      <c r="AG638" s="426" t="str">
        <f t="shared" si="21"/>
        <v/>
      </c>
      <c r="AH638" s="404" t="str">
        <f>IF('Antal &amp; Längder (vikter)'!E$86="Längd (mm)",IF('Antal &amp; Längder (vikter)'!E92&lt;&gt;"",'Antal &amp; Längder (vikter)'!E92,"XX"),"XX")</f>
        <v>XX</v>
      </c>
      <c r="AI638" s="7">
        <v>-9</v>
      </c>
    </row>
    <row r="639" spans="25:35" x14ac:dyDescent="0.25">
      <c r="Y639" s="402" t="s">
        <v>2401</v>
      </c>
      <c r="Z639" s="402" t="s">
        <v>2400</v>
      </c>
      <c r="AB639" s="474" t="str">
        <f>IF(COUNT(AB633:AB638)&gt;0,MAX(AB633:AB638)+1,"")</f>
        <v/>
      </c>
      <c r="AC639" s="433" t="str">
        <f>IF(AND(AH639&lt;&gt;"",AG639&lt;&gt;"",AI639&gt;0,AH639&gt;0),MAX(AC$2:AC638)+1,"XX")</f>
        <v>XX</v>
      </c>
      <c r="AD639" s="432" t="str">
        <f>IF('Antal &amp; Längder (vikter)'!$C$83&lt;&gt;"",'Antal &amp; Längder (vikter)'!$C$83,"XX")</f>
        <v>XX</v>
      </c>
      <c r="AE639" s="417" t="str">
        <f>IF(AND('Antal &amp; Längder (vikter)'!D$85&lt;&gt;"",ISNUMBER($AH639)),'Antal &amp; Längder (vikter)'!D$85,"")</f>
        <v/>
      </c>
      <c r="AF639" s="425" t="str">
        <f t="shared" si="20"/>
        <v/>
      </c>
      <c r="AG639" s="426" t="str">
        <f t="shared" si="21"/>
        <v/>
      </c>
      <c r="AH639" s="404" t="str">
        <f>IF('Antal &amp; Längder (vikter)'!E$86="Längd (mm)",IF('Antal &amp; Längder (vikter)'!E93&lt;&gt;"",'Antal &amp; Längder (vikter)'!E93,"XX"),"XX")</f>
        <v>XX</v>
      </c>
      <c r="AI639" s="7">
        <v>-9</v>
      </c>
    </row>
    <row r="640" spans="25:35" x14ac:dyDescent="0.25">
      <c r="Y640" s="402" t="s">
        <v>2399</v>
      </c>
      <c r="Z640" s="402" t="s">
        <v>2398</v>
      </c>
      <c r="AB640" s="478" t="str">
        <f>IF(COUNT(AB633:AB639)&gt;0,MAX(AB633:AB639)+1,"")</f>
        <v/>
      </c>
      <c r="AC640" s="433" t="str">
        <f>IF(AND(AH640&lt;&gt;"",AG640&lt;&gt;"",AI640&gt;0,AH640&gt;0),MAX(AC$2:AC639)+1,"XX")</f>
        <v>XX</v>
      </c>
      <c r="AD640" s="432" t="str">
        <f>IF('Antal &amp; Längder (vikter)'!$C$83&lt;&gt;"",'Antal &amp; Längder (vikter)'!$C$83,"XX")</f>
        <v>XX</v>
      </c>
      <c r="AE640" s="417" t="str">
        <f>IF(AND('Antal &amp; Längder (vikter)'!D$85&lt;&gt;"",ISNUMBER($AH640)),'Antal &amp; Längder (vikter)'!D$85,"")</f>
        <v/>
      </c>
      <c r="AF640" s="425" t="str">
        <f t="shared" si="20"/>
        <v/>
      </c>
      <c r="AG640" s="426" t="str">
        <f t="shared" si="21"/>
        <v/>
      </c>
      <c r="AH640" s="404" t="str">
        <f>IF('Antal &amp; Längder (vikter)'!E$86="Längd (mm)",IF('Antal &amp; Längder (vikter)'!E94&lt;&gt;"",'Antal &amp; Längder (vikter)'!E94,"XX"),"XX")</f>
        <v>XX</v>
      </c>
      <c r="AI640" s="7">
        <v>-9</v>
      </c>
    </row>
    <row r="641" spans="25:35" x14ac:dyDescent="0.25">
      <c r="Y641" s="402" t="s">
        <v>1720</v>
      </c>
      <c r="Z641" s="402" t="s">
        <v>1719</v>
      </c>
      <c r="AB641" s="472" t="str">
        <f>IF(COUNT(AB633:AB640)&gt;0,MAX(AB633:AB640)+1,"")</f>
        <v/>
      </c>
      <c r="AC641" s="433" t="str">
        <f>IF(AND(AH641&lt;&gt;"",AG641&lt;&gt;"",AI641&gt;0,AH641&gt;0),MAX(AC$2:AC640)+1,"XX")</f>
        <v>XX</v>
      </c>
      <c r="AD641" s="432" t="str">
        <f>IF('Antal &amp; Längder (vikter)'!$C$83&lt;&gt;"",'Antal &amp; Längder (vikter)'!$C$83,"XX")</f>
        <v>XX</v>
      </c>
      <c r="AE641" s="417" t="str">
        <f>IF(AND('Antal &amp; Längder (vikter)'!D$85&lt;&gt;"",ISNUMBER($AH641)),'Antal &amp; Längder (vikter)'!D$85,"")</f>
        <v/>
      </c>
      <c r="AF641" s="425" t="str">
        <f t="shared" si="20"/>
        <v/>
      </c>
      <c r="AG641" s="426" t="str">
        <f t="shared" si="21"/>
        <v/>
      </c>
      <c r="AH641" s="404" t="str">
        <f>IF('Antal &amp; Längder (vikter)'!E$86="Längd (mm)",IF('Antal &amp; Längder (vikter)'!E95&lt;&gt;"",'Antal &amp; Längder (vikter)'!E95,"XX"),"XX")</f>
        <v>XX</v>
      </c>
      <c r="AI641" s="7">
        <v>-9</v>
      </c>
    </row>
    <row r="642" spans="25:35" x14ac:dyDescent="0.25">
      <c r="Y642" s="402" t="s">
        <v>1722</v>
      </c>
      <c r="Z642" s="402" t="s">
        <v>1721</v>
      </c>
      <c r="AB642" s="479" t="str">
        <f>IF(COUNT(AB633:AB641)&gt;0,MAX(AB633:AB641)+1,"")</f>
        <v/>
      </c>
      <c r="AC642" s="433" t="str">
        <f>IF(AND(AH642&lt;&gt;"",AG642&lt;&gt;"",AI642&gt;0,AH642&gt;0),MAX(AC$2:AC641)+1,"XX")</f>
        <v>XX</v>
      </c>
      <c r="AD642" s="432" t="str">
        <f>IF('Antal &amp; Längder (vikter)'!$C$83&lt;&gt;"",'Antal &amp; Längder (vikter)'!$C$83,"XX")</f>
        <v>XX</v>
      </c>
      <c r="AE642" s="417" t="str">
        <f>IF(AND('Antal &amp; Längder (vikter)'!D$85&lt;&gt;"",ISNUMBER($AH642)),'Antal &amp; Längder (vikter)'!D$85,"")</f>
        <v/>
      </c>
      <c r="AF642" s="425" t="str">
        <f t="shared" si="20"/>
        <v/>
      </c>
      <c r="AG642" s="426" t="str">
        <f t="shared" si="21"/>
        <v/>
      </c>
      <c r="AH642" s="404" t="str">
        <f>IF('Antal &amp; Längder (vikter)'!E$86="Längd (mm)",IF('Antal &amp; Längder (vikter)'!E96&lt;&gt;"",'Antal &amp; Längder (vikter)'!E96,"XX"),"XX")</f>
        <v>XX</v>
      </c>
      <c r="AI642" s="7">
        <v>-9</v>
      </c>
    </row>
    <row r="643" spans="25:35" x14ac:dyDescent="0.25">
      <c r="Y643" s="402" t="s">
        <v>2158</v>
      </c>
      <c r="Z643" s="402" t="s">
        <v>2157</v>
      </c>
      <c r="AB643" s="480" t="str">
        <f>IF(AND(ISNUMBER(AH643),AH643&gt;0),IF(MAX(AB$3:AB642)&gt;0,MAX(AB$3:AB642)+1,10+COUNTIF(F$38:F$49,"&gt;0")*10+1),"")</f>
        <v/>
      </c>
      <c r="AC643" s="433" t="str">
        <f>IF(AND(AH643&lt;&gt;"",AG643&lt;&gt;"",AI643&gt;0,AH643&gt;0),MAX(AC$2:AC642)+1,"XX")</f>
        <v>XX</v>
      </c>
      <c r="AD643" s="432" t="str">
        <f>IF('Antal &amp; Längder (vikter)'!$C$83&lt;&gt;"",'Antal &amp; Längder (vikter)'!$C$83,"XX")</f>
        <v>XX</v>
      </c>
      <c r="AE643" s="422" t="str">
        <f>IF(AND('Antal &amp; Längder (vikter)'!F$85&lt;&gt;"",ISNUMBER($AH643)),'Antal &amp; Längder (vikter)'!F$85,"")</f>
        <v/>
      </c>
      <c r="AF643" s="425" t="str">
        <f t="shared" ref="AF643:AF706" si="22">IF(AND(ISNUMBER(AH643),AE643&lt;&gt;""),VLOOKUP(AE643,$N$2:$O$60,2,FALSE),"")</f>
        <v/>
      </c>
      <c r="AG643" s="426" t="str">
        <f t="shared" ref="AG643:AG706" si="23">IF(AF643&lt;&gt;"",VLOOKUP(AF643,O$2:U$60,7,FALSE),"")</f>
        <v/>
      </c>
      <c r="AH643" s="410" t="str">
        <f>IF('Antal &amp; Längder (vikter)'!F87&lt;&gt;"",'Antal &amp; Längder (vikter)'!F87,"XX")</f>
        <v>XX</v>
      </c>
      <c r="AI643" s="405">
        <f>IF('Antal &amp; Längder (vikter)'!G$86="Vikt (g)",IF('Antal &amp; Längder (vikter)'!G87&lt;&gt;"",'Antal &amp; Längder (vikter)'!G87,-9),-9)</f>
        <v>-9</v>
      </c>
    </row>
    <row r="644" spans="25:35" x14ac:dyDescent="0.25">
      <c r="Y644" s="402" t="s">
        <v>2160</v>
      </c>
      <c r="Z644" s="402" t="s">
        <v>2159</v>
      </c>
      <c r="AB644" s="476" t="str">
        <f>IF(COUNT(AB643:AB643)&gt;0,MAX(AB643:AB643)+1,"")</f>
        <v/>
      </c>
      <c r="AC644" s="433" t="str">
        <f>IF(AND(AH644&lt;&gt;"",AG644&lt;&gt;"",AI644&gt;0,AH644&gt;0),MAX(AC$2:AC643)+1,"XX")</f>
        <v>XX</v>
      </c>
      <c r="AD644" s="432" t="str">
        <f>IF('Antal &amp; Längder (vikter)'!$C$83&lt;&gt;"",'Antal &amp; Längder (vikter)'!$C$83,"XX")</f>
        <v>XX</v>
      </c>
      <c r="AE644" s="422" t="str">
        <f>IF(AND('Antal &amp; Längder (vikter)'!F$85&lt;&gt;"",ISNUMBER($AH644)),'Antal &amp; Längder (vikter)'!F$85,"")</f>
        <v/>
      </c>
      <c r="AF644" s="425" t="str">
        <f t="shared" si="22"/>
        <v/>
      </c>
      <c r="AG644" s="426" t="str">
        <f t="shared" si="23"/>
        <v/>
      </c>
      <c r="AH644" s="410" t="str">
        <f>IF('Antal &amp; Längder (vikter)'!F88&lt;&gt;"",'Antal &amp; Längder (vikter)'!F88,"XX")</f>
        <v>XX</v>
      </c>
      <c r="AI644" s="405">
        <f>IF('Antal &amp; Längder (vikter)'!G$86="Vikt (g)",IF('Antal &amp; Längder (vikter)'!G88&lt;&gt;"",'Antal &amp; Längder (vikter)'!G88,-9),-9)</f>
        <v>-9</v>
      </c>
    </row>
    <row r="645" spans="25:35" x14ac:dyDescent="0.25">
      <c r="Y645" s="402" t="s">
        <v>2162</v>
      </c>
      <c r="Z645" s="402" t="s">
        <v>2161</v>
      </c>
      <c r="AB645" s="477" t="str">
        <f>IF(COUNT(AB643:AB644)&gt;0,MAX(AB643:AB644)+1,"")</f>
        <v/>
      </c>
      <c r="AC645" s="433" t="str">
        <f>IF(AND(AH645&lt;&gt;"",AG645&lt;&gt;"",AI645&gt;0,AH645&gt;0),MAX(AC$2:AC644)+1,"XX")</f>
        <v>XX</v>
      </c>
      <c r="AD645" s="432" t="str">
        <f>IF('Antal &amp; Längder (vikter)'!$C$83&lt;&gt;"",'Antal &amp; Längder (vikter)'!$C$83,"XX")</f>
        <v>XX</v>
      </c>
      <c r="AE645" s="422" t="str">
        <f>IF(AND('Antal &amp; Längder (vikter)'!F$85&lt;&gt;"",ISNUMBER($AH645)),'Antal &amp; Längder (vikter)'!F$85,"")</f>
        <v/>
      </c>
      <c r="AF645" s="425" t="str">
        <f t="shared" si="22"/>
        <v/>
      </c>
      <c r="AG645" s="426" t="str">
        <f t="shared" si="23"/>
        <v/>
      </c>
      <c r="AH645" s="410" t="str">
        <f>IF('Antal &amp; Längder (vikter)'!F89&lt;&gt;"",'Antal &amp; Längder (vikter)'!F89,"XX")</f>
        <v>XX</v>
      </c>
      <c r="AI645" s="405">
        <f>IF('Antal &amp; Längder (vikter)'!G$86="Vikt (g)",IF('Antal &amp; Längder (vikter)'!G89&lt;&gt;"",'Antal &amp; Längder (vikter)'!G89,-9),-9)</f>
        <v>-9</v>
      </c>
    </row>
    <row r="646" spans="25:35" x14ac:dyDescent="0.25">
      <c r="Y646" s="402" t="s">
        <v>2417</v>
      </c>
      <c r="Z646" s="402" t="s">
        <v>2416</v>
      </c>
      <c r="AB646" s="434" t="str">
        <f>IF(COUNT(AB643:AB645)&gt;0,MAX(AB643:AB645)+1,"")</f>
        <v/>
      </c>
      <c r="AC646" s="433" t="str">
        <f>IF(AND(AH646&lt;&gt;"",AG646&lt;&gt;"",AI646&gt;0,AH646&gt;0),MAX(AC$2:AC645)+1,"XX")</f>
        <v>XX</v>
      </c>
      <c r="AD646" s="432" t="str">
        <f>IF('Antal &amp; Längder (vikter)'!$C$83&lt;&gt;"",'Antal &amp; Längder (vikter)'!$C$83,"XX")</f>
        <v>XX</v>
      </c>
      <c r="AE646" s="422" t="str">
        <f>IF(AND('Antal &amp; Längder (vikter)'!F$85&lt;&gt;"",ISNUMBER($AH646)),'Antal &amp; Längder (vikter)'!F$85,"")</f>
        <v/>
      </c>
      <c r="AF646" s="425" t="str">
        <f t="shared" si="22"/>
        <v/>
      </c>
      <c r="AG646" s="426" t="str">
        <f t="shared" si="23"/>
        <v/>
      </c>
      <c r="AH646" s="410" t="str">
        <f>IF('Antal &amp; Längder (vikter)'!F90&lt;&gt;"",'Antal &amp; Längder (vikter)'!F90,"XX")</f>
        <v>XX</v>
      </c>
      <c r="AI646" s="405">
        <f>IF('Antal &amp; Längder (vikter)'!G$86="Vikt (g)",IF('Antal &amp; Längder (vikter)'!G90&lt;&gt;"",'Antal &amp; Längder (vikter)'!G90,-9),-9)</f>
        <v>-9</v>
      </c>
    </row>
    <row r="647" spans="25:35" x14ac:dyDescent="0.25">
      <c r="Y647" s="402" t="s">
        <v>2164</v>
      </c>
      <c r="Z647" s="402" t="s">
        <v>2163</v>
      </c>
      <c r="AB647" s="475" t="str">
        <f>IF(COUNT(AB643:AB646)&gt;0,MAX(AB643:AB646)+1,"")</f>
        <v/>
      </c>
      <c r="AC647" s="433" t="str">
        <f>IF(AND(AH647&lt;&gt;"",AG647&lt;&gt;"",AI647&gt;0,AH647&gt;0),MAX(AC$2:AC646)+1,"XX")</f>
        <v>XX</v>
      </c>
      <c r="AD647" s="432" t="str">
        <f>IF('Antal &amp; Längder (vikter)'!$C$83&lt;&gt;"",'Antal &amp; Längder (vikter)'!$C$83,"XX")</f>
        <v>XX</v>
      </c>
      <c r="AE647" s="422" t="str">
        <f>IF(AND('Antal &amp; Längder (vikter)'!F$85&lt;&gt;"",ISNUMBER($AH647)),'Antal &amp; Längder (vikter)'!F$85,"")</f>
        <v/>
      </c>
      <c r="AF647" s="425" t="str">
        <f t="shared" si="22"/>
        <v/>
      </c>
      <c r="AG647" s="426" t="str">
        <f t="shared" si="23"/>
        <v/>
      </c>
      <c r="AH647" s="410" t="str">
        <f>IF('Antal &amp; Längder (vikter)'!F91&lt;&gt;"",'Antal &amp; Längder (vikter)'!F91,"XX")</f>
        <v>XX</v>
      </c>
      <c r="AI647" s="405">
        <f>IF('Antal &amp; Längder (vikter)'!G$86="Vikt (g)",IF('Antal &amp; Längder (vikter)'!G91&lt;&gt;"",'Antal &amp; Längder (vikter)'!G91,-9),-9)</f>
        <v>-9</v>
      </c>
    </row>
    <row r="648" spans="25:35" x14ac:dyDescent="0.25">
      <c r="Y648" s="402" t="s">
        <v>2393</v>
      </c>
      <c r="Z648" s="402" t="s">
        <v>2392</v>
      </c>
      <c r="AB648" s="471" t="str">
        <f>IF(COUNT(AB643:AB647)&gt;0,MAX(AB643:AB647)+1,"")</f>
        <v/>
      </c>
      <c r="AC648" s="433" t="str">
        <f>IF(AND(AH648&lt;&gt;"",AG648&lt;&gt;"",AI648&gt;0,AH648&gt;0),MAX(AC$2:AC647)+1,"XX")</f>
        <v>XX</v>
      </c>
      <c r="AD648" s="432" t="str">
        <f>IF('Antal &amp; Längder (vikter)'!$C$83&lt;&gt;"",'Antal &amp; Längder (vikter)'!$C$83,"XX")</f>
        <v>XX</v>
      </c>
      <c r="AE648" s="422" t="str">
        <f>IF(AND('Antal &amp; Längder (vikter)'!F$85&lt;&gt;"",ISNUMBER($AH648)),'Antal &amp; Längder (vikter)'!F$85,"")</f>
        <v/>
      </c>
      <c r="AF648" s="425" t="str">
        <f t="shared" si="22"/>
        <v/>
      </c>
      <c r="AG648" s="426" t="str">
        <f t="shared" si="23"/>
        <v/>
      </c>
      <c r="AH648" s="410" t="str">
        <f>IF('Antal &amp; Längder (vikter)'!F92&lt;&gt;"",'Antal &amp; Längder (vikter)'!F92,"XX")</f>
        <v>XX</v>
      </c>
      <c r="AI648" s="405">
        <f>IF('Antal &amp; Längder (vikter)'!G$86="Vikt (g)",IF('Antal &amp; Längder (vikter)'!G92&lt;&gt;"",'Antal &amp; Längder (vikter)'!G92,-9),-9)</f>
        <v>-9</v>
      </c>
    </row>
    <row r="649" spans="25:35" x14ac:dyDescent="0.25">
      <c r="Y649" s="402" t="s">
        <v>2166</v>
      </c>
      <c r="Z649" s="402" t="s">
        <v>2165</v>
      </c>
      <c r="AB649" s="474" t="str">
        <f>IF(COUNT(AB643:AB648)&gt;0,MAX(AB643:AB648)+1,"")</f>
        <v/>
      </c>
      <c r="AC649" s="433" t="str">
        <f>IF(AND(AH649&lt;&gt;"",AG649&lt;&gt;"",AI649&gt;0,AH649&gt;0),MAX(AC$2:AC648)+1,"XX")</f>
        <v>XX</v>
      </c>
      <c r="AD649" s="432" t="str">
        <f>IF('Antal &amp; Längder (vikter)'!$C$83&lt;&gt;"",'Antal &amp; Längder (vikter)'!$C$83,"XX")</f>
        <v>XX</v>
      </c>
      <c r="AE649" s="422" t="str">
        <f>IF(AND('Antal &amp; Längder (vikter)'!F$85&lt;&gt;"",ISNUMBER($AH649)),'Antal &amp; Längder (vikter)'!F$85,"")</f>
        <v/>
      </c>
      <c r="AF649" s="425" t="str">
        <f t="shared" si="22"/>
        <v/>
      </c>
      <c r="AG649" s="426" t="str">
        <f t="shared" si="23"/>
        <v/>
      </c>
      <c r="AH649" s="410" t="str">
        <f>IF('Antal &amp; Längder (vikter)'!F93&lt;&gt;"",'Antal &amp; Längder (vikter)'!F93,"XX")</f>
        <v>XX</v>
      </c>
      <c r="AI649" s="405">
        <f>IF('Antal &amp; Längder (vikter)'!G$86="Vikt (g)",IF('Antal &amp; Längder (vikter)'!G93&lt;&gt;"",'Antal &amp; Längder (vikter)'!G93,-9),-9)</f>
        <v>-9</v>
      </c>
    </row>
    <row r="650" spans="25:35" x14ac:dyDescent="0.25">
      <c r="Y650" s="402" t="s">
        <v>2168</v>
      </c>
      <c r="Z650" s="402" t="s">
        <v>2167</v>
      </c>
      <c r="AB650" s="478" t="str">
        <f>IF(COUNT(AB643:AB649)&gt;0,MAX(AB643:AB649)+1,"")</f>
        <v/>
      </c>
      <c r="AC650" s="433" t="str">
        <f>IF(AND(AH650&lt;&gt;"",AG650&lt;&gt;"",AI650&gt;0,AH650&gt;0),MAX(AC$2:AC649)+1,"XX")</f>
        <v>XX</v>
      </c>
      <c r="AD650" s="432" t="str">
        <f>IF('Antal &amp; Längder (vikter)'!$C$83&lt;&gt;"",'Antal &amp; Längder (vikter)'!$C$83,"XX")</f>
        <v>XX</v>
      </c>
      <c r="AE650" s="422" t="str">
        <f>IF(AND('Antal &amp; Längder (vikter)'!F$85&lt;&gt;"",ISNUMBER($AH650)),'Antal &amp; Längder (vikter)'!F$85,"")</f>
        <v/>
      </c>
      <c r="AF650" s="425" t="str">
        <f t="shared" si="22"/>
        <v/>
      </c>
      <c r="AG650" s="426" t="str">
        <f t="shared" si="23"/>
        <v/>
      </c>
      <c r="AH650" s="410" t="str">
        <f>IF('Antal &amp; Längder (vikter)'!F94&lt;&gt;"",'Antal &amp; Längder (vikter)'!F94,"XX")</f>
        <v>XX</v>
      </c>
      <c r="AI650" s="405">
        <f>IF('Antal &amp; Längder (vikter)'!G$86="Vikt (g)",IF('Antal &amp; Längder (vikter)'!G94&lt;&gt;"",'Antal &amp; Längder (vikter)'!G94,-9),-9)</f>
        <v>-9</v>
      </c>
    </row>
    <row r="651" spans="25:35" x14ac:dyDescent="0.25">
      <c r="Y651" s="402" t="s">
        <v>1724</v>
      </c>
      <c r="Z651" s="402" t="s">
        <v>1723</v>
      </c>
      <c r="AB651" s="472" t="str">
        <f>IF(COUNT(AB643:AB650)&gt;0,MAX(AB643:AB650)+1,"")</f>
        <v/>
      </c>
      <c r="AC651" s="433" t="str">
        <f>IF(AND(AH651&lt;&gt;"",AG651&lt;&gt;"",AI651&gt;0,AH651&gt;0),MAX(AC$2:AC650)+1,"XX")</f>
        <v>XX</v>
      </c>
      <c r="AD651" s="432" t="str">
        <f>IF('Antal &amp; Längder (vikter)'!$C$83&lt;&gt;"",'Antal &amp; Längder (vikter)'!$C$83,"XX")</f>
        <v>XX</v>
      </c>
      <c r="AE651" s="422" t="str">
        <f>IF(AND('Antal &amp; Längder (vikter)'!F$85&lt;&gt;"",ISNUMBER($AH651)),'Antal &amp; Längder (vikter)'!F$85,"")</f>
        <v/>
      </c>
      <c r="AF651" s="425" t="str">
        <f t="shared" si="22"/>
        <v/>
      </c>
      <c r="AG651" s="426" t="str">
        <f t="shared" si="23"/>
        <v/>
      </c>
      <c r="AH651" s="410" t="str">
        <f>IF('Antal &amp; Längder (vikter)'!F95&lt;&gt;"",'Antal &amp; Längder (vikter)'!F95,"XX")</f>
        <v>XX</v>
      </c>
      <c r="AI651" s="405">
        <f>IF('Antal &amp; Längder (vikter)'!G$86="Vikt (g)",IF('Antal &amp; Längder (vikter)'!G95&lt;&gt;"",'Antal &amp; Längder (vikter)'!G95,-9),-9)</f>
        <v>-9</v>
      </c>
    </row>
    <row r="652" spans="25:35" x14ac:dyDescent="0.25">
      <c r="Y652" s="402" t="s">
        <v>1726</v>
      </c>
      <c r="Z652" s="402" t="s">
        <v>1725</v>
      </c>
      <c r="AB652" s="479" t="str">
        <f>IF(COUNT(AB643:AB651)&gt;0,MAX(AB643:AB651)+1,"")</f>
        <v/>
      </c>
      <c r="AC652" s="433" t="str">
        <f>IF(AND(AH652&lt;&gt;"",AG652&lt;&gt;"",AI652&gt;0,AH652&gt;0),MAX(AC$2:AC651)+1,"XX")</f>
        <v>XX</v>
      </c>
      <c r="AD652" s="432" t="str">
        <f>IF('Antal &amp; Längder (vikter)'!$C$83&lt;&gt;"",'Antal &amp; Längder (vikter)'!$C$83,"XX")</f>
        <v>XX</v>
      </c>
      <c r="AE652" s="422" t="str">
        <f>IF(AND('Antal &amp; Längder (vikter)'!F$85&lt;&gt;"",ISNUMBER($AH652)),'Antal &amp; Längder (vikter)'!F$85,"")</f>
        <v/>
      </c>
      <c r="AF652" s="425" t="str">
        <f t="shared" si="22"/>
        <v/>
      </c>
      <c r="AG652" s="426" t="str">
        <f t="shared" si="23"/>
        <v/>
      </c>
      <c r="AH652" s="410" t="str">
        <f>IF('Antal &amp; Längder (vikter)'!F96&lt;&gt;"",'Antal &amp; Längder (vikter)'!F96,"XX")</f>
        <v>XX</v>
      </c>
      <c r="AI652" s="405">
        <f>IF('Antal &amp; Längder (vikter)'!G$86="Vikt (g)",IF('Antal &amp; Längder (vikter)'!G96&lt;&gt;"",'Antal &amp; Längder (vikter)'!G96,-9),-9)</f>
        <v>-9</v>
      </c>
    </row>
    <row r="653" spans="25:35" x14ac:dyDescent="0.25">
      <c r="Y653" s="402" t="s">
        <v>1534</v>
      </c>
      <c r="Z653" s="402" t="s">
        <v>1533</v>
      </c>
      <c r="AB653" s="480" t="str">
        <f>IF(AND(ISNUMBER(AH653),AH653&gt;0),IF(MAX(AB$3:AB652)&gt;0,MAX(AB$3:AB652)+1,10+COUNTIF(F$38:F$49,"&gt;0")*10+1),"")</f>
        <v/>
      </c>
      <c r="AC653" s="433" t="str">
        <f>IF(AND(AH653&lt;&gt;"",AG653&lt;&gt;"",AI653&gt;0,AH653&gt;0),MAX(AC$2:AC652)+1,"XX")</f>
        <v>XX</v>
      </c>
      <c r="AD653" s="432" t="str">
        <f>IF('Antal &amp; Längder (vikter)'!$C$83&lt;&gt;"",'Antal &amp; Längder (vikter)'!$C$83,"XX")</f>
        <v>XX</v>
      </c>
      <c r="AE653" s="422" t="str">
        <f>IF(AND('Antal &amp; Längder (vikter)'!F$85&lt;&gt;"",ISNUMBER($AH653)),'Antal &amp; Längder (vikter)'!F$85,"")</f>
        <v/>
      </c>
      <c r="AF653" s="425" t="str">
        <f t="shared" si="22"/>
        <v/>
      </c>
      <c r="AG653" s="426" t="str">
        <f t="shared" si="23"/>
        <v/>
      </c>
      <c r="AH653" s="404" t="str">
        <f>IF('Antal &amp; Längder (vikter)'!G$86="Längd (mm)",IF('Antal &amp; Längder (vikter)'!G87&lt;&gt;"",'Antal &amp; Längder (vikter)'!G87,"XX"),"XX")</f>
        <v>XX</v>
      </c>
      <c r="AI653" s="7">
        <v>-9</v>
      </c>
    </row>
    <row r="654" spans="25:35" x14ac:dyDescent="0.25">
      <c r="Y654" s="402" t="s">
        <v>2377</v>
      </c>
      <c r="Z654" s="402" t="s">
        <v>2376</v>
      </c>
      <c r="AB654" s="476" t="str">
        <f>IF(COUNT(AB653:AB653)&gt;0,MAX(AB653:AB653)+1,"")</f>
        <v/>
      </c>
      <c r="AC654" s="433" t="str">
        <f>IF(AND(AH654&lt;&gt;"",AG654&lt;&gt;"",AI654&gt;0,AH654&gt;0),MAX(AC$2:AC653)+1,"XX")</f>
        <v>XX</v>
      </c>
      <c r="AD654" s="432" t="str">
        <f>IF('Antal &amp; Längder (vikter)'!$C$83&lt;&gt;"",'Antal &amp; Längder (vikter)'!$C$83,"XX")</f>
        <v>XX</v>
      </c>
      <c r="AE654" s="422" t="str">
        <f>IF(AND('Antal &amp; Längder (vikter)'!F$85&lt;&gt;"",ISNUMBER($AH654)),'Antal &amp; Längder (vikter)'!F$85,"")</f>
        <v/>
      </c>
      <c r="AF654" s="425" t="str">
        <f t="shared" si="22"/>
        <v/>
      </c>
      <c r="AG654" s="426" t="str">
        <f t="shared" si="23"/>
        <v/>
      </c>
      <c r="AH654" s="404" t="str">
        <f>IF('Antal &amp; Längder (vikter)'!G$86="Längd (mm)",IF('Antal &amp; Längder (vikter)'!G88&lt;&gt;"",'Antal &amp; Längder (vikter)'!G88,"XX"),"XX")</f>
        <v>XX</v>
      </c>
      <c r="AI654" s="7">
        <v>-9</v>
      </c>
    </row>
    <row r="655" spans="25:35" x14ac:dyDescent="0.25">
      <c r="Y655" s="402" t="s">
        <v>2415</v>
      </c>
      <c r="Z655" s="402" t="s">
        <v>2414</v>
      </c>
      <c r="AB655" s="477" t="str">
        <f>IF(COUNT(AB653:AB654)&gt;0,MAX(AB653:AB654)+1,"")</f>
        <v/>
      </c>
      <c r="AC655" s="433" t="str">
        <f>IF(AND(AH655&lt;&gt;"",AG655&lt;&gt;"",AI655&gt;0,AH655&gt;0),MAX(AC$2:AC654)+1,"XX")</f>
        <v>XX</v>
      </c>
      <c r="AD655" s="432" t="str">
        <f>IF('Antal &amp; Längder (vikter)'!$C$83&lt;&gt;"",'Antal &amp; Längder (vikter)'!$C$83,"XX")</f>
        <v>XX</v>
      </c>
      <c r="AE655" s="422" t="str">
        <f>IF(AND('Antal &amp; Längder (vikter)'!F$85&lt;&gt;"",ISNUMBER($AH655)),'Antal &amp; Längder (vikter)'!F$85,"")</f>
        <v/>
      </c>
      <c r="AF655" s="425" t="str">
        <f t="shared" si="22"/>
        <v/>
      </c>
      <c r="AG655" s="426" t="str">
        <f t="shared" si="23"/>
        <v/>
      </c>
      <c r="AH655" s="404" t="str">
        <f>IF('Antal &amp; Längder (vikter)'!G$86="Längd (mm)",IF('Antal &amp; Längder (vikter)'!G89&lt;&gt;"",'Antal &amp; Längder (vikter)'!G89,"XX"),"XX")</f>
        <v>XX</v>
      </c>
      <c r="AI655" s="7">
        <v>-9</v>
      </c>
    </row>
    <row r="656" spans="25:35" x14ac:dyDescent="0.25">
      <c r="Y656" s="402" t="s">
        <v>2450</v>
      </c>
      <c r="Z656" s="402" t="s">
        <v>2449</v>
      </c>
      <c r="AB656" s="434" t="str">
        <f>IF(COUNT(AB653:AB655)&gt;0,MAX(AB653:AB655)+1,"")</f>
        <v/>
      </c>
      <c r="AC656" s="433" t="str">
        <f>IF(AND(AH656&lt;&gt;"",AG656&lt;&gt;"",AI656&gt;0,AH656&gt;0),MAX(AC$2:AC655)+1,"XX")</f>
        <v>XX</v>
      </c>
      <c r="AD656" s="432" t="str">
        <f>IF('Antal &amp; Längder (vikter)'!$C$83&lt;&gt;"",'Antal &amp; Längder (vikter)'!$C$83,"XX")</f>
        <v>XX</v>
      </c>
      <c r="AE656" s="422" t="str">
        <f>IF(AND('Antal &amp; Längder (vikter)'!F$85&lt;&gt;"",ISNUMBER($AH656)),'Antal &amp; Längder (vikter)'!F$85,"")</f>
        <v/>
      </c>
      <c r="AF656" s="425" t="str">
        <f t="shared" si="22"/>
        <v/>
      </c>
      <c r="AG656" s="426" t="str">
        <f t="shared" si="23"/>
        <v/>
      </c>
      <c r="AH656" s="404" t="str">
        <f>IF('Antal &amp; Längder (vikter)'!G$86="Längd (mm)",IF('Antal &amp; Längder (vikter)'!G90&lt;&gt;"",'Antal &amp; Längder (vikter)'!G90,"XX"),"XX")</f>
        <v>XX</v>
      </c>
      <c r="AI656" s="7">
        <v>-9</v>
      </c>
    </row>
    <row r="657" spans="25:35" x14ac:dyDescent="0.25">
      <c r="Y657" s="402" t="s">
        <v>2447</v>
      </c>
      <c r="Z657" s="402" t="s">
        <v>2446</v>
      </c>
      <c r="AB657" s="475" t="str">
        <f>IF(COUNT(AB653:AB656)&gt;0,MAX(AB653:AB656)+1,"")</f>
        <v/>
      </c>
      <c r="AC657" s="433" t="str">
        <f>IF(AND(AH657&lt;&gt;"",AG657&lt;&gt;"",AI657&gt;0,AH657&gt;0),MAX(AC$2:AC656)+1,"XX")</f>
        <v>XX</v>
      </c>
      <c r="AD657" s="432" t="str">
        <f>IF('Antal &amp; Längder (vikter)'!$C$83&lt;&gt;"",'Antal &amp; Längder (vikter)'!$C$83,"XX")</f>
        <v>XX</v>
      </c>
      <c r="AE657" s="422" t="str">
        <f>IF(AND('Antal &amp; Längder (vikter)'!F$85&lt;&gt;"",ISNUMBER($AH657)),'Antal &amp; Längder (vikter)'!F$85,"")</f>
        <v/>
      </c>
      <c r="AF657" s="425" t="str">
        <f t="shared" si="22"/>
        <v/>
      </c>
      <c r="AG657" s="426" t="str">
        <f t="shared" si="23"/>
        <v/>
      </c>
      <c r="AH657" s="404" t="str">
        <f>IF('Antal &amp; Längder (vikter)'!G$86="Längd (mm)",IF('Antal &amp; Längder (vikter)'!G91&lt;&gt;"",'Antal &amp; Längder (vikter)'!G91,"XX"),"XX")</f>
        <v>XX</v>
      </c>
      <c r="AI657" s="7">
        <v>-9</v>
      </c>
    </row>
    <row r="658" spans="25:35" x14ac:dyDescent="0.25">
      <c r="Y658" s="402" t="s">
        <v>2477</v>
      </c>
      <c r="Z658" s="402" t="s">
        <v>2476</v>
      </c>
      <c r="AB658" s="471" t="str">
        <f>IF(COUNT(AB653:AB657)&gt;0,MAX(AB653:AB657)+1,"")</f>
        <v/>
      </c>
      <c r="AC658" s="433" t="str">
        <f>IF(AND(AH658&lt;&gt;"",AG658&lt;&gt;"",AI658&gt;0,AH658&gt;0),MAX(AC$2:AC657)+1,"XX")</f>
        <v>XX</v>
      </c>
      <c r="AD658" s="432" t="str">
        <f>IF('Antal &amp; Längder (vikter)'!$C$83&lt;&gt;"",'Antal &amp; Längder (vikter)'!$C$83,"XX")</f>
        <v>XX</v>
      </c>
      <c r="AE658" s="422" t="str">
        <f>IF(AND('Antal &amp; Längder (vikter)'!F$85&lt;&gt;"",ISNUMBER($AH658)),'Antal &amp; Längder (vikter)'!F$85,"")</f>
        <v/>
      </c>
      <c r="AF658" s="425" t="str">
        <f t="shared" si="22"/>
        <v/>
      </c>
      <c r="AG658" s="426" t="str">
        <f t="shared" si="23"/>
        <v/>
      </c>
      <c r="AH658" s="404" t="str">
        <f>IF('Antal &amp; Längder (vikter)'!G$86="Längd (mm)",IF('Antal &amp; Längder (vikter)'!G92&lt;&gt;"",'Antal &amp; Längder (vikter)'!G92,"XX"),"XX")</f>
        <v>XX</v>
      </c>
      <c r="AI658" s="7">
        <v>-9</v>
      </c>
    </row>
    <row r="659" spans="25:35" x14ac:dyDescent="0.25">
      <c r="Y659" s="402" t="s">
        <v>2357</v>
      </c>
      <c r="Z659" s="402" t="s">
        <v>2356</v>
      </c>
      <c r="AB659" s="474" t="str">
        <f>IF(COUNT(AB653:AB658)&gt;0,MAX(AB653:AB658)+1,"")</f>
        <v/>
      </c>
      <c r="AC659" s="433" t="str">
        <f>IF(AND(AH659&lt;&gt;"",AG659&lt;&gt;"",AI659&gt;0,AH659&gt;0),MAX(AC$2:AC658)+1,"XX")</f>
        <v>XX</v>
      </c>
      <c r="AD659" s="432" t="str">
        <f>IF('Antal &amp; Längder (vikter)'!$C$83&lt;&gt;"",'Antal &amp; Längder (vikter)'!$C$83,"XX")</f>
        <v>XX</v>
      </c>
      <c r="AE659" s="422" t="str">
        <f>IF(AND('Antal &amp; Längder (vikter)'!F$85&lt;&gt;"",ISNUMBER($AH659)),'Antal &amp; Längder (vikter)'!F$85,"")</f>
        <v/>
      </c>
      <c r="AF659" s="425" t="str">
        <f t="shared" si="22"/>
        <v/>
      </c>
      <c r="AG659" s="426" t="str">
        <f t="shared" si="23"/>
        <v/>
      </c>
      <c r="AH659" s="404" t="str">
        <f>IF('Antal &amp; Längder (vikter)'!G$86="Längd (mm)",IF('Antal &amp; Längder (vikter)'!G93&lt;&gt;"",'Antal &amp; Längder (vikter)'!G93,"XX"),"XX")</f>
        <v>XX</v>
      </c>
      <c r="AI659" s="7">
        <v>-9</v>
      </c>
    </row>
    <row r="660" spans="25:35" x14ac:dyDescent="0.25">
      <c r="Y660" s="402" t="s">
        <v>2419</v>
      </c>
      <c r="Z660" s="402" t="s">
        <v>2418</v>
      </c>
      <c r="AB660" s="478" t="str">
        <f>IF(COUNT(AB653:AB659)&gt;0,MAX(AB653:AB659)+1,"")</f>
        <v/>
      </c>
      <c r="AC660" s="433" t="str">
        <f>IF(AND(AH660&lt;&gt;"",AG660&lt;&gt;"",AI660&gt;0,AH660&gt;0),MAX(AC$2:AC659)+1,"XX")</f>
        <v>XX</v>
      </c>
      <c r="AD660" s="432" t="str">
        <f>IF('Antal &amp; Längder (vikter)'!$C$83&lt;&gt;"",'Antal &amp; Längder (vikter)'!$C$83,"XX")</f>
        <v>XX</v>
      </c>
      <c r="AE660" s="422" t="str">
        <f>IF(AND('Antal &amp; Längder (vikter)'!F$85&lt;&gt;"",ISNUMBER($AH660)),'Antal &amp; Längder (vikter)'!F$85,"")</f>
        <v/>
      </c>
      <c r="AF660" s="425" t="str">
        <f t="shared" si="22"/>
        <v/>
      </c>
      <c r="AG660" s="426" t="str">
        <f t="shared" si="23"/>
        <v/>
      </c>
      <c r="AH660" s="404" t="str">
        <f>IF('Antal &amp; Längder (vikter)'!G$86="Längd (mm)",IF('Antal &amp; Längder (vikter)'!G94&lt;&gt;"",'Antal &amp; Längder (vikter)'!G94,"XX"),"XX")</f>
        <v>XX</v>
      </c>
      <c r="AI660" s="7">
        <v>-9</v>
      </c>
    </row>
    <row r="661" spans="25:35" x14ac:dyDescent="0.25">
      <c r="Y661" s="402" t="s">
        <v>2359</v>
      </c>
      <c r="Z661" s="402" t="s">
        <v>2358</v>
      </c>
      <c r="AB661" s="472" t="str">
        <f>IF(COUNT(AB653:AB660)&gt;0,MAX(AB653:AB660)+1,"")</f>
        <v/>
      </c>
      <c r="AC661" s="433" t="str">
        <f>IF(AND(AH661&lt;&gt;"",AG661&lt;&gt;"",AI661&gt;0,AH661&gt;0),MAX(AC$2:AC660)+1,"XX")</f>
        <v>XX</v>
      </c>
      <c r="AD661" s="432" t="str">
        <f>IF('Antal &amp; Längder (vikter)'!$C$83&lt;&gt;"",'Antal &amp; Längder (vikter)'!$C$83,"XX")</f>
        <v>XX</v>
      </c>
      <c r="AE661" s="422" t="str">
        <f>IF(AND('Antal &amp; Längder (vikter)'!F$85&lt;&gt;"",ISNUMBER($AH661)),'Antal &amp; Längder (vikter)'!F$85,"")</f>
        <v/>
      </c>
      <c r="AF661" s="425" t="str">
        <f t="shared" si="22"/>
        <v/>
      </c>
      <c r="AG661" s="426" t="str">
        <f t="shared" si="23"/>
        <v/>
      </c>
      <c r="AH661" s="404" t="str">
        <f>IF('Antal &amp; Längder (vikter)'!G$86="Längd (mm)",IF('Antal &amp; Längder (vikter)'!G95&lt;&gt;"",'Antal &amp; Längder (vikter)'!G95,"XX"),"XX")</f>
        <v>XX</v>
      </c>
      <c r="AI661" s="7">
        <v>-9</v>
      </c>
    </row>
    <row r="662" spans="25:35" x14ac:dyDescent="0.25">
      <c r="Y662" s="402" t="s">
        <v>2431</v>
      </c>
      <c r="Z662" s="402" t="s">
        <v>2430</v>
      </c>
      <c r="AB662" s="479" t="str">
        <f>IF(COUNT(AB653:AB661)&gt;0,MAX(AB653:AB661)+1,"")</f>
        <v/>
      </c>
      <c r="AC662" s="433" t="str">
        <f>IF(AND(AH662&lt;&gt;"",AG662&lt;&gt;"",AI662&gt;0,AH662&gt;0),MAX(AC$2:AC661)+1,"XX")</f>
        <v>XX</v>
      </c>
      <c r="AD662" s="432" t="str">
        <f>IF('Antal &amp; Längder (vikter)'!$C$83&lt;&gt;"",'Antal &amp; Längder (vikter)'!$C$83,"XX")</f>
        <v>XX</v>
      </c>
      <c r="AE662" s="422" t="str">
        <f>IF(AND('Antal &amp; Längder (vikter)'!F$85&lt;&gt;"",ISNUMBER($AH662)),'Antal &amp; Längder (vikter)'!F$85,"")</f>
        <v/>
      </c>
      <c r="AF662" s="425" t="str">
        <f t="shared" si="22"/>
        <v/>
      </c>
      <c r="AG662" s="426" t="str">
        <f t="shared" si="23"/>
        <v/>
      </c>
      <c r="AH662" s="404" t="str">
        <f>IF('Antal &amp; Längder (vikter)'!G$86="Längd (mm)",IF('Antal &amp; Längder (vikter)'!G96&lt;&gt;"",'Antal &amp; Längder (vikter)'!G96,"XX"),"XX")</f>
        <v>XX</v>
      </c>
      <c r="AI662" s="7">
        <v>-9</v>
      </c>
    </row>
    <row r="663" spans="25:35" x14ac:dyDescent="0.25">
      <c r="Y663" s="402" t="s">
        <v>2469</v>
      </c>
      <c r="Z663" s="402" t="s">
        <v>2468</v>
      </c>
      <c r="AB663" s="480" t="str">
        <f>IF(AND(ISNUMBER(AH663),AH663&gt;0),IF(MAX(AB$3:AB662)&gt;0,MAX(AB$3:AB662)+1,10+COUNTIF(F$38:F$49,"&gt;0")*10+1),"")</f>
        <v/>
      </c>
      <c r="AC663" s="433" t="str">
        <f>IF(AND(AH663&lt;&gt;"",AG663&lt;&gt;"",AI663&gt;0,AH663&gt;0),MAX(AC$2:AC662)+1,"XX")</f>
        <v>XX</v>
      </c>
      <c r="AD663" s="432" t="str">
        <f>IF('Antal &amp; Längder (vikter)'!$C$83&lt;&gt;"",'Antal &amp; Längder (vikter)'!$C$83,"XX")</f>
        <v>XX</v>
      </c>
      <c r="AE663" s="417" t="str">
        <f>IF(AND('Antal &amp; Längder (vikter)'!H$85&lt;&gt;"",ISNUMBER($AH663)),'Antal &amp; Längder (vikter)'!H$85,"")</f>
        <v/>
      </c>
      <c r="AF663" s="425" t="str">
        <f t="shared" si="22"/>
        <v/>
      </c>
      <c r="AG663" s="426" t="str">
        <f t="shared" si="23"/>
        <v/>
      </c>
      <c r="AH663" s="410" t="str">
        <f>IF('Antal &amp; Längder (vikter)'!H87&lt;&gt;"",'Antal &amp; Längder (vikter)'!H87,"XX")</f>
        <v>XX</v>
      </c>
      <c r="AI663" s="405">
        <f>IF('Antal &amp; Längder (vikter)'!I$86="Vikt (g)",IF('Antal &amp; Längder (vikter)'!I87&lt;&gt;"",'Antal &amp; Längder (vikter)'!I87,-9),-9)</f>
        <v>-9</v>
      </c>
    </row>
    <row r="664" spans="25:35" x14ac:dyDescent="0.25">
      <c r="Y664" s="402" t="s">
        <v>2391</v>
      </c>
      <c r="Z664" s="402" t="s">
        <v>2390</v>
      </c>
      <c r="AB664" s="476" t="str">
        <f>IF(COUNT(AB663:AB663)&gt;0,MAX(AB663:AB663)+1,"")</f>
        <v/>
      </c>
      <c r="AC664" s="433" t="str">
        <f>IF(AND(AH664&lt;&gt;"",AG664&lt;&gt;"",AI664&gt;0,AH664&gt;0),MAX(AC$2:AC663)+1,"XX")</f>
        <v>XX</v>
      </c>
      <c r="AD664" s="432" t="str">
        <f>IF('Antal &amp; Längder (vikter)'!$C$83&lt;&gt;"",'Antal &amp; Längder (vikter)'!$C$83,"XX")</f>
        <v>XX</v>
      </c>
      <c r="AE664" s="417" t="str">
        <f>IF(AND('Antal &amp; Längder (vikter)'!H$85&lt;&gt;"",ISNUMBER($AH664)),'Antal &amp; Längder (vikter)'!H$85,"")</f>
        <v/>
      </c>
      <c r="AF664" s="425" t="str">
        <f t="shared" si="22"/>
        <v/>
      </c>
      <c r="AG664" s="426" t="str">
        <f t="shared" si="23"/>
        <v/>
      </c>
      <c r="AH664" s="410" t="str">
        <f>IF('Antal &amp; Längder (vikter)'!H88&lt;&gt;"",'Antal &amp; Längder (vikter)'!H88,"XX")</f>
        <v>XX</v>
      </c>
      <c r="AI664" s="405">
        <f>IF('Antal &amp; Längder (vikter)'!I$86="Vikt (g)",IF('Antal &amp; Längder (vikter)'!I88&lt;&gt;"",'Antal &amp; Längder (vikter)'!I88,-9),-9)</f>
        <v>-9</v>
      </c>
    </row>
    <row r="665" spans="25:35" x14ac:dyDescent="0.25">
      <c r="Y665" s="402" t="s">
        <v>2437</v>
      </c>
      <c r="Z665" s="402" t="s">
        <v>2436</v>
      </c>
      <c r="AB665" s="477" t="str">
        <f>IF(COUNT(AB663:AB664)&gt;0,MAX(AB663:AB664)+1,"")</f>
        <v/>
      </c>
      <c r="AC665" s="433" t="str">
        <f>IF(AND(AH665&lt;&gt;"",AG665&lt;&gt;"",AI665&gt;0,AH665&gt;0),MAX(AC$2:AC664)+1,"XX")</f>
        <v>XX</v>
      </c>
      <c r="AD665" s="432" t="str">
        <f>IF('Antal &amp; Längder (vikter)'!$C$83&lt;&gt;"",'Antal &amp; Längder (vikter)'!$C$83,"XX")</f>
        <v>XX</v>
      </c>
      <c r="AE665" s="417" t="str">
        <f>IF(AND('Antal &amp; Längder (vikter)'!H$85&lt;&gt;"",ISNUMBER($AH665)),'Antal &amp; Längder (vikter)'!H$85,"")</f>
        <v/>
      </c>
      <c r="AF665" s="425" t="str">
        <f t="shared" si="22"/>
        <v/>
      </c>
      <c r="AG665" s="426" t="str">
        <f t="shared" si="23"/>
        <v/>
      </c>
      <c r="AH665" s="410" t="str">
        <f>IF('Antal &amp; Längder (vikter)'!H89&lt;&gt;"",'Antal &amp; Längder (vikter)'!H89,"XX")</f>
        <v>XX</v>
      </c>
      <c r="AI665" s="405">
        <f>IF('Antal &amp; Längder (vikter)'!I$86="Vikt (g)",IF('Antal &amp; Längder (vikter)'!I89&lt;&gt;"",'Antal &amp; Längder (vikter)'!I89,-9),-9)</f>
        <v>-9</v>
      </c>
    </row>
    <row r="666" spans="25:35" x14ac:dyDescent="0.25">
      <c r="Y666" s="402" t="s">
        <v>2485</v>
      </c>
      <c r="Z666" s="402" t="s">
        <v>2484</v>
      </c>
      <c r="AB666" s="434" t="str">
        <f>IF(COUNT(AB663:AB665)&gt;0,MAX(AB663:AB665)+1,"")</f>
        <v/>
      </c>
      <c r="AC666" s="433" t="str">
        <f>IF(AND(AH666&lt;&gt;"",AG666&lt;&gt;"",AI666&gt;0,AH666&gt;0),MAX(AC$2:AC665)+1,"XX")</f>
        <v>XX</v>
      </c>
      <c r="AD666" s="432" t="str">
        <f>IF('Antal &amp; Längder (vikter)'!$C$83&lt;&gt;"",'Antal &amp; Längder (vikter)'!$C$83,"XX")</f>
        <v>XX</v>
      </c>
      <c r="AE666" s="417" t="str">
        <f>IF(AND('Antal &amp; Längder (vikter)'!H$85&lt;&gt;"",ISNUMBER($AH666)),'Antal &amp; Längder (vikter)'!H$85,"")</f>
        <v/>
      </c>
      <c r="AF666" s="425" t="str">
        <f t="shared" si="22"/>
        <v/>
      </c>
      <c r="AG666" s="426" t="str">
        <f t="shared" si="23"/>
        <v/>
      </c>
      <c r="AH666" s="410" t="str">
        <f>IF('Antal &amp; Längder (vikter)'!H90&lt;&gt;"",'Antal &amp; Längder (vikter)'!H90,"XX")</f>
        <v>XX</v>
      </c>
      <c r="AI666" s="405">
        <f>IF('Antal &amp; Längder (vikter)'!I$86="Vikt (g)",IF('Antal &amp; Längder (vikter)'!I90&lt;&gt;"",'Antal &amp; Längder (vikter)'!I90,-9),-9)</f>
        <v>-9</v>
      </c>
    </row>
    <row r="667" spans="25:35" x14ac:dyDescent="0.25">
      <c r="Y667" s="402" t="s">
        <v>2170</v>
      </c>
      <c r="Z667" s="402" t="s">
        <v>2169</v>
      </c>
      <c r="AB667" s="475" t="str">
        <f>IF(COUNT(AB663:AB666)&gt;0,MAX(AB663:AB666)+1,"")</f>
        <v/>
      </c>
      <c r="AC667" s="433" t="str">
        <f>IF(AND(AH667&lt;&gt;"",AG667&lt;&gt;"",AI667&gt;0,AH667&gt;0),MAX(AC$2:AC666)+1,"XX")</f>
        <v>XX</v>
      </c>
      <c r="AD667" s="432" t="str">
        <f>IF('Antal &amp; Längder (vikter)'!$C$83&lt;&gt;"",'Antal &amp; Längder (vikter)'!$C$83,"XX")</f>
        <v>XX</v>
      </c>
      <c r="AE667" s="417" t="str">
        <f>IF(AND('Antal &amp; Längder (vikter)'!H$85&lt;&gt;"",ISNUMBER($AH667)),'Antal &amp; Längder (vikter)'!H$85,"")</f>
        <v/>
      </c>
      <c r="AF667" s="425" t="str">
        <f t="shared" si="22"/>
        <v/>
      </c>
      <c r="AG667" s="426" t="str">
        <f t="shared" si="23"/>
        <v/>
      </c>
      <c r="AH667" s="410" t="str">
        <f>IF('Antal &amp; Längder (vikter)'!H91&lt;&gt;"",'Antal &amp; Längder (vikter)'!H91,"XX")</f>
        <v>XX</v>
      </c>
      <c r="AI667" s="405">
        <f>IF('Antal &amp; Längder (vikter)'!I$86="Vikt (g)",IF('Antal &amp; Längder (vikter)'!I91&lt;&gt;"",'Antal &amp; Längder (vikter)'!I91,-9),-9)</f>
        <v>-9</v>
      </c>
    </row>
    <row r="668" spans="25:35" x14ac:dyDescent="0.25">
      <c r="Y668" s="402" t="s">
        <v>2495</v>
      </c>
      <c r="Z668" s="402" t="s">
        <v>2494</v>
      </c>
      <c r="AB668" s="471" t="str">
        <f>IF(COUNT(AB663:AB667)&gt;0,MAX(AB663:AB667)+1,"")</f>
        <v/>
      </c>
      <c r="AC668" s="433" t="str">
        <f>IF(AND(AH668&lt;&gt;"",AG668&lt;&gt;"",AI668&gt;0,AH668&gt;0),MAX(AC$2:AC667)+1,"XX")</f>
        <v>XX</v>
      </c>
      <c r="AD668" s="432" t="str">
        <f>IF('Antal &amp; Längder (vikter)'!$C$83&lt;&gt;"",'Antal &amp; Längder (vikter)'!$C$83,"XX")</f>
        <v>XX</v>
      </c>
      <c r="AE668" s="417" t="str">
        <f>IF(AND('Antal &amp; Längder (vikter)'!H$85&lt;&gt;"",ISNUMBER($AH668)),'Antal &amp; Längder (vikter)'!H$85,"")</f>
        <v/>
      </c>
      <c r="AF668" s="425" t="str">
        <f t="shared" si="22"/>
        <v/>
      </c>
      <c r="AG668" s="426" t="str">
        <f t="shared" si="23"/>
        <v/>
      </c>
      <c r="AH668" s="410" t="str">
        <f>IF('Antal &amp; Längder (vikter)'!H92&lt;&gt;"",'Antal &amp; Längder (vikter)'!H92,"XX")</f>
        <v>XX</v>
      </c>
      <c r="AI668" s="405">
        <f>IF('Antal &amp; Längder (vikter)'!I$86="Vikt (g)",IF('Antal &amp; Längder (vikter)'!I92&lt;&gt;"",'Antal &amp; Längder (vikter)'!I92,-9),-9)</f>
        <v>-9</v>
      </c>
    </row>
    <row r="669" spans="25:35" x14ac:dyDescent="0.25">
      <c r="Y669" s="402" t="s">
        <v>2429</v>
      </c>
      <c r="Z669" s="402" t="s">
        <v>2428</v>
      </c>
      <c r="AB669" s="474" t="str">
        <f>IF(COUNT(AB663:AB668)&gt;0,MAX(AB663:AB668)+1,"")</f>
        <v/>
      </c>
      <c r="AC669" s="433" t="str">
        <f>IF(AND(AH669&lt;&gt;"",AG669&lt;&gt;"",AI669&gt;0,AH669&gt;0),MAX(AC$2:AC668)+1,"XX")</f>
        <v>XX</v>
      </c>
      <c r="AD669" s="432" t="str">
        <f>IF('Antal &amp; Längder (vikter)'!$C$83&lt;&gt;"",'Antal &amp; Längder (vikter)'!$C$83,"XX")</f>
        <v>XX</v>
      </c>
      <c r="AE669" s="417" t="str">
        <f>IF(AND('Antal &amp; Längder (vikter)'!H$85&lt;&gt;"",ISNUMBER($AH669)),'Antal &amp; Längder (vikter)'!H$85,"")</f>
        <v/>
      </c>
      <c r="AF669" s="425" t="str">
        <f t="shared" si="22"/>
        <v/>
      </c>
      <c r="AG669" s="426" t="str">
        <f t="shared" si="23"/>
        <v/>
      </c>
      <c r="AH669" s="410" t="str">
        <f>IF('Antal &amp; Längder (vikter)'!H93&lt;&gt;"",'Antal &amp; Längder (vikter)'!H93,"XX")</f>
        <v>XX</v>
      </c>
      <c r="AI669" s="405">
        <f>IF('Antal &amp; Längder (vikter)'!I$86="Vikt (g)",IF('Antal &amp; Längder (vikter)'!I93&lt;&gt;"",'Antal &amp; Längder (vikter)'!I93,-9),-9)</f>
        <v>-9</v>
      </c>
    </row>
    <row r="670" spans="25:35" x14ac:dyDescent="0.25">
      <c r="Y670" s="402" t="s">
        <v>2172</v>
      </c>
      <c r="Z670" s="402" t="s">
        <v>2171</v>
      </c>
      <c r="AB670" s="478" t="str">
        <f>IF(COUNT(AB663:AB669)&gt;0,MAX(AB663:AB669)+1,"")</f>
        <v/>
      </c>
      <c r="AC670" s="433" t="str">
        <f>IF(AND(AH670&lt;&gt;"",AG670&lt;&gt;"",AI670&gt;0,AH670&gt;0),MAX(AC$2:AC669)+1,"XX")</f>
        <v>XX</v>
      </c>
      <c r="AD670" s="432" t="str">
        <f>IF('Antal &amp; Längder (vikter)'!$C$83&lt;&gt;"",'Antal &amp; Längder (vikter)'!$C$83,"XX")</f>
        <v>XX</v>
      </c>
      <c r="AE670" s="417" t="str">
        <f>IF(AND('Antal &amp; Längder (vikter)'!H$85&lt;&gt;"",ISNUMBER($AH670)),'Antal &amp; Längder (vikter)'!H$85,"")</f>
        <v/>
      </c>
      <c r="AF670" s="425" t="str">
        <f t="shared" si="22"/>
        <v/>
      </c>
      <c r="AG670" s="426" t="str">
        <f t="shared" si="23"/>
        <v/>
      </c>
      <c r="AH670" s="410" t="str">
        <f>IF('Antal &amp; Längder (vikter)'!H94&lt;&gt;"",'Antal &amp; Längder (vikter)'!H94,"XX")</f>
        <v>XX</v>
      </c>
      <c r="AI670" s="405">
        <f>IF('Antal &amp; Längder (vikter)'!I$86="Vikt (g)",IF('Antal &amp; Längder (vikter)'!I94&lt;&gt;"",'Antal &amp; Längder (vikter)'!I94,-9),-9)</f>
        <v>-9</v>
      </c>
    </row>
    <row r="671" spans="25:35" x14ac:dyDescent="0.25">
      <c r="Y671" s="402" t="s">
        <v>1728</v>
      </c>
      <c r="Z671" s="402" t="s">
        <v>1727</v>
      </c>
      <c r="AB671" s="472" t="str">
        <f>IF(COUNT(AB663:AB670)&gt;0,MAX(AB663:AB670)+1,"")</f>
        <v/>
      </c>
      <c r="AC671" s="433" t="str">
        <f>IF(AND(AH671&lt;&gt;"",AG671&lt;&gt;"",AI671&gt;0,AH671&gt;0),MAX(AC$2:AC670)+1,"XX")</f>
        <v>XX</v>
      </c>
      <c r="AD671" s="432" t="str">
        <f>IF('Antal &amp; Längder (vikter)'!$C$83&lt;&gt;"",'Antal &amp; Längder (vikter)'!$C$83,"XX")</f>
        <v>XX</v>
      </c>
      <c r="AE671" s="417" t="str">
        <f>IF(AND('Antal &amp; Längder (vikter)'!H$85&lt;&gt;"",ISNUMBER($AH671)),'Antal &amp; Längder (vikter)'!H$85,"")</f>
        <v/>
      </c>
      <c r="AF671" s="425" t="str">
        <f t="shared" si="22"/>
        <v/>
      </c>
      <c r="AG671" s="426" t="str">
        <f t="shared" si="23"/>
        <v/>
      </c>
      <c r="AH671" s="410" t="str">
        <f>IF('Antal &amp; Längder (vikter)'!H95&lt;&gt;"",'Antal &amp; Längder (vikter)'!H95,"XX")</f>
        <v>XX</v>
      </c>
      <c r="AI671" s="405">
        <f>IF('Antal &amp; Längder (vikter)'!I$86="Vikt (g)",IF('Antal &amp; Längder (vikter)'!I95&lt;&gt;"",'Antal &amp; Längder (vikter)'!I95,-9),-9)</f>
        <v>-9</v>
      </c>
    </row>
    <row r="672" spans="25:35" x14ac:dyDescent="0.25">
      <c r="Y672" s="402" t="s">
        <v>1730</v>
      </c>
      <c r="Z672" s="402" t="s">
        <v>1729</v>
      </c>
      <c r="AB672" s="479" t="str">
        <f>IF(COUNT(AB663:AB671)&gt;0,MAX(AB663:AB671)+1,"")</f>
        <v/>
      </c>
      <c r="AC672" s="433" t="str">
        <f>IF(AND(AH672&lt;&gt;"",AG672&lt;&gt;"",AI672&gt;0,AH672&gt;0),MAX(AC$2:AC671)+1,"XX")</f>
        <v>XX</v>
      </c>
      <c r="AD672" s="432" t="str">
        <f>IF('Antal &amp; Längder (vikter)'!$C$83&lt;&gt;"",'Antal &amp; Längder (vikter)'!$C$83,"XX")</f>
        <v>XX</v>
      </c>
      <c r="AE672" s="417" t="str">
        <f>IF(AND('Antal &amp; Längder (vikter)'!H$85&lt;&gt;"",ISNUMBER($AH672)),'Antal &amp; Längder (vikter)'!H$85,"")</f>
        <v/>
      </c>
      <c r="AF672" s="425" t="str">
        <f t="shared" si="22"/>
        <v/>
      </c>
      <c r="AG672" s="426" t="str">
        <f t="shared" si="23"/>
        <v/>
      </c>
      <c r="AH672" s="410" t="str">
        <f>IF('Antal &amp; Längder (vikter)'!H96&lt;&gt;"",'Antal &amp; Längder (vikter)'!H96,"XX")</f>
        <v>XX</v>
      </c>
      <c r="AI672" s="405">
        <f>IF('Antal &amp; Längder (vikter)'!I$86="Vikt (g)",IF('Antal &amp; Längder (vikter)'!I96&lt;&gt;"",'Antal &amp; Längder (vikter)'!I96,-9),-9)</f>
        <v>-9</v>
      </c>
    </row>
    <row r="673" spans="25:35" x14ac:dyDescent="0.25">
      <c r="Y673" s="402" t="s">
        <v>2174</v>
      </c>
      <c r="Z673" s="402" t="s">
        <v>2173</v>
      </c>
      <c r="AB673" s="480" t="str">
        <f>IF(AND(ISNUMBER(AH673),AH673&gt;0),IF(MAX(AB$3:AB672)&gt;0,MAX(AB$3:AB672)+1,10+COUNTIF(F$38:F$49,"&gt;0")*10+1),"")</f>
        <v/>
      </c>
      <c r="AC673" s="433" t="str">
        <f>IF(AND(AH673&lt;&gt;"",AG673&lt;&gt;"",AI673&gt;0,AH673&gt;0),MAX(AC$2:AC672)+1,"XX")</f>
        <v>XX</v>
      </c>
      <c r="AD673" s="432" t="str">
        <f>IF('Antal &amp; Längder (vikter)'!$C$83&lt;&gt;"",'Antal &amp; Längder (vikter)'!$C$83,"XX")</f>
        <v>XX</v>
      </c>
      <c r="AE673" s="417" t="str">
        <f>IF(AND('Antal &amp; Längder (vikter)'!H$85&lt;&gt;"",ISNUMBER($AH673)),'Antal &amp; Längder (vikter)'!H$85,"")</f>
        <v/>
      </c>
      <c r="AF673" s="425" t="str">
        <f t="shared" si="22"/>
        <v/>
      </c>
      <c r="AG673" s="426" t="str">
        <f t="shared" si="23"/>
        <v/>
      </c>
      <c r="AH673" s="404" t="str">
        <f>IF('Antal &amp; Längder (vikter)'!I$86="Längd (mm)",IF('Antal &amp; Längder (vikter)'!I87&lt;&gt;"",'Antal &amp; Längder (vikter)'!I87,"XX"),"XX")</f>
        <v>XX</v>
      </c>
      <c r="AI673" s="7">
        <v>-9</v>
      </c>
    </row>
    <row r="674" spans="25:35" x14ac:dyDescent="0.25">
      <c r="Y674" s="402" t="s">
        <v>1732</v>
      </c>
      <c r="Z674" s="402" t="s">
        <v>1731</v>
      </c>
      <c r="AB674" s="476" t="str">
        <f>IF(COUNT(AB673:AB673)&gt;0,MAX(AB673:AB673)+1,"")</f>
        <v/>
      </c>
      <c r="AC674" s="433" t="str">
        <f>IF(AND(AH674&lt;&gt;"",AG674&lt;&gt;"",AI674&gt;0,AH674&gt;0),MAX(AC$2:AC673)+1,"XX")</f>
        <v>XX</v>
      </c>
      <c r="AD674" s="432" t="str">
        <f>IF('Antal &amp; Längder (vikter)'!$C$83&lt;&gt;"",'Antal &amp; Längder (vikter)'!$C$83,"XX")</f>
        <v>XX</v>
      </c>
      <c r="AE674" s="417" t="str">
        <f>IF(AND('Antal &amp; Längder (vikter)'!H$85&lt;&gt;"",ISNUMBER($AH674)),'Antal &amp; Längder (vikter)'!H$85,"")</f>
        <v/>
      </c>
      <c r="AF674" s="425" t="str">
        <f t="shared" si="22"/>
        <v/>
      </c>
      <c r="AG674" s="426" t="str">
        <f t="shared" si="23"/>
        <v/>
      </c>
      <c r="AH674" s="404" t="str">
        <f>IF('Antal &amp; Längder (vikter)'!I$86="Längd (mm)",IF('Antal &amp; Längder (vikter)'!I88&lt;&gt;"",'Antal &amp; Längder (vikter)'!I88,"XX"),"XX")</f>
        <v>XX</v>
      </c>
      <c r="AI674" s="7">
        <v>-9</v>
      </c>
    </row>
    <row r="675" spans="25:35" x14ac:dyDescent="0.25">
      <c r="Y675" s="402" t="s">
        <v>2176</v>
      </c>
      <c r="Z675" s="402" t="s">
        <v>2175</v>
      </c>
      <c r="AB675" s="477" t="str">
        <f>IF(COUNT(AB673:AB674)&gt;0,MAX(AB673:AB674)+1,"")</f>
        <v/>
      </c>
      <c r="AC675" s="433" t="str">
        <f>IF(AND(AH675&lt;&gt;"",AG675&lt;&gt;"",AI675&gt;0,AH675&gt;0),MAX(AC$2:AC674)+1,"XX")</f>
        <v>XX</v>
      </c>
      <c r="AD675" s="432" t="str">
        <f>IF('Antal &amp; Längder (vikter)'!$C$83&lt;&gt;"",'Antal &amp; Längder (vikter)'!$C$83,"XX")</f>
        <v>XX</v>
      </c>
      <c r="AE675" s="417" t="str">
        <f>IF(AND('Antal &amp; Längder (vikter)'!H$85&lt;&gt;"",ISNUMBER($AH675)),'Antal &amp; Längder (vikter)'!H$85,"")</f>
        <v/>
      </c>
      <c r="AF675" s="425" t="str">
        <f t="shared" si="22"/>
        <v/>
      </c>
      <c r="AG675" s="426" t="str">
        <f t="shared" si="23"/>
        <v/>
      </c>
      <c r="AH675" s="404" t="str">
        <f>IF('Antal &amp; Längder (vikter)'!I$86="Längd (mm)",IF('Antal &amp; Längder (vikter)'!I89&lt;&gt;"",'Antal &amp; Längder (vikter)'!I89,"XX"),"XX")</f>
        <v>XX</v>
      </c>
      <c r="AI675" s="7">
        <v>-9</v>
      </c>
    </row>
    <row r="676" spans="25:35" x14ac:dyDescent="0.25">
      <c r="Y676" s="402" t="s">
        <v>2403</v>
      </c>
      <c r="Z676" s="402" t="s">
        <v>2402</v>
      </c>
      <c r="AB676" s="434" t="str">
        <f>IF(COUNT(AB673:AB675)&gt;0,MAX(AB673:AB675)+1,"")</f>
        <v/>
      </c>
      <c r="AC676" s="433" t="str">
        <f>IF(AND(AH676&lt;&gt;"",AG676&lt;&gt;"",AI676&gt;0,AH676&gt;0),MAX(AC$2:AC675)+1,"XX")</f>
        <v>XX</v>
      </c>
      <c r="AD676" s="432" t="str">
        <f>IF('Antal &amp; Längder (vikter)'!$C$83&lt;&gt;"",'Antal &amp; Längder (vikter)'!$C$83,"XX")</f>
        <v>XX</v>
      </c>
      <c r="AE676" s="417" t="str">
        <f>IF(AND('Antal &amp; Längder (vikter)'!H$85&lt;&gt;"",ISNUMBER($AH676)),'Antal &amp; Längder (vikter)'!H$85,"")</f>
        <v/>
      </c>
      <c r="AF676" s="425" t="str">
        <f t="shared" si="22"/>
        <v/>
      </c>
      <c r="AG676" s="426" t="str">
        <f t="shared" si="23"/>
        <v/>
      </c>
      <c r="AH676" s="404" t="str">
        <f>IF('Antal &amp; Längder (vikter)'!I$86="Längd (mm)",IF('Antal &amp; Längder (vikter)'!I90&lt;&gt;"",'Antal &amp; Längder (vikter)'!I90,"XX"),"XX")</f>
        <v>XX</v>
      </c>
      <c r="AI676" s="7">
        <v>-9</v>
      </c>
    </row>
    <row r="677" spans="25:35" x14ac:dyDescent="0.25">
      <c r="Y677" s="402" t="s">
        <v>2413</v>
      </c>
      <c r="Z677" s="402" t="s">
        <v>2412</v>
      </c>
      <c r="AB677" s="475" t="str">
        <f>IF(COUNT(AB673:AB676)&gt;0,MAX(AB673:AB676)+1,"")</f>
        <v/>
      </c>
      <c r="AC677" s="433" t="str">
        <f>IF(AND(AH677&lt;&gt;"",AG677&lt;&gt;"",AI677&gt;0,AH677&gt;0),MAX(AC$2:AC676)+1,"XX")</f>
        <v>XX</v>
      </c>
      <c r="AD677" s="432" t="str">
        <f>IF('Antal &amp; Längder (vikter)'!$C$83&lt;&gt;"",'Antal &amp; Längder (vikter)'!$C$83,"XX")</f>
        <v>XX</v>
      </c>
      <c r="AE677" s="417" t="str">
        <f>IF(AND('Antal &amp; Längder (vikter)'!H$85&lt;&gt;"",ISNUMBER($AH677)),'Antal &amp; Längder (vikter)'!H$85,"")</f>
        <v/>
      </c>
      <c r="AF677" s="425" t="str">
        <f t="shared" si="22"/>
        <v/>
      </c>
      <c r="AG677" s="426" t="str">
        <f t="shared" si="23"/>
        <v/>
      </c>
      <c r="AH677" s="404" t="str">
        <f>IF('Antal &amp; Längder (vikter)'!I$86="Längd (mm)",IF('Antal &amp; Längder (vikter)'!I91&lt;&gt;"",'Antal &amp; Längder (vikter)'!I91,"XX"),"XX")</f>
        <v>XX</v>
      </c>
      <c r="AI677" s="7">
        <v>-9</v>
      </c>
    </row>
    <row r="678" spans="25:35" x14ac:dyDescent="0.25">
      <c r="Y678" s="402" t="s">
        <v>2178</v>
      </c>
      <c r="Z678" s="402" t="s">
        <v>2177</v>
      </c>
      <c r="AB678" s="471" t="str">
        <f>IF(COUNT(AB673:AB677)&gt;0,MAX(AB673:AB677)+1,"")</f>
        <v/>
      </c>
      <c r="AC678" s="433" t="str">
        <f>IF(AND(AH678&lt;&gt;"",AG678&lt;&gt;"",AI678&gt;0,AH678&gt;0),MAX(AC$2:AC677)+1,"XX")</f>
        <v>XX</v>
      </c>
      <c r="AD678" s="432" t="str">
        <f>IF('Antal &amp; Längder (vikter)'!$C$83&lt;&gt;"",'Antal &amp; Längder (vikter)'!$C$83,"XX")</f>
        <v>XX</v>
      </c>
      <c r="AE678" s="417" t="str">
        <f>IF(AND('Antal &amp; Längder (vikter)'!H$85&lt;&gt;"",ISNUMBER($AH678)),'Antal &amp; Längder (vikter)'!H$85,"")</f>
        <v/>
      </c>
      <c r="AF678" s="425" t="str">
        <f t="shared" si="22"/>
        <v/>
      </c>
      <c r="AG678" s="426" t="str">
        <f t="shared" si="23"/>
        <v/>
      </c>
      <c r="AH678" s="404" t="str">
        <f>IF('Antal &amp; Längder (vikter)'!I$86="Längd (mm)",IF('Antal &amp; Längder (vikter)'!I92&lt;&gt;"",'Antal &amp; Längder (vikter)'!I92,"XX"),"XX")</f>
        <v>XX</v>
      </c>
      <c r="AI678" s="7">
        <v>-9</v>
      </c>
    </row>
    <row r="679" spans="25:35" x14ac:dyDescent="0.25">
      <c r="Y679" s="402" t="s">
        <v>1734</v>
      </c>
      <c r="Z679" s="402" t="s">
        <v>1733</v>
      </c>
      <c r="AB679" s="474" t="str">
        <f>IF(COUNT(AB673:AB678)&gt;0,MAX(AB673:AB678)+1,"")</f>
        <v/>
      </c>
      <c r="AC679" s="433" t="str">
        <f>IF(AND(AH679&lt;&gt;"",AG679&lt;&gt;"",AI679&gt;0,AH679&gt;0),MAX(AC$2:AC678)+1,"XX")</f>
        <v>XX</v>
      </c>
      <c r="AD679" s="432" t="str">
        <f>IF('Antal &amp; Längder (vikter)'!$C$83&lt;&gt;"",'Antal &amp; Längder (vikter)'!$C$83,"XX")</f>
        <v>XX</v>
      </c>
      <c r="AE679" s="417" t="str">
        <f>IF(AND('Antal &amp; Längder (vikter)'!H$85&lt;&gt;"",ISNUMBER($AH679)),'Antal &amp; Längder (vikter)'!H$85,"")</f>
        <v/>
      </c>
      <c r="AF679" s="425" t="str">
        <f t="shared" si="22"/>
        <v/>
      </c>
      <c r="AG679" s="426" t="str">
        <f t="shared" si="23"/>
        <v/>
      </c>
      <c r="AH679" s="404" t="str">
        <f>IF('Antal &amp; Längder (vikter)'!I$86="Längd (mm)",IF('Antal &amp; Längder (vikter)'!I93&lt;&gt;"",'Antal &amp; Längder (vikter)'!I93,"XX"),"XX")</f>
        <v>XX</v>
      </c>
      <c r="AI679" s="7">
        <v>-9</v>
      </c>
    </row>
    <row r="680" spans="25:35" x14ac:dyDescent="0.25">
      <c r="Y680" s="402" t="s">
        <v>2180</v>
      </c>
      <c r="Z680" s="402" t="s">
        <v>2179</v>
      </c>
      <c r="AB680" s="478" t="str">
        <f>IF(COUNT(AB673:AB679)&gt;0,MAX(AB673:AB679)+1,"")</f>
        <v/>
      </c>
      <c r="AC680" s="433" t="str">
        <f>IF(AND(AH680&lt;&gt;"",AG680&lt;&gt;"",AI680&gt;0,AH680&gt;0),MAX(AC$2:AC679)+1,"XX")</f>
        <v>XX</v>
      </c>
      <c r="AD680" s="432" t="str">
        <f>IF('Antal &amp; Längder (vikter)'!$C$83&lt;&gt;"",'Antal &amp; Längder (vikter)'!$C$83,"XX")</f>
        <v>XX</v>
      </c>
      <c r="AE680" s="417" t="str">
        <f>IF(AND('Antal &amp; Längder (vikter)'!H$85&lt;&gt;"",ISNUMBER($AH680)),'Antal &amp; Längder (vikter)'!H$85,"")</f>
        <v/>
      </c>
      <c r="AF680" s="425" t="str">
        <f t="shared" si="22"/>
        <v/>
      </c>
      <c r="AG680" s="426" t="str">
        <f t="shared" si="23"/>
        <v/>
      </c>
      <c r="AH680" s="404" t="str">
        <f>IF('Antal &amp; Längder (vikter)'!I$86="Längd (mm)",IF('Antal &amp; Längder (vikter)'!I94&lt;&gt;"",'Antal &amp; Längder (vikter)'!I94,"XX"),"XX")</f>
        <v>XX</v>
      </c>
      <c r="AI680" s="7">
        <v>-9</v>
      </c>
    </row>
    <row r="681" spans="25:35" x14ac:dyDescent="0.25">
      <c r="Y681" s="402" t="s">
        <v>1736</v>
      </c>
      <c r="Z681" s="402" t="s">
        <v>1735</v>
      </c>
      <c r="AB681" s="472" t="str">
        <f>IF(COUNT(AB673:AB680)&gt;0,MAX(AB673:AB680)+1,"")</f>
        <v/>
      </c>
      <c r="AC681" s="433" t="str">
        <f>IF(AND(AH681&lt;&gt;"",AG681&lt;&gt;"",AI681&gt;0,AH681&gt;0),MAX(AC$2:AC680)+1,"XX")</f>
        <v>XX</v>
      </c>
      <c r="AD681" s="432" t="str">
        <f>IF('Antal &amp; Längder (vikter)'!$C$83&lt;&gt;"",'Antal &amp; Längder (vikter)'!$C$83,"XX")</f>
        <v>XX</v>
      </c>
      <c r="AE681" s="417" t="str">
        <f>IF(AND('Antal &amp; Längder (vikter)'!H$85&lt;&gt;"",ISNUMBER($AH681)),'Antal &amp; Längder (vikter)'!H$85,"")</f>
        <v/>
      </c>
      <c r="AF681" s="425" t="str">
        <f t="shared" si="22"/>
        <v/>
      </c>
      <c r="AG681" s="426" t="str">
        <f t="shared" si="23"/>
        <v/>
      </c>
      <c r="AH681" s="404" t="str">
        <f>IF('Antal &amp; Längder (vikter)'!I$86="Längd (mm)",IF('Antal &amp; Längder (vikter)'!I95&lt;&gt;"",'Antal &amp; Längder (vikter)'!I95,"XX"),"XX")</f>
        <v>XX</v>
      </c>
      <c r="AI681" s="7">
        <v>-9</v>
      </c>
    </row>
    <row r="682" spans="25:35" x14ac:dyDescent="0.25">
      <c r="Y682" s="402" t="s">
        <v>1738</v>
      </c>
      <c r="Z682" s="402" t="s">
        <v>1737</v>
      </c>
      <c r="AB682" s="479" t="str">
        <f>IF(COUNT(AB673:AB681)&gt;0,MAX(AB673:AB681)+1,"")</f>
        <v/>
      </c>
      <c r="AC682" s="433" t="str">
        <f>IF(AND(AH682&lt;&gt;"",AG682&lt;&gt;"",AI682&gt;0,AH682&gt;0),MAX(AC$2:AC681)+1,"XX")</f>
        <v>XX</v>
      </c>
      <c r="AD682" s="432" t="str">
        <f>IF('Antal &amp; Längder (vikter)'!$C$83&lt;&gt;"",'Antal &amp; Längder (vikter)'!$C$83,"XX")</f>
        <v>XX</v>
      </c>
      <c r="AE682" s="417" t="str">
        <f>IF(AND('Antal &amp; Längder (vikter)'!H$85&lt;&gt;"",ISNUMBER($AH682)),'Antal &amp; Längder (vikter)'!H$85,"")</f>
        <v/>
      </c>
      <c r="AF682" s="425" t="str">
        <f t="shared" si="22"/>
        <v/>
      </c>
      <c r="AG682" s="426" t="str">
        <f t="shared" si="23"/>
        <v/>
      </c>
      <c r="AH682" s="404" t="str">
        <f>IF('Antal &amp; Längder (vikter)'!I$86="Längd (mm)",IF('Antal &amp; Längder (vikter)'!I96&lt;&gt;"",'Antal &amp; Längder (vikter)'!I96,"XX"),"XX")</f>
        <v>XX</v>
      </c>
      <c r="AI682" s="7">
        <v>-9</v>
      </c>
    </row>
    <row r="683" spans="25:35" x14ac:dyDescent="0.25">
      <c r="Y683" s="402" t="s">
        <v>1740</v>
      </c>
      <c r="Z683" s="402" t="s">
        <v>1739</v>
      </c>
      <c r="AB683" s="480" t="str">
        <f>IF(AND(ISNUMBER(AH683),AH683&gt;0),IF(MAX(AB$3:AB682)&gt;0,MAX(AB$3:AB682)+1,10+COUNTIF(F$38:F$49,"&gt;0")*10+1),"")</f>
        <v/>
      </c>
      <c r="AC683" s="433" t="str">
        <f>IF(AND(AH683&lt;&gt;"",AG683&lt;&gt;"",AI683&gt;0,AH683&gt;0),MAX(AC$2:AC682)+1,"XX")</f>
        <v>XX</v>
      </c>
      <c r="AD683" s="432" t="str">
        <f>IF('Antal &amp; Längder (vikter)'!$C$83&lt;&gt;"",'Antal &amp; Längder (vikter)'!$C$83,"XX")</f>
        <v>XX</v>
      </c>
      <c r="AE683" s="422" t="str">
        <f>IF(AND('Antal &amp; Längder (vikter)'!J$85&lt;&gt;"",ISNUMBER($AH683)),'Antal &amp; Längder (vikter)'!J$85,"")</f>
        <v/>
      </c>
      <c r="AF683" s="425" t="str">
        <f t="shared" si="22"/>
        <v/>
      </c>
      <c r="AG683" s="426" t="str">
        <f t="shared" si="23"/>
        <v/>
      </c>
      <c r="AH683" s="410" t="str">
        <f>IF('Antal &amp; Längder (vikter)'!J87&lt;&gt;"",'Antal &amp; Längder (vikter)'!J87,"XX")</f>
        <v>XX</v>
      </c>
      <c r="AI683" s="405">
        <f>IF('Antal &amp; Längder (vikter)'!K$86="Vikt (g)",IF('Antal &amp; Längder (vikter)'!K87&lt;&gt;"",'Antal &amp; Längder (vikter)'!K87,-9),-9)</f>
        <v>-9</v>
      </c>
    </row>
    <row r="684" spans="25:35" x14ac:dyDescent="0.25">
      <c r="Y684" s="402" t="s">
        <v>1742</v>
      </c>
      <c r="Z684" s="402" t="s">
        <v>1741</v>
      </c>
      <c r="AB684" s="476" t="str">
        <f>IF(COUNT(AB683:AB683)&gt;0,MAX(AB683:AB683)+1,"")</f>
        <v/>
      </c>
      <c r="AC684" s="433" t="str">
        <f>IF(AND(AH684&lt;&gt;"",AG684&lt;&gt;"",AI684&gt;0,AH684&gt;0),MAX(AC$2:AC683)+1,"XX")</f>
        <v>XX</v>
      </c>
      <c r="AD684" s="432" t="str">
        <f>IF('Antal &amp; Längder (vikter)'!$C$83&lt;&gt;"",'Antal &amp; Längder (vikter)'!$C$83,"XX")</f>
        <v>XX</v>
      </c>
      <c r="AE684" s="422" t="str">
        <f>IF(AND('Antal &amp; Längder (vikter)'!J$85&lt;&gt;"",ISNUMBER($AH684)),'Antal &amp; Längder (vikter)'!J$85,"")</f>
        <v/>
      </c>
      <c r="AF684" s="425" t="str">
        <f t="shared" si="22"/>
        <v/>
      </c>
      <c r="AG684" s="426" t="str">
        <f t="shared" si="23"/>
        <v/>
      </c>
      <c r="AH684" s="410" t="str">
        <f>IF('Antal &amp; Längder (vikter)'!J88&lt;&gt;"",'Antal &amp; Längder (vikter)'!J88,"XX")</f>
        <v>XX</v>
      </c>
      <c r="AI684" s="405">
        <f>IF('Antal &amp; Längder (vikter)'!K$86="Vikt (g)",IF('Antal &amp; Längder (vikter)'!K88&lt;&gt;"",'Antal &amp; Längder (vikter)'!K88,-9),-9)</f>
        <v>-9</v>
      </c>
    </row>
    <row r="685" spans="25:35" x14ac:dyDescent="0.25">
      <c r="Y685" s="402" t="s">
        <v>1744</v>
      </c>
      <c r="Z685" s="402" t="s">
        <v>1743</v>
      </c>
      <c r="AB685" s="477" t="str">
        <f>IF(COUNT(AB683:AB684)&gt;0,MAX(AB683:AB684)+1,"")</f>
        <v/>
      </c>
      <c r="AC685" s="433" t="str">
        <f>IF(AND(AH685&lt;&gt;"",AG685&lt;&gt;"",AI685&gt;0,AH685&gt;0),MAX(AC$2:AC684)+1,"XX")</f>
        <v>XX</v>
      </c>
      <c r="AD685" s="432" t="str">
        <f>IF('Antal &amp; Längder (vikter)'!$C$83&lt;&gt;"",'Antal &amp; Längder (vikter)'!$C$83,"XX")</f>
        <v>XX</v>
      </c>
      <c r="AE685" s="422" t="str">
        <f>IF(AND('Antal &amp; Längder (vikter)'!J$85&lt;&gt;"",ISNUMBER($AH685)),'Antal &amp; Längder (vikter)'!J$85,"")</f>
        <v/>
      </c>
      <c r="AF685" s="425" t="str">
        <f t="shared" si="22"/>
        <v/>
      </c>
      <c r="AG685" s="426" t="str">
        <f t="shared" si="23"/>
        <v/>
      </c>
      <c r="AH685" s="410" t="str">
        <f>IF('Antal &amp; Längder (vikter)'!J89&lt;&gt;"",'Antal &amp; Längder (vikter)'!J89,"XX")</f>
        <v>XX</v>
      </c>
      <c r="AI685" s="405">
        <f>IF('Antal &amp; Längder (vikter)'!K$86="Vikt (g)",IF('Antal &amp; Längder (vikter)'!K89&lt;&gt;"",'Antal &amp; Längder (vikter)'!K89,-9),-9)</f>
        <v>-9</v>
      </c>
    </row>
    <row r="686" spans="25:35" x14ac:dyDescent="0.25">
      <c r="Y686" s="402" t="s">
        <v>2445</v>
      </c>
      <c r="Z686" s="402" t="s">
        <v>2444</v>
      </c>
      <c r="AB686" s="434" t="str">
        <f>IF(COUNT(AB683:AB685)&gt;0,MAX(AB683:AB685)+1,"")</f>
        <v/>
      </c>
      <c r="AC686" s="433" t="str">
        <f>IF(AND(AH686&lt;&gt;"",AG686&lt;&gt;"",AI686&gt;0,AH686&gt;0),MAX(AC$2:AC685)+1,"XX")</f>
        <v>XX</v>
      </c>
      <c r="AD686" s="432" t="str">
        <f>IF('Antal &amp; Längder (vikter)'!$C$83&lt;&gt;"",'Antal &amp; Längder (vikter)'!$C$83,"XX")</f>
        <v>XX</v>
      </c>
      <c r="AE686" s="422" t="str">
        <f>IF(AND('Antal &amp; Längder (vikter)'!J$85&lt;&gt;"",ISNUMBER($AH686)),'Antal &amp; Längder (vikter)'!J$85,"")</f>
        <v/>
      </c>
      <c r="AF686" s="425" t="str">
        <f t="shared" si="22"/>
        <v/>
      </c>
      <c r="AG686" s="426" t="str">
        <f t="shared" si="23"/>
        <v/>
      </c>
      <c r="AH686" s="410" t="str">
        <f>IF('Antal &amp; Längder (vikter)'!J90&lt;&gt;"",'Antal &amp; Längder (vikter)'!J90,"XX")</f>
        <v>XX</v>
      </c>
      <c r="AI686" s="405">
        <f>IF('Antal &amp; Längder (vikter)'!K$86="Vikt (g)",IF('Antal &amp; Längder (vikter)'!K90&lt;&gt;"",'Antal &amp; Längder (vikter)'!K90,-9),-9)</f>
        <v>-9</v>
      </c>
    </row>
    <row r="687" spans="25:35" x14ac:dyDescent="0.25">
      <c r="Y687" s="402" t="s">
        <v>1746</v>
      </c>
      <c r="Z687" s="402" t="s">
        <v>1745</v>
      </c>
      <c r="AB687" s="475" t="str">
        <f>IF(COUNT(AB683:AB686)&gt;0,MAX(AB683:AB686)+1,"")</f>
        <v/>
      </c>
      <c r="AC687" s="433" t="str">
        <f>IF(AND(AH687&lt;&gt;"",AG687&lt;&gt;"",AI687&gt;0,AH687&gt;0),MAX(AC$2:AC686)+1,"XX")</f>
        <v>XX</v>
      </c>
      <c r="AD687" s="432" t="str">
        <f>IF('Antal &amp; Längder (vikter)'!$C$83&lt;&gt;"",'Antal &amp; Längder (vikter)'!$C$83,"XX")</f>
        <v>XX</v>
      </c>
      <c r="AE687" s="422" t="str">
        <f>IF(AND('Antal &amp; Längder (vikter)'!J$85&lt;&gt;"",ISNUMBER($AH687)),'Antal &amp; Längder (vikter)'!J$85,"")</f>
        <v/>
      </c>
      <c r="AF687" s="425" t="str">
        <f t="shared" si="22"/>
        <v/>
      </c>
      <c r="AG687" s="426" t="str">
        <f t="shared" si="23"/>
        <v/>
      </c>
      <c r="AH687" s="410" t="str">
        <f>IF('Antal &amp; Längder (vikter)'!J91&lt;&gt;"",'Antal &amp; Längder (vikter)'!J91,"XX")</f>
        <v>XX</v>
      </c>
      <c r="AI687" s="405">
        <f>IF('Antal &amp; Längder (vikter)'!K$86="Vikt (g)",IF('Antal &amp; Längder (vikter)'!K91&lt;&gt;"",'Antal &amp; Längder (vikter)'!K91,-9),-9)</f>
        <v>-9</v>
      </c>
    </row>
    <row r="688" spans="25:35" x14ac:dyDescent="0.25">
      <c r="Y688" s="402" t="s">
        <v>2182</v>
      </c>
      <c r="Z688" s="402" t="s">
        <v>2181</v>
      </c>
      <c r="AB688" s="471" t="str">
        <f>IF(COUNT(AB683:AB687)&gt;0,MAX(AB683:AB687)+1,"")</f>
        <v/>
      </c>
      <c r="AC688" s="433" t="str">
        <f>IF(AND(AH688&lt;&gt;"",AG688&lt;&gt;"",AI688&gt;0,AH688&gt;0),MAX(AC$2:AC687)+1,"XX")</f>
        <v>XX</v>
      </c>
      <c r="AD688" s="432" t="str">
        <f>IF('Antal &amp; Längder (vikter)'!$C$83&lt;&gt;"",'Antal &amp; Längder (vikter)'!$C$83,"XX")</f>
        <v>XX</v>
      </c>
      <c r="AE688" s="422" t="str">
        <f>IF(AND('Antal &amp; Längder (vikter)'!J$85&lt;&gt;"",ISNUMBER($AH688)),'Antal &amp; Längder (vikter)'!J$85,"")</f>
        <v/>
      </c>
      <c r="AF688" s="425" t="str">
        <f t="shared" si="22"/>
        <v/>
      </c>
      <c r="AG688" s="426" t="str">
        <f t="shared" si="23"/>
        <v/>
      </c>
      <c r="AH688" s="410" t="str">
        <f>IF('Antal &amp; Längder (vikter)'!J92&lt;&gt;"",'Antal &amp; Längder (vikter)'!J92,"XX")</f>
        <v>XX</v>
      </c>
      <c r="AI688" s="405">
        <f>IF('Antal &amp; Längder (vikter)'!K$86="Vikt (g)",IF('Antal &amp; Längder (vikter)'!K92&lt;&gt;"",'Antal &amp; Längder (vikter)'!K92,-9),-9)</f>
        <v>-9</v>
      </c>
    </row>
    <row r="689" spans="25:35" x14ac:dyDescent="0.25">
      <c r="Y689" s="402" t="s">
        <v>2184</v>
      </c>
      <c r="Z689" s="402" t="s">
        <v>2183</v>
      </c>
      <c r="AB689" s="474" t="str">
        <f>IF(COUNT(AB683:AB688)&gt;0,MAX(AB683:AB688)+1,"")</f>
        <v/>
      </c>
      <c r="AC689" s="433" t="str">
        <f>IF(AND(AH689&lt;&gt;"",AG689&lt;&gt;"",AI689&gt;0,AH689&gt;0),MAX(AC$2:AC688)+1,"XX")</f>
        <v>XX</v>
      </c>
      <c r="AD689" s="432" t="str">
        <f>IF('Antal &amp; Längder (vikter)'!$C$83&lt;&gt;"",'Antal &amp; Längder (vikter)'!$C$83,"XX")</f>
        <v>XX</v>
      </c>
      <c r="AE689" s="422" t="str">
        <f>IF(AND('Antal &amp; Längder (vikter)'!J$85&lt;&gt;"",ISNUMBER($AH689)),'Antal &amp; Längder (vikter)'!J$85,"")</f>
        <v/>
      </c>
      <c r="AF689" s="425" t="str">
        <f t="shared" si="22"/>
        <v/>
      </c>
      <c r="AG689" s="426" t="str">
        <f t="shared" si="23"/>
        <v/>
      </c>
      <c r="AH689" s="410" t="str">
        <f>IF('Antal &amp; Längder (vikter)'!J93&lt;&gt;"",'Antal &amp; Längder (vikter)'!J93,"XX")</f>
        <v>XX</v>
      </c>
      <c r="AI689" s="405">
        <f>IF('Antal &amp; Längder (vikter)'!K$86="Vikt (g)",IF('Antal &amp; Längder (vikter)'!K93&lt;&gt;"",'Antal &amp; Längder (vikter)'!K93,-9),-9)</f>
        <v>-9</v>
      </c>
    </row>
    <row r="690" spans="25:35" x14ac:dyDescent="0.25">
      <c r="Y690" s="402" t="s">
        <v>2186</v>
      </c>
      <c r="Z690" s="402" t="s">
        <v>2185</v>
      </c>
      <c r="AB690" s="478" t="str">
        <f>IF(COUNT(AB683:AB689)&gt;0,MAX(AB683:AB689)+1,"")</f>
        <v/>
      </c>
      <c r="AC690" s="433" t="str">
        <f>IF(AND(AH690&lt;&gt;"",AG690&lt;&gt;"",AI690&gt;0,AH690&gt;0),MAX(AC$2:AC689)+1,"XX")</f>
        <v>XX</v>
      </c>
      <c r="AD690" s="432" t="str">
        <f>IF('Antal &amp; Längder (vikter)'!$C$83&lt;&gt;"",'Antal &amp; Längder (vikter)'!$C$83,"XX")</f>
        <v>XX</v>
      </c>
      <c r="AE690" s="422" t="str">
        <f>IF(AND('Antal &amp; Längder (vikter)'!J$85&lt;&gt;"",ISNUMBER($AH690)),'Antal &amp; Längder (vikter)'!J$85,"")</f>
        <v/>
      </c>
      <c r="AF690" s="425" t="str">
        <f t="shared" si="22"/>
        <v/>
      </c>
      <c r="AG690" s="426" t="str">
        <f t="shared" si="23"/>
        <v/>
      </c>
      <c r="AH690" s="410" t="str">
        <f>IF('Antal &amp; Längder (vikter)'!J94&lt;&gt;"",'Antal &amp; Längder (vikter)'!J94,"XX")</f>
        <v>XX</v>
      </c>
      <c r="AI690" s="405">
        <f>IF('Antal &amp; Längder (vikter)'!K$86="Vikt (g)",IF('Antal &amp; Längder (vikter)'!K94&lt;&gt;"",'Antal &amp; Längder (vikter)'!K94,-9),-9)</f>
        <v>-9</v>
      </c>
    </row>
    <row r="691" spans="25:35" x14ac:dyDescent="0.25">
      <c r="Y691" s="402" t="s">
        <v>1748</v>
      </c>
      <c r="Z691" s="402" t="s">
        <v>1747</v>
      </c>
      <c r="AB691" s="472" t="str">
        <f>IF(COUNT(AB683:AB690)&gt;0,MAX(AB683:AB690)+1,"")</f>
        <v/>
      </c>
      <c r="AC691" s="433" t="str">
        <f>IF(AND(AH691&lt;&gt;"",AG691&lt;&gt;"",AI691&gt;0,AH691&gt;0),MAX(AC$2:AC690)+1,"XX")</f>
        <v>XX</v>
      </c>
      <c r="AD691" s="432" t="str">
        <f>IF('Antal &amp; Längder (vikter)'!$C$83&lt;&gt;"",'Antal &amp; Längder (vikter)'!$C$83,"XX")</f>
        <v>XX</v>
      </c>
      <c r="AE691" s="422" t="str">
        <f>IF(AND('Antal &amp; Längder (vikter)'!J$85&lt;&gt;"",ISNUMBER($AH691)),'Antal &amp; Längder (vikter)'!J$85,"")</f>
        <v/>
      </c>
      <c r="AF691" s="425" t="str">
        <f t="shared" si="22"/>
        <v/>
      </c>
      <c r="AG691" s="426" t="str">
        <f t="shared" si="23"/>
        <v/>
      </c>
      <c r="AH691" s="410" t="str">
        <f>IF('Antal &amp; Längder (vikter)'!J95&lt;&gt;"",'Antal &amp; Längder (vikter)'!J95,"XX")</f>
        <v>XX</v>
      </c>
      <c r="AI691" s="405">
        <f>IF('Antal &amp; Längder (vikter)'!K$86="Vikt (g)",IF('Antal &amp; Längder (vikter)'!K95&lt;&gt;"",'Antal &amp; Längder (vikter)'!K95,-9),-9)</f>
        <v>-9</v>
      </c>
    </row>
    <row r="692" spans="25:35" x14ac:dyDescent="0.25">
      <c r="Y692" s="402" t="s">
        <v>2188</v>
      </c>
      <c r="Z692" s="402" t="s">
        <v>2187</v>
      </c>
      <c r="AB692" s="479" t="str">
        <f>IF(COUNT(AB683:AB691)&gt;0,MAX(AB683:AB691)+1,"")</f>
        <v/>
      </c>
      <c r="AC692" s="433" t="str">
        <f>IF(AND(AH692&lt;&gt;"",AG692&lt;&gt;"",AI692&gt;0,AH692&gt;0),MAX(AC$2:AC691)+1,"XX")</f>
        <v>XX</v>
      </c>
      <c r="AD692" s="432" t="str">
        <f>IF('Antal &amp; Längder (vikter)'!$C$83&lt;&gt;"",'Antal &amp; Längder (vikter)'!$C$83,"XX")</f>
        <v>XX</v>
      </c>
      <c r="AE692" s="422" t="str">
        <f>IF(AND('Antal &amp; Längder (vikter)'!J$85&lt;&gt;"",ISNUMBER($AH692)),'Antal &amp; Längder (vikter)'!J$85,"")</f>
        <v/>
      </c>
      <c r="AF692" s="425" t="str">
        <f t="shared" si="22"/>
        <v/>
      </c>
      <c r="AG692" s="426" t="str">
        <f t="shared" si="23"/>
        <v/>
      </c>
      <c r="AH692" s="410" t="str">
        <f>IF('Antal &amp; Längder (vikter)'!J96&lt;&gt;"",'Antal &amp; Längder (vikter)'!J96,"XX")</f>
        <v>XX</v>
      </c>
      <c r="AI692" s="405">
        <f>IF('Antal &amp; Längder (vikter)'!K$86="Vikt (g)",IF('Antal &amp; Längder (vikter)'!K96&lt;&gt;"",'Antal &amp; Längder (vikter)'!K96,-9),-9)</f>
        <v>-9</v>
      </c>
    </row>
    <row r="693" spans="25:35" x14ac:dyDescent="0.25">
      <c r="Y693" s="402" t="s">
        <v>1750</v>
      </c>
      <c r="Z693" s="402" t="s">
        <v>1749</v>
      </c>
      <c r="AB693" s="480" t="str">
        <f>IF(AND(ISNUMBER(AH693),AH693&gt;0),IF(MAX(AB$3:AB692)&gt;0,MAX(AB$3:AB692)+1,10+COUNTIF(F$38:F$49,"&gt;0")*10+1),"")</f>
        <v/>
      </c>
      <c r="AC693" s="433" t="str">
        <f>IF(AND(AH693&lt;&gt;"",AG693&lt;&gt;"",AI693&gt;0,AH693&gt;0),MAX(AC$2:AC692)+1,"XX")</f>
        <v>XX</v>
      </c>
      <c r="AD693" s="432" t="str">
        <f>IF('Antal &amp; Längder (vikter)'!$C$83&lt;&gt;"",'Antal &amp; Längder (vikter)'!$C$83,"XX")</f>
        <v>XX</v>
      </c>
      <c r="AE693" s="422" t="str">
        <f>IF(AND('Antal &amp; Längder (vikter)'!J$85&lt;&gt;"",ISNUMBER($AH693)),'Antal &amp; Längder (vikter)'!J$85,"")</f>
        <v/>
      </c>
      <c r="AF693" s="425" t="str">
        <f t="shared" si="22"/>
        <v/>
      </c>
      <c r="AG693" s="426" t="str">
        <f t="shared" si="23"/>
        <v/>
      </c>
      <c r="AH693" s="404" t="str">
        <f>IF('Antal &amp; Längder (vikter)'!K$86="Längd (mm)",IF('Antal &amp; Längder (vikter)'!K87&lt;&gt;"",'Antal &amp; Längder (vikter)'!K87,"XX"),"XX")</f>
        <v>XX</v>
      </c>
      <c r="AI693" s="7">
        <v>-9</v>
      </c>
    </row>
    <row r="694" spans="25:35" x14ac:dyDescent="0.25">
      <c r="Y694" s="402" t="s">
        <v>1752</v>
      </c>
      <c r="Z694" s="402" t="s">
        <v>1751</v>
      </c>
      <c r="AB694" s="476" t="str">
        <f>IF(COUNT(AB693:AB693)&gt;0,MAX(AB693:AB693)+1,"")</f>
        <v/>
      </c>
      <c r="AC694" s="433" t="str">
        <f>IF(AND(AH694&lt;&gt;"",AG694&lt;&gt;"",AI694&gt;0,AH694&gt;0),MAX(AC$2:AC693)+1,"XX")</f>
        <v>XX</v>
      </c>
      <c r="AD694" s="432" t="str">
        <f>IF('Antal &amp; Längder (vikter)'!$C$83&lt;&gt;"",'Antal &amp; Längder (vikter)'!$C$83,"XX")</f>
        <v>XX</v>
      </c>
      <c r="AE694" s="422" t="str">
        <f>IF(AND('Antal &amp; Längder (vikter)'!J$85&lt;&gt;"",ISNUMBER($AH694)),'Antal &amp; Längder (vikter)'!J$85,"")</f>
        <v/>
      </c>
      <c r="AF694" s="425" t="str">
        <f t="shared" si="22"/>
        <v/>
      </c>
      <c r="AG694" s="426" t="str">
        <f t="shared" si="23"/>
        <v/>
      </c>
      <c r="AH694" s="404" t="str">
        <f>IF('Antal &amp; Längder (vikter)'!K$86="Längd (mm)",IF('Antal &amp; Längder (vikter)'!K88&lt;&gt;"",'Antal &amp; Längder (vikter)'!K88,"XX"),"XX")</f>
        <v>XX</v>
      </c>
      <c r="AI694" s="7">
        <v>-9</v>
      </c>
    </row>
    <row r="695" spans="25:35" x14ac:dyDescent="0.25">
      <c r="Y695" s="402" t="s">
        <v>1754</v>
      </c>
      <c r="Z695" s="402" t="s">
        <v>1753</v>
      </c>
      <c r="AB695" s="477" t="str">
        <f>IF(COUNT(AB693:AB694)&gt;0,MAX(AB693:AB694)+1,"")</f>
        <v/>
      </c>
      <c r="AC695" s="433" t="str">
        <f>IF(AND(AH695&lt;&gt;"",AG695&lt;&gt;"",AI695&gt;0,AH695&gt;0),MAX(AC$2:AC694)+1,"XX")</f>
        <v>XX</v>
      </c>
      <c r="AD695" s="432" t="str">
        <f>IF('Antal &amp; Längder (vikter)'!$C$83&lt;&gt;"",'Antal &amp; Längder (vikter)'!$C$83,"XX")</f>
        <v>XX</v>
      </c>
      <c r="AE695" s="422" t="str">
        <f>IF(AND('Antal &amp; Längder (vikter)'!J$85&lt;&gt;"",ISNUMBER($AH695)),'Antal &amp; Längder (vikter)'!J$85,"")</f>
        <v/>
      </c>
      <c r="AF695" s="425" t="str">
        <f t="shared" si="22"/>
        <v/>
      </c>
      <c r="AG695" s="426" t="str">
        <f t="shared" si="23"/>
        <v/>
      </c>
      <c r="AH695" s="404" t="str">
        <f>IF('Antal &amp; Längder (vikter)'!K$86="Längd (mm)",IF('Antal &amp; Längder (vikter)'!K89&lt;&gt;"",'Antal &amp; Längder (vikter)'!K89,"XX"),"XX")</f>
        <v>XX</v>
      </c>
      <c r="AI695" s="7">
        <v>-9</v>
      </c>
    </row>
    <row r="696" spans="25:35" x14ac:dyDescent="0.25">
      <c r="Y696" s="402" t="s">
        <v>1756</v>
      </c>
      <c r="Z696" s="402" t="s">
        <v>1755</v>
      </c>
      <c r="AB696" s="434" t="str">
        <f>IF(COUNT(AB693:AB695)&gt;0,MAX(AB693:AB695)+1,"")</f>
        <v/>
      </c>
      <c r="AC696" s="433" t="str">
        <f>IF(AND(AH696&lt;&gt;"",AG696&lt;&gt;"",AI696&gt;0,AH696&gt;0),MAX(AC$2:AC695)+1,"XX")</f>
        <v>XX</v>
      </c>
      <c r="AD696" s="432" t="str">
        <f>IF('Antal &amp; Längder (vikter)'!$C$83&lt;&gt;"",'Antal &amp; Längder (vikter)'!$C$83,"XX")</f>
        <v>XX</v>
      </c>
      <c r="AE696" s="422" t="str">
        <f>IF(AND('Antal &amp; Längder (vikter)'!J$85&lt;&gt;"",ISNUMBER($AH696)),'Antal &amp; Längder (vikter)'!J$85,"")</f>
        <v/>
      </c>
      <c r="AF696" s="425" t="str">
        <f t="shared" si="22"/>
        <v/>
      </c>
      <c r="AG696" s="426" t="str">
        <f t="shared" si="23"/>
        <v/>
      </c>
      <c r="AH696" s="404" t="str">
        <f>IF('Antal &amp; Längder (vikter)'!K$86="Längd (mm)",IF('Antal &amp; Längder (vikter)'!K90&lt;&gt;"",'Antal &amp; Längder (vikter)'!K90,"XX"),"XX")</f>
        <v>XX</v>
      </c>
      <c r="AI696" s="7">
        <v>-9</v>
      </c>
    </row>
    <row r="697" spans="25:35" x14ac:dyDescent="0.25">
      <c r="Y697" s="402" t="s">
        <v>2369</v>
      </c>
      <c r="Z697" s="402" t="s">
        <v>2368</v>
      </c>
      <c r="AB697" s="475" t="str">
        <f>IF(COUNT(AB693:AB696)&gt;0,MAX(AB693:AB696)+1,"")</f>
        <v/>
      </c>
      <c r="AC697" s="433" t="str">
        <f>IF(AND(AH697&lt;&gt;"",AG697&lt;&gt;"",AI697&gt;0,AH697&gt;0),MAX(AC$2:AC696)+1,"XX")</f>
        <v>XX</v>
      </c>
      <c r="AD697" s="432" t="str">
        <f>IF('Antal &amp; Längder (vikter)'!$C$83&lt;&gt;"",'Antal &amp; Längder (vikter)'!$C$83,"XX")</f>
        <v>XX</v>
      </c>
      <c r="AE697" s="422" t="str">
        <f>IF(AND('Antal &amp; Längder (vikter)'!J$85&lt;&gt;"",ISNUMBER($AH697)),'Antal &amp; Längder (vikter)'!J$85,"")</f>
        <v/>
      </c>
      <c r="AF697" s="425" t="str">
        <f t="shared" si="22"/>
        <v/>
      </c>
      <c r="AG697" s="426" t="str">
        <f t="shared" si="23"/>
        <v/>
      </c>
      <c r="AH697" s="404" t="str">
        <f>IF('Antal &amp; Längder (vikter)'!K$86="Längd (mm)",IF('Antal &amp; Längder (vikter)'!K91&lt;&gt;"",'Antal &amp; Längder (vikter)'!K91,"XX"),"XX")</f>
        <v>XX</v>
      </c>
      <c r="AI697" s="7">
        <v>-9</v>
      </c>
    </row>
    <row r="698" spans="25:35" x14ac:dyDescent="0.25">
      <c r="Y698" s="402" t="s">
        <v>1758</v>
      </c>
      <c r="Z698" s="402" t="s">
        <v>1757</v>
      </c>
      <c r="AB698" s="471" t="str">
        <f>IF(COUNT(AB693:AB697)&gt;0,MAX(AB693:AB697)+1,"")</f>
        <v/>
      </c>
      <c r="AC698" s="433" t="str">
        <f>IF(AND(AH698&lt;&gt;"",AG698&lt;&gt;"",AI698&gt;0,AH698&gt;0),MAX(AC$2:AC697)+1,"XX")</f>
        <v>XX</v>
      </c>
      <c r="AD698" s="432" t="str">
        <f>IF('Antal &amp; Längder (vikter)'!$C$83&lt;&gt;"",'Antal &amp; Längder (vikter)'!$C$83,"XX")</f>
        <v>XX</v>
      </c>
      <c r="AE698" s="422" t="str">
        <f>IF(AND('Antal &amp; Längder (vikter)'!J$85&lt;&gt;"",ISNUMBER($AH698)),'Antal &amp; Längder (vikter)'!J$85,"")</f>
        <v/>
      </c>
      <c r="AF698" s="425" t="str">
        <f t="shared" si="22"/>
        <v/>
      </c>
      <c r="AG698" s="426" t="str">
        <f t="shared" si="23"/>
        <v/>
      </c>
      <c r="AH698" s="404" t="str">
        <f>IF('Antal &amp; Längder (vikter)'!K$86="Längd (mm)",IF('Antal &amp; Längder (vikter)'!K92&lt;&gt;"",'Antal &amp; Längder (vikter)'!K92,"XX"),"XX")</f>
        <v>XX</v>
      </c>
      <c r="AI698" s="7">
        <v>-9</v>
      </c>
    </row>
    <row r="699" spans="25:35" x14ac:dyDescent="0.25">
      <c r="Y699" s="402" t="s">
        <v>2497</v>
      </c>
      <c r="Z699" s="402" t="s">
        <v>2496</v>
      </c>
      <c r="AB699" s="474" t="str">
        <f>IF(COUNT(AB693:AB698)&gt;0,MAX(AB693:AB698)+1,"")</f>
        <v/>
      </c>
      <c r="AC699" s="433" t="str">
        <f>IF(AND(AH699&lt;&gt;"",AG699&lt;&gt;"",AI699&gt;0,AH699&gt;0),MAX(AC$2:AC698)+1,"XX")</f>
        <v>XX</v>
      </c>
      <c r="AD699" s="432" t="str">
        <f>IF('Antal &amp; Längder (vikter)'!$C$83&lt;&gt;"",'Antal &amp; Längder (vikter)'!$C$83,"XX")</f>
        <v>XX</v>
      </c>
      <c r="AE699" s="422" t="str">
        <f>IF(AND('Antal &amp; Längder (vikter)'!J$85&lt;&gt;"",ISNUMBER($AH699)),'Antal &amp; Längder (vikter)'!J$85,"")</f>
        <v/>
      </c>
      <c r="AF699" s="425" t="str">
        <f t="shared" si="22"/>
        <v/>
      </c>
      <c r="AG699" s="426" t="str">
        <f t="shared" si="23"/>
        <v/>
      </c>
      <c r="AH699" s="404" t="str">
        <f>IF('Antal &amp; Längder (vikter)'!K$86="Längd (mm)",IF('Antal &amp; Längder (vikter)'!K93&lt;&gt;"",'Antal &amp; Längder (vikter)'!K93,"XX"),"XX")</f>
        <v>XX</v>
      </c>
      <c r="AI699" s="7">
        <v>-9</v>
      </c>
    </row>
    <row r="700" spans="25:35" x14ac:dyDescent="0.25">
      <c r="Y700" s="402" t="s">
        <v>1760</v>
      </c>
      <c r="Z700" s="402" t="s">
        <v>1759</v>
      </c>
      <c r="AB700" s="478" t="str">
        <f>IF(COUNT(AB693:AB699)&gt;0,MAX(AB693:AB699)+1,"")</f>
        <v/>
      </c>
      <c r="AC700" s="433" t="str">
        <f>IF(AND(AH700&lt;&gt;"",AG700&lt;&gt;"",AI700&gt;0,AH700&gt;0),MAX(AC$2:AC699)+1,"XX")</f>
        <v>XX</v>
      </c>
      <c r="AD700" s="432" t="str">
        <f>IF('Antal &amp; Längder (vikter)'!$C$83&lt;&gt;"",'Antal &amp; Längder (vikter)'!$C$83,"XX")</f>
        <v>XX</v>
      </c>
      <c r="AE700" s="422" t="str">
        <f>IF(AND('Antal &amp; Längder (vikter)'!J$85&lt;&gt;"",ISNUMBER($AH700)),'Antal &amp; Längder (vikter)'!J$85,"")</f>
        <v/>
      </c>
      <c r="AF700" s="425" t="str">
        <f t="shared" si="22"/>
        <v/>
      </c>
      <c r="AG700" s="426" t="str">
        <f t="shared" si="23"/>
        <v/>
      </c>
      <c r="AH700" s="404" t="str">
        <f>IF('Antal &amp; Längder (vikter)'!K$86="Längd (mm)",IF('Antal &amp; Längder (vikter)'!K94&lt;&gt;"",'Antal &amp; Längder (vikter)'!K94,"XX"),"XX")</f>
        <v>XX</v>
      </c>
      <c r="AI700" s="7">
        <v>-9</v>
      </c>
    </row>
    <row r="701" spans="25:35" x14ac:dyDescent="0.25">
      <c r="Y701" s="402" t="s">
        <v>1762</v>
      </c>
      <c r="Z701" s="402" t="s">
        <v>1761</v>
      </c>
      <c r="AB701" s="472" t="str">
        <f>IF(COUNT(AB693:AB700)&gt;0,MAX(AB693:AB700)+1,"")</f>
        <v/>
      </c>
      <c r="AC701" s="433" t="str">
        <f>IF(AND(AH701&lt;&gt;"",AG701&lt;&gt;"",AI701&gt;0,AH701&gt;0),MAX(AC$2:AC700)+1,"XX")</f>
        <v>XX</v>
      </c>
      <c r="AD701" s="432" t="str">
        <f>IF('Antal &amp; Längder (vikter)'!$C$83&lt;&gt;"",'Antal &amp; Längder (vikter)'!$C$83,"XX")</f>
        <v>XX</v>
      </c>
      <c r="AE701" s="422" t="str">
        <f>IF(AND('Antal &amp; Längder (vikter)'!J$85&lt;&gt;"",ISNUMBER($AH701)),'Antal &amp; Längder (vikter)'!J$85,"")</f>
        <v/>
      </c>
      <c r="AF701" s="425" t="str">
        <f t="shared" si="22"/>
        <v/>
      </c>
      <c r="AG701" s="426" t="str">
        <f t="shared" si="23"/>
        <v/>
      </c>
      <c r="AH701" s="404" t="str">
        <f>IF('Antal &amp; Längder (vikter)'!K$86="Längd (mm)",IF('Antal &amp; Längder (vikter)'!K95&lt;&gt;"",'Antal &amp; Längder (vikter)'!K95,"XX"),"XX")</f>
        <v>XX</v>
      </c>
      <c r="AI701" s="7">
        <v>-9</v>
      </c>
    </row>
    <row r="702" spans="25:35" x14ac:dyDescent="0.25">
      <c r="Y702" s="402" t="s">
        <v>2190</v>
      </c>
      <c r="Z702" s="402" t="s">
        <v>2189</v>
      </c>
      <c r="AB702" s="479" t="str">
        <f>IF(COUNT(AB693:AB701)&gt;0,MAX(AB693:AB701)+1,"")</f>
        <v/>
      </c>
      <c r="AC702" s="433" t="str">
        <f>IF(AND(AH702&lt;&gt;"",AG702&lt;&gt;"",AI702&gt;0,AH702&gt;0),MAX(AC$2:AC701)+1,"XX")</f>
        <v>XX</v>
      </c>
      <c r="AD702" s="432" t="str">
        <f>IF('Antal &amp; Längder (vikter)'!$C$83&lt;&gt;"",'Antal &amp; Längder (vikter)'!$C$83,"XX")</f>
        <v>XX</v>
      </c>
      <c r="AE702" s="422" t="str">
        <f>IF(AND('Antal &amp; Längder (vikter)'!J$85&lt;&gt;"",ISNUMBER($AH702)),'Antal &amp; Längder (vikter)'!J$85,"")</f>
        <v/>
      </c>
      <c r="AF702" s="425" t="str">
        <f t="shared" si="22"/>
        <v/>
      </c>
      <c r="AG702" s="426" t="str">
        <f t="shared" si="23"/>
        <v/>
      </c>
      <c r="AH702" s="404" t="str">
        <f>IF('Antal &amp; Längder (vikter)'!K$86="Längd (mm)",IF('Antal &amp; Längder (vikter)'!K96&lt;&gt;"",'Antal &amp; Längder (vikter)'!K96,"XX"),"XX")</f>
        <v>XX</v>
      </c>
      <c r="AI702" s="7">
        <v>-9</v>
      </c>
    </row>
    <row r="703" spans="25:35" x14ac:dyDescent="0.25">
      <c r="Y703" s="402" t="s">
        <v>2501</v>
      </c>
      <c r="Z703" s="402" t="s">
        <v>2500</v>
      </c>
      <c r="AB703" s="480" t="str">
        <f>IF(AND(ISNUMBER(AH703),AH703&gt;0),IF(MAX(AB$3:AB702)&gt;0,MAX(AB$3:AB702)+1,10+COUNTIF(F$38:F$49,"&gt;0")*10+1),"")</f>
        <v/>
      </c>
      <c r="AC703" s="433" t="str">
        <f>IF(AND(AH703&lt;&gt;"",AG703&lt;&gt;"",AI703&gt;0,AH703&gt;0),MAX(AC$2:AC702)+1,"XX")</f>
        <v>XX</v>
      </c>
      <c r="AD703" s="432" t="str">
        <f>IF('Antal &amp; Längder (vikter)'!$C$83&lt;&gt;"",'Antal &amp; Längder (vikter)'!$C$83,"XX")</f>
        <v>XX</v>
      </c>
      <c r="AE703" s="417" t="str">
        <f>IF(AND('Antal &amp; Längder (vikter)'!L$85&lt;&gt;"",ISNUMBER($AH703)),'Antal &amp; Längder (vikter)'!L$85,"")</f>
        <v/>
      </c>
      <c r="AF703" s="425" t="str">
        <f t="shared" si="22"/>
        <v/>
      </c>
      <c r="AG703" s="426" t="str">
        <f t="shared" si="23"/>
        <v/>
      </c>
      <c r="AH703" s="410" t="str">
        <f>IF('Antal &amp; Längder (vikter)'!L87&lt;&gt;"",'Antal &amp; Längder (vikter)'!L87,"XX")</f>
        <v>XX</v>
      </c>
      <c r="AI703" s="405">
        <f>IF('Antal &amp; Längder (vikter)'!M$86="Vikt (g)",IF('Antal &amp; Längder (vikter)'!M87&lt;&gt;"",'Antal &amp; Längder (vikter)'!M87,-9),-9)</f>
        <v>-9</v>
      </c>
    </row>
    <row r="704" spans="25:35" x14ac:dyDescent="0.25">
      <c r="Y704" s="402" t="s">
        <v>2397</v>
      </c>
      <c r="Z704" s="402" t="s">
        <v>2396</v>
      </c>
      <c r="AB704" s="476" t="str">
        <f>IF(COUNT(AB703:AB703)&gt;0,MAX(AB703:AB703)+1,"")</f>
        <v/>
      </c>
      <c r="AC704" s="433" t="str">
        <f>IF(AND(AH704&lt;&gt;"",AG704&lt;&gt;"",AI704&gt;0,AH704&gt;0),MAX(AC$2:AC703)+1,"XX")</f>
        <v>XX</v>
      </c>
      <c r="AD704" s="432" t="str">
        <f>IF('Antal &amp; Längder (vikter)'!$C$83&lt;&gt;"",'Antal &amp; Längder (vikter)'!$C$83,"XX")</f>
        <v>XX</v>
      </c>
      <c r="AE704" s="417" t="str">
        <f>IF(AND('Antal &amp; Längder (vikter)'!L$85&lt;&gt;"",ISNUMBER($AH704)),'Antal &amp; Längder (vikter)'!L$85,"")</f>
        <v/>
      </c>
      <c r="AF704" s="425" t="str">
        <f t="shared" si="22"/>
        <v/>
      </c>
      <c r="AG704" s="426" t="str">
        <f t="shared" si="23"/>
        <v/>
      </c>
      <c r="AH704" s="410" t="str">
        <f>IF('Antal &amp; Längder (vikter)'!L88&lt;&gt;"",'Antal &amp; Längder (vikter)'!L88,"XX")</f>
        <v>XX</v>
      </c>
      <c r="AI704" s="405">
        <f>IF('Antal &amp; Längder (vikter)'!M$86="Vikt (g)",IF('Antal &amp; Längder (vikter)'!M88&lt;&gt;"",'Antal &amp; Längder (vikter)'!M88,-9),-9)</f>
        <v>-9</v>
      </c>
    </row>
    <row r="705" spans="25:35" x14ac:dyDescent="0.25">
      <c r="Y705" s="402" t="s">
        <v>2192</v>
      </c>
      <c r="Z705" s="402" t="s">
        <v>2191</v>
      </c>
      <c r="AB705" s="477" t="str">
        <f>IF(COUNT(AB703:AB704)&gt;0,MAX(AB703:AB704)+1,"")</f>
        <v/>
      </c>
      <c r="AC705" s="433" t="str">
        <f>IF(AND(AH705&lt;&gt;"",AG705&lt;&gt;"",AI705&gt;0,AH705&gt;0),MAX(AC$2:AC704)+1,"XX")</f>
        <v>XX</v>
      </c>
      <c r="AD705" s="432" t="str">
        <f>IF('Antal &amp; Längder (vikter)'!$C$83&lt;&gt;"",'Antal &amp; Längder (vikter)'!$C$83,"XX")</f>
        <v>XX</v>
      </c>
      <c r="AE705" s="417" t="str">
        <f>IF(AND('Antal &amp; Längder (vikter)'!L$85&lt;&gt;"",ISNUMBER($AH705)),'Antal &amp; Längder (vikter)'!L$85,"")</f>
        <v/>
      </c>
      <c r="AF705" s="425" t="str">
        <f t="shared" si="22"/>
        <v/>
      </c>
      <c r="AG705" s="426" t="str">
        <f t="shared" si="23"/>
        <v/>
      </c>
      <c r="AH705" s="410" t="str">
        <f>IF('Antal &amp; Längder (vikter)'!L89&lt;&gt;"",'Antal &amp; Längder (vikter)'!L89,"XX")</f>
        <v>XX</v>
      </c>
      <c r="AI705" s="405">
        <f>IF('Antal &amp; Längder (vikter)'!M$86="Vikt (g)",IF('Antal &amp; Längder (vikter)'!M89&lt;&gt;"",'Antal &amp; Längder (vikter)'!M89,-9),-9)</f>
        <v>-9</v>
      </c>
    </row>
    <row r="706" spans="25:35" x14ac:dyDescent="0.25">
      <c r="Y706" s="402" t="s">
        <v>2427</v>
      </c>
      <c r="Z706" s="402" t="s">
        <v>2426</v>
      </c>
      <c r="AB706" s="434" t="str">
        <f>IF(COUNT(AB703:AB705)&gt;0,MAX(AB703:AB705)+1,"")</f>
        <v/>
      </c>
      <c r="AC706" s="433" t="str">
        <f>IF(AND(AH706&lt;&gt;"",AG706&lt;&gt;"",AI706&gt;0,AH706&gt;0),MAX(AC$2:AC705)+1,"XX")</f>
        <v>XX</v>
      </c>
      <c r="AD706" s="432" t="str">
        <f>IF('Antal &amp; Längder (vikter)'!$C$83&lt;&gt;"",'Antal &amp; Längder (vikter)'!$C$83,"XX")</f>
        <v>XX</v>
      </c>
      <c r="AE706" s="417" t="str">
        <f>IF(AND('Antal &amp; Längder (vikter)'!L$85&lt;&gt;"",ISNUMBER($AH706)),'Antal &amp; Längder (vikter)'!L$85,"")</f>
        <v/>
      </c>
      <c r="AF706" s="425" t="str">
        <f t="shared" si="22"/>
        <v/>
      </c>
      <c r="AG706" s="426" t="str">
        <f t="shared" si="23"/>
        <v/>
      </c>
      <c r="AH706" s="410" t="str">
        <f>IF('Antal &amp; Längder (vikter)'!L90&lt;&gt;"",'Antal &amp; Längder (vikter)'!L90,"XX")</f>
        <v>XX</v>
      </c>
      <c r="AI706" s="405">
        <f>IF('Antal &amp; Längder (vikter)'!M$86="Vikt (g)",IF('Antal &amp; Längder (vikter)'!M90&lt;&gt;"",'Antal &amp; Längder (vikter)'!M90,-9),-9)</f>
        <v>-9</v>
      </c>
    </row>
    <row r="707" spans="25:35" x14ac:dyDescent="0.25">
      <c r="Y707" s="402" t="s">
        <v>1764</v>
      </c>
      <c r="Z707" s="402" t="s">
        <v>1763</v>
      </c>
      <c r="AB707" s="475" t="str">
        <f>IF(COUNT(AB703:AB706)&gt;0,MAX(AB703:AB706)+1,"")</f>
        <v/>
      </c>
      <c r="AC707" s="433" t="str">
        <f>IF(AND(AH707&lt;&gt;"",AG707&lt;&gt;"",AI707&gt;0,AH707&gt;0),MAX(AC$2:AC706)+1,"XX")</f>
        <v>XX</v>
      </c>
      <c r="AD707" s="432" t="str">
        <f>IF('Antal &amp; Längder (vikter)'!$C$83&lt;&gt;"",'Antal &amp; Längder (vikter)'!$C$83,"XX")</f>
        <v>XX</v>
      </c>
      <c r="AE707" s="417" t="str">
        <f>IF(AND('Antal &amp; Längder (vikter)'!L$85&lt;&gt;"",ISNUMBER($AH707)),'Antal &amp; Längder (vikter)'!L$85,"")</f>
        <v/>
      </c>
      <c r="AF707" s="425" t="str">
        <f t="shared" ref="AF707:AF770" si="24">IF(AND(ISNUMBER(AH707),AE707&lt;&gt;""),VLOOKUP(AE707,$N$2:$O$60,2,FALSE),"")</f>
        <v/>
      </c>
      <c r="AG707" s="426" t="str">
        <f t="shared" ref="AG707:AG770" si="25">IF(AF707&lt;&gt;"",VLOOKUP(AF707,O$2:U$60,7,FALSE),"")</f>
        <v/>
      </c>
      <c r="AH707" s="410" t="str">
        <f>IF('Antal &amp; Längder (vikter)'!L91&lt;&gt;"",'Antal &amp; Längder (vikter)'!L91,"XX")</f>
        <v>XX</v>
      </c>
      <c r="AI707" s="405">
        <f>IF('Antal &amp; Längder (vikter)'!M$86="Vikt (g)",IF('Antal &amp; Längder (vikter)'!M91&lt;&gt;"",'Antal &amp; Längder (vikter)'!M91,-9),-9)</f>
        <v>-9</v>
      </c>
    </row>
    <row r="708" spans="25:35" x14ac:dyDescent="0.25">
      <c r="Y708" s="402" t="s">
        <v>1766</v>
      </c>
      <c r="Z708" s="402" t="s">
        <v>1765</v>
      </c>
      <c r="AB708" s="471" t="str">
        <f>IF(COUNT(AB703:AB707)&gt;0,MAX(AB703:AB707)+1,"")</f>
        <v/>
      </c>
      <c r="AC708" s="433" t="str">
        <f>IF(AND(AH708&lt;&gt;"",AG708&lt;&gt;"",AI708&gt;0,AH708&gt;0),MAX(AC$2:AC707)+1,"XX")</f>
        <v>XX</v>
      </c>
      <c r="AD708" s="432" t="str">
        <f>IF('Antal &amp; Längder (vikter)'!$C$83&lt;&gt;"",'Antal &amp; Längder (vikter)'!$C$83,"XX")</f>
        <v>XX</v>
      </c>
      <c r="AE708" s="417" t="str">
        <f>IF(AND('Antal &amp; Längder (vikter)'!L$85&lt;&gt;"",ISNUMBER($AH708)),'Antal &amp; Längder (vikter)'!L$85,"")</f>
        <v/>
      </c>
      <c r="AF708" s="425" t="str">
        <f t="shared" si="24"/>
        <v/>
      </c>
      <c r="AG708" s="426" t="str">
        <f t="shared" si="25"/>
        <v/>
      </c>
      <c r="AH708" s="410" t="str">
        <f>IF('Antal &amp; Längder (vikter)'!L92&lt;&gt;"",'Antal &amp; Längder (vikter)'!L92,"XX")</f>
        <v>XX</v>
      </c>
      <c r="AI708" s="405">
        <f>IF('Antal &amp; Längder (vikter)'!M$86="Vikt (g)",IF('Antal &amp; Längder (vikter)'!M92&lt;&gt;"",'Antal &amp; Längder (vikter)'!M92,-9),-9)</f>
        <v>-9</v>
      </c>
    </row>
    <row r="709" spans="25:35" x14ac:dyDescent="0.25">
      <c r="Y709" s="402" t="s">
        <v>1768</v>
      </c>
      <c r="Z709" s="402" t="s">
        <v>1767</v>
      </c>
      <c r="AB709" s="474" t="str">
        <f>IF(COUNT(AB703:AB708)&gt;0,MAX(AB703:AB708)+1,"")</f>
        <v/>
      </c>
      <c r="AC709" s="433" t="str">
        <f>IF(AND(AH709&lt;&gt;"",AG709&lt;&gt;"",AI709&gt;0,AH709&gt;0),MAX(AC$2:AC708)+1,"XX")</f>
        <v>XX</v>
      </c>
      <c r="AD709" s="432" t="str">
        <f>IF('Antal &amp; Längder (vikter)'!$C$83&lt;&gt;"",'Antal &amp; Längder (vikter)'!$C$83,"XX")</f>
        <v>XX</v>
      </c>
      <c r="AE709" s="417" t="str">
        <f>IF(AND('Antal &amp; Längder (vikter)'!L$85&lt;&gt;"",ISNUMBER($AH709)),'Antal &amp; Längder (vikter)'!L$85,"")</f>
        <v/>
      </c>
      <c r="AF709" s="425" t="str">
        <f t="shared" si="24"/>
        <v/>
      </c>
      <c r="AG709" s="426" t="str">
        <f t="shared" si="25"/>
        <v/>
      </c>
      <c r="AH709" s="410" t="str">
        <f>IF('Antal &amp; Längder (vikter)'!L93&lt;&gt;"",'Antal &amp; Längder (vikter)'!L93,"XX")</f>
        <v>XX</v>
      </c>
      <c r="AI709" s="405">
        <f>IF('Antal &amp; Längder (vikter)'!M$86="Vikt (g)",IF('Antal &amp; Längder (vikter)'!M93&lt;&gt;"",'Antal &amp; Längder (vikter)'!M93,-9),-9)</f>
        <v>-9</v>
      </c>
    </row>
    <row r="710" spans="25:35" x14ac:dyDescent="0.25">
      <c r="Y710" s="402" t="s">
        <v>1770</v>
      </c>
      <c r="Z710" s="402" t="s">
        <v>1769</v>
      </c>
      <c r="AB710" s="478" t="str">
        <f>IF(COUNT(AB703:AB709)&gt;0,MAX(AB703:AB709)+1,"")</f>
        <v/>
      </c>
      <c r="AC710" s="433" t="str">
        <f>IF(AND(AH710&lt;&gt;"",AG710&lt;&gt;"",AI710&gt;0,AH710&gt;0),MAX(AC$2:AC709)+1,"XX")</f>
        <v>XX</v>
      </c>
      <c r="AD710" s="432" t="str">
        <f>IF('Antal &amp; Längder (vikter)'!$C$83&lt;&gt;"",'Antal &amp; Längder (vikter)'!$C$83,"XX")</f>
        <v>XX</v>
      </c>
      <c r="AE710" s="417" t="str">
        <f>IF(AND('Antal &amp; Längder (vikter)'!L$85&lt;&gt;"",ISNUMBER($AH710)),'Antal &amp; Längder (vikter)'!L$85,"")</f>
        <v/>
      </c>
      <c r="AF710" s="425" t="str">
        <f t="shared" si="24"/>
        <v/>
      </c>
      <c r="AG710" s="426" t="str">
        <f t="shared" si="25"/>
        <v/>
      </c>
      <c r="AH710" s="410" t="str">
        <f>IF('Antal &amp; Längder (vikter)'!L94&lt;&gt;"",'Antal &amp; Längder (vikter)'!L94,"XX")</f>
        <v>XX</v>
      </c>
      <c r="AI710" s="405">
        <f>IF('Antal &amp; Längder (vikter)'!M$86="Vikt (g)",IF('Antal &amp; Längder (vikter)'!M94&lt;&gt;"",'Antal &amp; Längder (vikter)'!M94,-9),-9)</f>
        <v>-9</v>
      </c>
    </row>
    <row r="711" spans="25:35" x14ac:dyDescent="0.25">
      <c r="Y711" s="402" t="s">
        <v>1772</v>
      </c>
      <c r="Z711" s="402" t="s">
        <v>1771</v>
      </c>
      <c r="AB711" s="472" t="str">
        <f>IF(COUNT(AB703:AB710)&gt;0,MAX(AB703:AB710)+1,"")</f>
        <v/>
      </c>
      <c r="AC711" s="433" t="str">
        <f>IF(AND(AH711&lt;&gt;"",AG711&lt;&gt;"",AI711&gt;0,AH711&gt;0),MAX(AC$2:AC710)+1,"XX")</f>
        <v>XX</v>
      </c>
      <c r="AD711" s="432" t="str">
        <f>IF('Antal &amp; Längder (vikter)'!$C$83&lt;&gt;"",'Antal &amp; Längder (vikter)'!$C$83,"XX")</f>
        <v>XX</v>
      </c>
      <c r="AE711" s="417" t="str">
        <f>IF(AND('Antal &amp; Längder (vikter)'!L$85&lt;&gt;"",ISNUMBER($AH711)),'Antal &amp; Längder (vikter)'!L$85,"")</f>
        <v/>
      </c>
      <c r="AF711" s="425" t="str">
        <f t="shared" si="24"/>
        <v/>
      </c>
      <c r="AG711" s="426" t="str">
        <f t="shared" si="25"/>
        <v/>
      </c>
      <c r="AH711" s="410" t="str">
        <f>IF('Antal &amp; Längder (vikter)'!L95&lt;&gt;"",'Antal &amp; Längder (vikter)'!L95,"XX")</f>
        <v>XX</v>
      </c>
      <c r="AI711" s="405">
        <f>IF('Antal &amp; Längder (vikter)'!M$86="Vikt (g)",IF('Antal &amp; Längder (vikter)'!M95&lt;&gt;"",'Antal &amp; Längder (vikter)'!M95,-9),-9)</f>
        <v>-9</v>
      </c>
    </row>
    <row r="712" spans="25:35" x14ac:dyDescent="0.25">
      <c r="Y712" s="402" t="s">
        <v>2422</v>
      </c>
      <c r="Z712" s="402" t="s">
        <v>2422</v>
      </c>
      <c r="AB712" s="479" t="str">
        <f>IF(COUNT(AB703:AB711)&gt;0,MAX(AB703:AB711)+1,"")</f>
        <v/>
      </c>
      <c r="AC712" s="433" t="str">
        <f>IF(AND(AH712&lt;&gt;"",AG712&lt;&gt;"",AI712&gt;0,AH712&gt;0),MAX(AC$2:AC711)+1,"XX")</f>
        <v>XX</v>
      </c>
      <c r="AD712" s="432" t="str">
        <f>IF('Antal &amp; Längder (vikter)'!$C$83&lt;&gt;"",'Antal &amp; Längder (vikter)'!$C$83,"XX")</f>
        <v>XX</v>
      </c>
      <c r="AE712" s="417" t="str">
        <f>IF(AND('Antal &amp; Längder (vikter)'!L$85&lt;&gt;"",ISNUMBER($AH712)),'Antal &amp; Längder (vikter)'!L$85,"")</f>
        <v/>
      </c>
      <c r="AF712" s="425" t="str">
        <f t="shared" si="24"/>
        <v/>
      </c>
      <c r="AG712" s="426" t="str">
        <f t="shared" si="25"/>
        <v/>
      </c>
      <c r="AH712" s="410" t="str">
        <f>IF('Antal &amp; Längder (vikter)'!L96&lt;&gt;"",'Antal &amp; Längder (vikter)'!L96,"XX")</f>
        <v>XX</v>
      </c>
      <c r="AI712" s="405">
        <f>IF('Antal &amp; Längder (vikter)'!M$86="Vikt (g)",IF('Antal &amp; Längder (vikter)'!M96&lt;&gt;"",'Antal &amp; Längder (vikter)'!M96,-9),-9)</f>
        <v>-9</v>
      </c>
    </row>
    <row r="713" spans="25:35" x14ac:dyDescent="0.25">
      <c r="Y713" s="402" t="s">
        <v>2194</v>
      </c>
      <c r="Z713" s="402" t="s">
        <v>2193</v>
      </c>
      <c r="AB713" s="480" t="str">
        <f>IF(AND(ISNUMBER(AH713),AH713&gt;0),IF(MAX(AB$3:AB712)&gt;0,MAX(AB$3:AB712)+1,10+COUNTIF(F$38:F$49,"&gt;0")*10+1),"")</f>
        <v/>
      </c>
      <c r="AC713" s="433" t="str">
        <f>IF(AND(AH713&lt;&gt;"",AG713&lt;&gt;"",AI713&gt;0,AH713&gt;0),MAX(AC$2:AC712)+1,"XX")</f>
        <v>XX</v>
      </c>
      <c r="AD713" s="432" t="str">
        <f>IF('Antal &amp; Längder (vikter)'!$C$83&lt;&gt;"",'Antal &amp; Längder (vikter)'!$C$83,"XX")</f>
        <v>XX</v>
      </c>
      <c r="AE713" s="417" t="str">
        <f>IF(AND('Antal &amp; Längder (vikter)'!L$85&lt;&gt;"",ISNUMBER($AH713)),'Antal &amp; Längder (vikter)'!L$85,"")</f>
        <v/>
      </c>
      <c r="AF713" s="425" t="str">
        <f t="shared" si="24"/>
        <v/>
      </c>
      <c r="AG713" s="426" t="str">
        <f t="shared" si="25"/>
        <v/>
      </c>
      <c r="AH713" s="404" t="str">
        <f>IF('Antal &amp; Längder (vikter)'!M$86="Längd (mm)",IF('Antal &amp; Längder (vikter)'!M87&lt;&gt;"",'Antal &amp; Längder (vikter)'!M87,"XX"),"XX")</f>
        <v>XX</v>
      </c>
      <c r="AI713" s="7">
        <v>-9</v>
      </c>
    </row>
    <row r="714" spans="25:35" x14ac:dyDescent="0.25">
      <c r="Y714" s="402" t="s">
        <v>257</v>
      </c>
      <c r="Z714" s="402" t="s">
        <v>2425</v>
      </c>
      <c r="AB714" s="476" t="str">
        <f>IF(COUNT(AB713:AB713)&gt;0,MAX(AB713:AB713)+1,"")</f>
        <v/>
      </c>
      <c r="AC714" s="433" t="str">
        <f>IF(AND(AH714&lt;&gt;"",AG714&lt;&gt;"",AI714&gt;0,AH714&gt;0),MAX(AC$2:AC713)+1,"XX")</f>
        <v>XX</v>
      </c>
      <c r="AD714" s="432" t="str">
        <f>IF('Antal &amp; Längder (vikter)'!$C$83&lt;&gt;"",'Antal &amp; Längder (vikter)'!$C$83,"XX")</f>
        <v>XX</v>
      </c>
      <c r="AE714" s="417" t="str">
        <f>IF(AND('Antal &amp; Längder (vikter)'!L$85&lt;&gt;"",ISNUMBER($AH714)),'Antal &amp; Längder (vikter)'!L$85,"")</f>
        <v/>
      </c>
      <c r="AF714" s="425" t="str">
        <f t="shared" si="24"/>
        <v/>
      </c>
      <c r="AG714" s="426" t="str">
        <f t="shared" si="25"/>
        <v/>
      </c>
      <c r="AH714" s="404" t="str">
        <f>IF('Antal &amp; Längder (vikter)'!M$86="Längd (mm)",IF('Antal &amp; Längder (vikter)'!M88&lt;&gt;"",'Antal &amp; Längder (vikter)'!M88,"XX"),"XX")</f>
        <v>XX</v>
      </c>
      <c r="AI714" s="7">
        <v>-9</v>
      </c>
    </row>
    <row r="715" spans="25:35" x14ac:dyDescent="0.25">
      <c r="Y715" s="402" t="s">
        <v>1773</v>
      </c>
      <c r="Z715" s="402" t="s">
        <v>1773</v>
      </c>
      <c r="AB715" s="477" t="str">
        <f>IF(COUNT(AB713:AB714)&gt;0,MAX(AB713:AB714)+1,"")</f>
        <v/>
      </c>
      <c r="AC715" s="433" t="str">
        <f>IF(AND(AH715&lt;&gt;"",AG715&lt;&gt;"",AI715&gt;0,AH715&gt;0),MAX(AC$2:AC714)+1,"XX")</f>
        <v>XX</v>
      </c>
      <c r="AD715" s="432" t="str">
        <f>IF('Antal &amp; Längder (vikter)'!$C$83&lt;&gt;"",'Antal &amp; Längder (vikter)'!$C$83,"XX")</f>
        <v>XX</v>
      </c>
      <c r="AE715" s="417" t="str">
        <f>IF(AND('Antal &amp; Längder (vikter)'!L$85&lt;&gt;"",ISNUMBER($AH715)),'Antal &amp; Längder (vikter)'!L$85,"")</f>
        <v/>
      </c>
      <c r="AF715" s="425" t="str">
        <f t="shared" si="24"/>
        <v/>
      </c>
      <c r="AG715" s="426" t="str">
        <f t="shared" si="25"/>
        <v/>
      </c>
      <c r="AH715" s="404" t="str">
        <f>IF('Antal &amp; Längder (vikter)'!M$86="Längd (mm)",IF('Antal &amp; Längder (vikter)'!M89&lt;&gt;"",'Antal &amp; Längder (vikter)'!M89,"XX"),"XX")</f>
        <v>XX</v>
      </c>
      <c r="AI715" s="7">
        <v>-9</v>
      </c>
    </row>
    <row r="716" spans="25:35" x14ac:dyDescent="0.25">
      <c r="Y716" s="402" t="s">
        <v>1775</v>
      </c>
      <c r="Z716" s="402" t="s">
        <v>1774</v>
      </c>
      <c r="AB716" s="434" t="str">
        <f>IF(COUNT(AB713:AB715)&gt;0,MAX(AB713:AB715)+1,"")</f>
        <v/>
      </c>
      <c r="AC716" s="433" t="str">
        <f>IF(AND(AH716&lt;&gt;"",AG716&lt;&gt;"",AI716&gt;0,AH716&gt;0),MAX(AC$2:AC715)+1,"XX")</f>
        <v>XX</v>
      </c>
      <c r="AD716" s="432" t="str">
        <f>IF('Antal &amp; Längder (vikter)'!$C$83&lt;&gt;"",'Antal &amp; Längder (vikter)'!$C$83,"XX")</f>
        <v>XX</v>
      </c>
      <c r="AE716" s="417" t="str">
        <f>IF(AND('Antal &amp; Längder (vikter)'!L$85&lt;&gt;"",ISNUMBER($AH716)),'Antal &amp; Längder (vikter)'!L$85,"")</f>
        <v/>
      </c>
      <c r="AF716" s="425" t="str">
        <f t="shared" si="24"/>
        <v/>
      </c>
      <c r="AG716" s="426" t="str">
        <f t="shared" si="25"/>
        <v/>
      </c>
      <c r="AH716" s="404" t="str">
        <f>IF('Antal &amp; Längder (vikter)'!M$86="Längd (mm)",IF('Antal &amp; Längder (vikter)'!M90&lt;&gt;"",'Antal &amp; Längder (vikter)'!M90,"XX"),"XX")</f>
        <v>XX</v>
      </c>
      <c r="AI716" s="7">
        <v>-9</v>
      </c>
    </row>
    <row r="717" spans="25:35" x14ac:dyDescent="0.25">
      <c r="Y717" s="402" t="s">
        <v>1777</v>
      </c>
      <c r="Z717" s="402" t="s">
        <v>1776</v>
      </c>
      <c r="AB717" s="475" t="str">
        <f>IF(COUNT(AB713:AB716)&gt;0,MAX(AB713:AB716)+1,"")</f>
        <v/>
      </c>
      <c r="AC717" s="433" t="str">
        <f>IF(AND(AH717&lt;&gt;"",AG717&lt;&gt;"",AI717&gt;0,AH717&gt;0),MAX(AC$2:AC716)+1,"XX")</f>
        <v>XX</v>
      </c>
      <c r="AD717" s="432" t="str">
        <f>IF('Antal &amp; Längder (vikter)'!$C$83&lt;&gt;"",'Antal &amp; Längder (vikter)'!$C$83,"XX")</f>
        <v>XX</v>
      </c>
      <c r="AE717" s="417" t="str">
        <f>IF(AND('Antal &amp; Längder (vikter)'!L$85&lt;&gt;"",ISNUMBER($AH717)),'Antal &amp; Längder (vikter)'!L$85,"")</f>
        <v/>
      </c>
      <c r="AF717" s="425" t="str">
        <f t="shared" si="24"/>
        <v/>
      </c>
      <c r="AG717" s="426" t="str">
        <f t="shared" si="25"/>
        <v/>
      </c>
      <c r="AH717" s="404" t="str">
        <f>IF('Antal &amp; Längder (vikter)'!M$86="Längd (mm)",IF('Antal &amp; Längder (vikter)'!M91&lt;&gt;"",'Antal &amp; Längder (vikter)'!M91,"XX"),"XX")</f>
        <v>XX</v>
      </c>
      <c r="AI717" s="7">
        <v>-9</v>
      </c>
    </row>
    <row r="718" spans="25:35" x14ac:dyDescent="0.25">
      <c r="Y718" s="402" t="s">
        <v>1779</v>
      </c>
      <c r="Z718" s="402" t="s">
        <v>1778</v>
      </c>
      <c r="AB718" s="471" t="str">
        <f>IF(COUNT(AB713:AB717)&gt;0,MAX(AB713:AB717)+1,"")</f>
        <v/>
      </c>
      <c r="AC718" s="433" t="str">
        <f>IF(AND(AH718&lt;&gt;"",AG718&lt;&gt;"",AI718&gt;0,AH718&gt;0),MAX(AC$2:AC717)+1,"XX")</f>
        <v>XX</v>
      </c>
      <c r="AD718" s="432" t="str">
        <f>IF('Antal &amp; Längder (vikter)'!$C$83&lt;&gt;"",'Antal &amp; Längder (vikter)'!$C$83,"XX")</f>
        <v>XX</v>
      </c>
      <c r="AE718" s="417" t="str">
        <f>IF(AND('Antal &amp; Längder (vikter)'!L$85&lt;&gt;"",ISNUMBER($AH718)),'Antal &amp; Längder (vikter)'!L$85,"")</f>
        <v/>
      </c>
      <c r="AF718" s="425" t="str">
        <f t="shared" si="24"/>
        <v/>
      </c>
      <c r="AG718" s="426" t="str">
        <f t="shared" si="25"/>
        <v/>
      </c>
      <c r="AH718" s="404" t="str">
        <f>IF('Antal &amp; Längder (vikter)'!M$86="Längd (mm)",IF('Antal &amp; Längder (vikter)'!M92&lt;&gt;"",'Antal &amp; Längder (vikter)'!M92,"XX"),"XX")</f>
        <v>XX</v>
      </c>
      <c r="AI718" s="7">
        <v>-9</v>
      </c>
    </row>
    <row r="719" spans="25:35" x14ac:dyDescent="0.25">
      <c r="Y719" s="402" t="s">
        <v>1781</v>
      </c>
      <c r="Z719" s="402" t="s">
        <v>1780</v>
      </c>
      <c r="AB719" s="474" t="str">
        <f>IF(COUNT(AB713:AB718)&gt;0,MAX(AB713:AB718)+1,"")</f>
        <v/>
      </c>
      <c r="AC719" s="433" t="str">
        <f>IF(AND(AH719&lt;&gt;"",AG719&lt;&gt;"",AI719&gt;0,AH719&gt;0),MAX(AC$2:AC718)+1,"XX")</f>
        <v>XX</v>
      </c>
      <c r="AD719" s="432" t="str">
        <f>IF('Antal &amp; Längder (vikter)'!$C$83&lt;&gt;"",'Antal &amp; Längder (vikter)'!$C$83,"XX")</f>
        <v>XX</v>
      </c>
      <c r="AE719" s="417" t="str">
        <f>IF(AND('Antal &amp; Längder (vikter)'!L$85&lt;&gt;"",ISNUMBER($AH719)),'Antal &amp; Längder (vikter)'!L$85,"")</f>
        <v/>
      </c>
      <c r="AF719" s="425" t="str">
        <f t="shared" si="24"/>
        <v/>
      </c>
      <c r="AG719" s="426" t="str">
        <f t="shared" si="25"/>
        <v/>
      </c>
      <c r="AH719" s="404" t="str">
        <f>IF('Antal &amp; Längder (vikter)'!M$86="Längd (mm)",IF('Antal &amp; Längder (vikter)'!M93&lt;&gt;"",'Antal &amp; Längder (vikter)'!M93,"XX"),"XX")</f>
        <v>XX</v>
      </c>
      <c r="AI719" s="7">
        <v>-9</v>
      </c>
    </row>
    <row r="720" spans="25:35" x14ac:dyDescent="0.25">
      <c r="Y720" s="402" t="s">
        <v>1783</v>
      </c>
      <c r="Z720" s="402" t="s">
        <v>1782</v>
      </c>
      <c r="AB720" s="478" t="str">
        <f>IF(COUNT(AB713:AB719)&gt;0,MAX(AB713:AB719)+1,"")</f>
        <v/>
      </c>
      <c r="AC720" s="433" t="str">
        <f>IF(AND(AH720&lt;&gt;"",AG720&lt;&gt;"",AI720&gt;0,AH720&gt;0),MAX(AC$2:AC719)+1,"XX")</f>
        <v>XX</v>
      </c>
      <c r="AD720" s="432" t="str">
        <f>IF('Antal &amp; Längder (vikter)'!$C$83&lt;&gt;"",'Antal &amp; Längder (vikter)'!$C$83,"XX")</f>
        <v>XX</v>
      </c>
      <c r="AE720" s="417" t="str">
        <f>IF(AND('Antal &amp; Längder (vikter)'!L$85&lt;&gt;"",ISNUMBER($AH720)),'Antal &amp; Längder (vikter)'!L$85,"")</f>
        <v/>
      </c>
      <c r="AF720" s="425" t="str">
        <f t="shared" si="24"/>
        <v/>
      </c>
      <c r="AG720" s="426" t="str">
        <f t="shared" si="25"/>
        <v/>
      </c>
      <c r="AH720" s="404" t="str">
        <f>IF('Antal &amp; Längder (vikter)'!M$86="Längd (mm)",IF('Antal &amp; Längder (vikter)'!M94&lt;&gt;"",'Antal &amp; Längder (vikter)'!M94,"XX"),"XX")</f>
        <v>XX</v>
      </c>
      <c r="AI720" s="7">
        <v>-9</v>
      </c>
    </row>
    <row r="721" spans="25:35" x14ac:dyDescent="0.25">
      <c r="Y721" s="402" t="s">
        <v>1785</v>
      </c>
      <c r="Z721" s="402" t="s">
        <v>1784</v>
      </c>
      <c r="AB721" s="472" t="str">
        <f>IF(COUNT(AB713:AB720)&gt;0,MAX(AB713:AB720)+1,"")</f>
        <v/>
      </c>
      <c r="AC721" s="433" t="str">
        <f>IF(AND(AH721&lt;&gt;"",AG721&lt;&gt;"",AI721&gt;0,AH721&gt;0),MAX(AC$2:AC720)+1,"XX")</f>
        <v>XX</v>
      </c>
      <c r="AD721" s="432" t="str">
        <f>IF('Antal &amp; Längder (vikter)'!$C$83&lt;&gt;"",'Antal &amp; Längder (vikter)'!$C$83,"XX")</f>
        <v>XX</v>
      </c>
      <c r="AE721" s="417" t="str">
        <f>IF(AND('Antal &amp; Längder (vikter)'!L$85&lt;&gt;"",ISNUMBER($AH721)),'Antal &amp; Längder (vikter)'!L$85,"")</f>
        <v/>
      </c>
      <c r="AF721" s="425" t="str">
        <f t="shared" si="24"/>
        <v/>
      </c>
      <c r="AG721" s="426" t="str">
        <f t="shared" si="25"/>
        <v/>
      </c>
      <c r="AH721" s="404" t="str">
        <f>IF('Antal &amp; Längder (vikter)'!M$86="Längd (mm)",IF('Antal &amp; Längder (vikter)'!M95&lt;&gt;"",'Antal &amp; Längder (vikter)'!M95,"XX"),"XX")</f>
        <v>XX</v>
      </c>
      <c r="AI721" s="7">
        <v>-9</v>
      </c>
    </row>
    <row r="722" spans="25:35" x14ac:dyDescent="0.25">
      <c r="Y722" s="402" t="s">
        <v>1787</v>
      </c>
      <c r="Z722" s="402" t="s">
        <v>1786</v>
      </c>
      <c r="AB722" s="479" t="str">
        <f>IF(COUNT(AB713:AB721)&gt;0,MAX(AB713:AB721)+1,"")</f>
        <v/>
      </c>
      <c r="AC722" s="433" t="str">
        <f>IF(AND(AH722&lt;&gt;"",AG722&lt;&gt;"",AI722&gt;0,AH722&gt;0),MAX(AC$2:AC721)+1,"XX")</f>
        <v>XX</v>
      </c>
      <c r="AD722" s="432" t="str">
        <f>IF('Antal &amp; Längder (vikter)'!$C$83&lt;&gt;"",'Antal &amp; Längder (vikter)'!$C$83,"XX")</f>
        <v>XX</v>
      </c>
      <c r="AE722" s="417" t="str">
        <f>IF(AND('Antal &amp; Längder (vikter)'!L$85&lt;&gt;"",ISNUMBER($AH722)),'Antal &amp; Längder (vikter)'!L$85,"")</f>
        <v/>
      </c>
      <c r="AF722" s="425" t="str">
        <f t="shared" si="24"/>
        <v/>
      </c>
      <c r="AG722" s="426" t="str">
        <f t="shared" si="25"/>
        <v/>
      </c>
      <c r="AH722" s="404" t="str">
        <f>IF('Antal &amp; Längder (vikter)'!M$86="Längd (mm)",IF('Antal &amp; Längder (vikter)'!M96&lt;&gt;"",'Antal &amp; Längder (vikter)'!M96,"XX"),"XX")</f>
        <v>XX</v>
      </c>
      <c r="AI722" s="7">
        <v>-9</v>
      </c>
    </row>
    <row r="723" spans="25:35" x14ac:dyDescent="0.25">
      <c r="Y723" s="402" t="s">
        <v>1788</v>
      </c>
      <c r="Z723" s="402" t="s">
        <v>1524</v>
      </c>
      <c r="AB723" s="480" t="str">
        <f>IF(AND(ISNUMBER(AH723),AH723&gt;0),IF(MAX(AB$3:AB722)&gt;0,MAX(AB$3:AB722)+1,10+COUNTIF(F$38:F$49,"&gt;0")*10+1),"")</f>
        <v/>
      </c>
      <c r="AC723" s="433" t="str">
        <f>IF(AND(AH723&lt;&gt;"",AG723&lt;&gt;"",AI723&gt;0,AH723&gt;0),MAX(AC$2:AC722)+1,"XX")</f>
        <v>XX</v>
      </c>
      <c r="AD723" s="431" t="str">
        <f>IF('Antal &amp; Längder (vikter)'!$C$98&lt;&gt;"",'Antal &amp; Längder (vikter)'!$C$98,"XX")</f>
        <v>XX</v>
      </c>
      <c r="AE723" s="418" t="str">
        <f>IF(AND('Antal &amp; Längder (vikter)'!B$100&lt;&gt;"",ISNUMBER($AH723)),'Antal &amp; Längder (vikter)'!B$100,"")</f>
        <v/>
      </c>
      <c r="AF723" s="425" t="str">
        <f t="shared" si="24"/>
        <v/>
      </c>
      <c r="AG723" s="426" t="str">
        <f t="shared" si="25"/>
        <v/>
      </c>
      <c r="AH723" s="409" t="str">
        <f>IF('Antal &amp; Längder (vikter)'!B102&lt;&gt;"",'Antal &amp; Längder (vikter)'!B102,"XX")</f>
        <v>XX</v>
      </c>
      <c r="AI723" s="405">
        <f>IF('Antal &amp; Längder (vikter)'!C$101="Vikt (g)",IF('Antal &amp; Längder (vikter)'!C102&lt;&gt;"",'Antal &amp; Längder (vikter)'!C102,-9),-9)</f>
        <v>-9</v>
      </c>
    </row>
    <row r="724" spans="25:35" x14ac:dyDescent="0.25">
      <c r="Y724" s="402" t="s">
        <v>1790</v>
      </c>
      <c r="Z724" s="402" t="s">
        <v>1789</v>
      </c>
      <c r="AB724" s="476" t="str">
        <f>IF(COUNT(AB723:AB723)&gt;0,MAX(AB723:AB723)+1,"")</f>
        <v/>
      </c>
      <c r="AC724" s="433" t="str">
        <f>IF(AND(AH724&lt;&gt;"",AG724&lt;&gt;"",AI724&gt;0,AH724&gt;0),MAX(AC$2:AC723)+1,"XX")</f>
        <v>XX</v>
      </c>
      <c r="AD724" s="431" t="str">
        <f>IF('Antal &amp; Längder (vikter)'!$C$98&lt;&gt;"",'Antal &amp; Längder (vikter)'!$C$98,"XX")</f>
        <v>XX</v>
      </c>
      <c r="AE724" s="418" t="str">
        <f>IF(AND('Antal &amp; Längder (vikter)'!B$100&lt;&gt;"",ISNUMBER($AH724)),'Antal &amp; Längder (vikter)'!B$100,"")</f>
        <v/>
      </c>
      <c r="AF724" s="425" t="str">
        <f t="shared" si="24"/>
        <v/>
      </c>
      <c r="AG724" s="426" t="str">
        <f t="shared" si="25"/>
        <v/>
      </c>
      <c r="AH724" s="409" t="str">
        <f>IF('Antal &amp; Längder (vikter)'!B103&lt;&gt;"",'Antal &amp; Längder (vikter)'!B103,"XX")</f>
        <v>XX</v>
      </c>
      <c r="AI724" s="405">
        <f>IF('Antal &amp; Längder (vikter)'!C$101="Vikt (g)",IF('Antal &amp; Längder (vikter)'!C103&lt;&gt;"",'Antal &amp; Längder (vikter)'!C103,-9),-9)</f>
        <v>-9</v>
      </c>
    </row>
    <row r="725" spans="25:35" x14ac:dyDescent="0.25">
      <c r="Y725" s="402" t="s">
        <v>1792</v>
      </c>
      <c r="Z725" s="402" t="s">
        <v>1791</v>
      </c>
      <c r="AB725" s="477" t="str">
        <f>IF(COUNT(AB723:AB724)&gt;0,MAX(AB723:AB724)+1,"")</f>
        <v/>
      </c>
      <c r="AC725" s="433" t="str">
        <f>IF(AND(AH725&lt;&gt;"",AG725&lt;&gt;"",AI725&gt;0,AH725&gt;0),MAX(AC$2:AC724)+1,"XX")</f>
        <v>XX</v>
      </c>
      <c r="AD725" s="431" t="str">
        <f>IF('Antal &amp; Längder (vikter)'!$C$98&lt;&gt;"",'Antal &amp; Längder (vikter)'!$C$98,"XX")</f>
        <v>XX</v>
      </c>
      <c r="AE725" s="418" t="str">
        <f>IF(AND('Antal &amp; Längder (vikter)'!B$100&lt;&gt;"",ISNUMBER($AH725)),'Antal &amp; Längder (vikter)'!B$100,"")</f>
        <v/>
      </c>
      <c r="AF725" s="425" t="str">
        <f t="shared" si="24"/>
        <v/>
      </c>
      <c r="AG725" s="426" t="str">
        <f t="shared" si="25"/>
        <v/>
      </c>
      <c r="AH725" s="409" t="str">
        <f>IF('Antal &amp; Längder (vikter)'!B104&lt;&gt;"",'Antal &amp; Längder (vikter)'!B104,"XX")</f>
        <v>XX</v>
      </c>
      <c r="AI725" s="405">
        <f>IF('Antal &amp; Längder (vikter)'!C$101="Vikt (g)",IF('Antal &amp; Längder (vikter)'!C104&lt;&gt;"",'Antal &amp; Längder (vikter)'!C104,-9),-9)</f>
        <v>-9</v>
      </c>
    </row>
    <row r="726" spans="25:35" x14ac:dyDescent="0.25">
      <c r="Y726" s="402" t="s">
        <v>1794</v>
      </c>
      <c r="Z726" s="402" t="s">
        <v>1793</v>
      </c>
      <c r="AB726" s="434" t="str">
        <f>IF(COUNT(AB723:AB725)&gt;0,MAX(AB723:AB725)+1,"")</f>
        <v/>
      </c>
      <c r="AC726" s="433" t="str">
        <f>IF(AND(AH726&lt;&gt;"",AG726&lt;&gt;"",AI726&gt;0,AH726&gt;0),MAX(AC$2:AC725)+1,"XX")</f>
        <v>XX</v>
      </c>
      <c r="AD726" s="431" t="str">
        <f>IF('Antal &amp; Längder (vikter)'!$C$98&lt;&gt;"",'Antal &amp; Längder (vikter)'!$C$98,"XX")</f>
        <v>XX</v>
      </c>
      <c r="AE726" s="418" t="str">
        <f>IF(AND('Antal &amp; Längder (vikter)'!B$100&lt;&gt;"",ISNUMBER($AH726)),'Antal &amp; Längder (vikter)'!B$100,"")</f>
        <v/>
      </c>
      <c r="AF726" s="425" t="str">
        <f t="shared" si="24"/>
        <v/>
      </c>
      <c r="AG726" s="426" t="str">
        <f t="shared" si="25"/>
        <v/>
      </c>
      <c r="AH726" s="409" t="str">
        <f>IF('Antal &amp; Längder (vikter)'!B105&lt;&gt;"",'Antal &amp; Längder (vikter)'!B105,"XX")</f>
        <v>XX</v>
      </c>
      <c r="AI726" s="405">
        <f>IF('Antal &amp; Längder (vikter)'!C$101="Vikt (g)",IF('Antal &amp; Längder (vikter)'!C105&lt;&gt;"",'Antal &amp; Längder (vikter)'!C105,-9),-9)</f>
        <v>-9</v>
      </c>
    </row>
    <row r="727" spans="25:35" x14ac:dyDescent="0.25">
      <c r="Y727" s="402" t="s">
        <v>1796</v>
      </c>
      <c r="Z727" s="403" t="s">
        <v>1795</v>
      </c>
      <c r="AB727" s="475" t="str">
        <f>IF(COUNT(AB723:AB726)&gt;0,MAX(AB723:AB726)+1,"")</f>
        <v/>
      </c>
      <c r="AC727" s="433" t="str">
        <f>IF(AND(AH727&lt;&gt;"",AG727&lt;&gt;"",AI727&gt;0,AH727&gt;0),MAX(AC$2:AC726)+1,"XX")</f>
        <v>XX</v>
      </c>
      <c r="AD727" s="431" t="str">
        <f>IF('Antal &amp; Längder (vikter)'!$C$98&lt;&gt;"",'Antal &amp; Längder (vikter)'!$C$98,"XX")</f>
        <v>XX</v>
      </c>
      <c r="AE727" s="418" t="str">
        <f>IF(AND('Antal &amp; Längder (vikter)'!B$100&lt;&gt;"",ISNUMBER($AH727)),'Antal &amp; Längder (vikter)'!B$100,"")</f>
        <v/>
      </c>
      <c r="AF727" s="425" t="str">
        <f t="shared" si="24"/>
        <v/>
      </c>
      <c r="AG727" s="426" t="str">
        <f t="shared" si="25"/>
        <v/>
      </c>
      <c r="AH727" s="409" t="str">
        <f>IF('Antal &amp; Längder (vikter)'!B106&lt;&gt;"",'Antal &amp; Längder (vikter)'!B106,"XX")</f>
        <v>XX</v>
      </c>
      <c r="AI727" s="405">
        <f>IF('Antal &amp; Längder (vikter)'!C$101="Vikt (g)",IF('Antal &amp; Längder (vikter)'!C106&lt;&gt;"",'Antal &amp; Längder (vikter)'!C106,-9),-9)</f>
        <v>-9</v>
      </c>
    </row>
    <row r="728" spans="25:35" x14ac:dyDescent="0.25">
      <c r="Y728" s="402" t="s">
        <v>1798</v>
      </c>
      <c r="Z728" s="402" t="s">
        <v>1797</v>
      </c>
      <c r="AB728" s="471" t="str">
        <f>IF(COUNT(AB723:AB727)&gt;0,MAX(AB723:AB727)+1,"")</f>
        <v/>
      </c>
      <c r="AC728" s="433" t="str">
        <f>IF(AND(AH728&lt;&gt;"",AG728&lt;&gt;"",AI728&gt;0,AH728&gt;0),MAX(AC$2:AC727)+1,"XX")</f>
        <v>XX</v>
      </c>
      <c r="AD728" s="431" t="str">
        <f>IF('Antal &amp; Längder (vikter)'!$C$98&lt;&gt;"",'Antal &amp; Längder (vikter)'!$C$98,"XX")</f>
        <v>XX</v>
      </c>
      <c r="AE728" s="418" t="str">
        <f>IF(AND('Antal &amp; Längder (vikter)'!B$100&lt;&gt;"",ISNUMBER($AH728)),'Antal &amp; Längder (vikter)'!B$100,"")</f>
        <v/>
      </c>
      <c r="AF728" s="425" t="str">
        <f t="shared" si="24"/>
        <v/>
      </c>
      <c r="AG728" s="426" t="str">
        <f t="shared" si="25"/>
        <v/>
      </c>
      <c r="AH728" s="409" t="str">
        <f>IF('Antal &amp; Längder (vikter)'!B107&lt;&gt;"",'Antal &amp; Längder (vikter)'!B107,"XX")</f>
        <v>XX</v>
      </c>
      <c r="AI728" s="405">
        <f>IF('Antal &amp; Längder (vikter)'!C$101="Vikt (g)",IF('Antal &amp; Längder (vikter)'!C107&lt;&gt;"",'Antal &amp; Längder (vikter)'!C107,-9),-9)</f>
        <v>-9</v>
      </c>
    </row>
    <row r="729" spans="25:35" x14ac:dyDescent="0.25">
      <c r="Y729" s="402" t="s">
        <v>1800</v>
      </c>
      <c r="Z729" s="402" t="s">
        <v>1799</v>
      </c>
      <c r="AB729" s="474" t="str">
        <f>IF(COUNT(AB723:AB728)&gt;0,MAX(AB723:AB728)+1,"")</f>
        <v/>
      </c>
      <c r="AC729" s="433" t="str">
        <f>IF(AND(AH729&lt;&gt;"",AG729&lt;&gt;"",AI729&gt;0,AH729&gt;0),MAX(AC$2:AC728)+1,"XX")</f>
        <v>XX</v>
      </c>
      <c r="AD729" s="431" t="str">
        <f>IF('Antal &amp; Längder (vikter)'!$C$98&lt;&gt;"",'Antal &amp; Längder (vikter)'!$C$98,"XX")</f>
        <v>XX</v>
      </c>
      <c r="AE729" s="418" t="str">
        <f>IF(AND('Antal &amp; Längder (vikter)'!B$100&lt;&gt;"",ISNUMBER($AH729)),'Antal &amp; Längder (vikter)'!B$100,"")</f>
        <v/>
      </c>
      <c r="AF729" s="425" t="str">
        <f t="shared" si="24"/>
        <v/>
      </c>
      <c r="AG729" s="426" t="str">
        <f t="shared" si="25"/>
        <v/>
      </c>
      <c r="AH729" s="409" t="str">
        <f>IF('Antal &amp; Längder (vikter)'!B108&lt;&gt;"",'Antal &amp; Längder (vikter)'!B108,"XX")</f>
        <v>XX</v>
      </c>
      <c r="AI729" s="405">
        <f>IF('Antal &amp; Längder (vikter)'!C$101="Vikt (g)",IF('Antal &amp; Längder (vikter)'!C108&lt;&gt;"",'Antal &amp; Längder (vikter)'!C108,-9),-9)</f>
        <v>-9</v>
      </c>
    </row>
    <row r="730" spans="25:35" x14ac:dyDescent="0.25">
      <c r="Y730" s="402" t="s">
        <v>1802</v>
      </c>
      <c r="Z730" s="402" t="s">
        <v>1801</v>
      </c>
      <c r="AB730" s="478" t="str">
        <f>IF(COUNT(AB723:AB729)&gt;0,MAX(AB723:AB729)+1,"")</f>
        <v/>
      </c>
      <c r="AC730" s="433" t="str">
        <f>IF(AND(AH730&lt;&gt;"",AG730&lt;&gt;"",AI730&gt;0,AH730&gt;0),MAX(AC$2:AC729)+1,"XX")</f>
        <v>XX</v>
      </c>
      <c r="AD730" s="431" t="str">
        <f>IF('Antal &amp; Längder (vikter)'!$C$98&lt;&gt;"",'Antal &amp; Längder (vikter)'!$C$98,"XX")</f>
        <v>XX</v>
      </c>
      <c r="AE730" s="418" t="str">
        <f>IF(AND('Antal &amp; Längder (vikter)'!B$100&lt;&gt;"",ISNUMBER($AH730)),'Antal &amp; Längder (vikter)'!B$100,"")</f>
        <v/>
      </c>
      <c r="AF730" s="425" t="str">
        <f t="shared" si="24"/>
        <v/>
      </c>
      <c r="AG730" s="426" t="str">
        <f t="shared" si="25"/>
        <v/>
      </c>
      <c r="AH730" s="409" t="str">
        <f>IF('Antal &amp; Längder (vikter)'!B109&lt;&gt;"",'Antal &amp; Längder (vikter)'!B109,"XX")</f>
        <v>XX</v>
      </c>
      <c r="AI730" s="405">
        <f>IF('Antal &amp; Längder (vikter)'!C$101="Vikt (g)",IF('Antal &amp; Längder (vikter)'!C109&lt;&gt;"",'Antal &amp; Längder (vikter)'!C109,-9),-9)</f>
        <v>-9</v>
      </c>
    </row>
    <row r="731" spans="25:35" x14ac:dyDescent="0.25">
      <c r="Y731" s="402" t="s">
        <v>1804</v>
      </c>
      <c r="Z731" s="402" t="s">
        <v>1803</v>
      </c>
      <c r="AB731" s="472" t="str">
        <f>IF(COUNT(AB723:AB730)&gt;0,MAX(AB723:AB730)+1,"")</f>
        <v/>
      </c>
      <c r="AC731" s="433" t="str">
        <f>IF(AND(AH731&lt;&gt;"",AG731&lt;&gt;"",AI731&gt;0,AH731&gt;0),MAX(AC$2:AC730)+1,"XX")</f>
        <v>XX</v>
      </c>
      <c r="AD731" s="431" t="str">
        <f>IF('Antal &amp; Längder (vikter)'!$C$98&lt;&gt;"",'Antal &amp; Längder (vikter)'!$C$98,"XX")</f>
        <v>XX</v>
      </c>
      <c r="AE731" s="418" t="str">
        <f>IF(AND('Antal &amp; Längder (vikter)'!B$100&lt;&gt;"",ISNUMBER($AH731)),'Antal &amp; Längder (vikter)'!B$100,"")</f>
        <v/>
      </c>
      <c r="AF731" s="425" t="str">
        <f t="shared" si="24"/>
        <v/>
      </c>
      <c r="AG731" s="426" t="str">
        <f t="shared" si="25"/>
        <v/>
      </c>
      <c r="AH731" s="409" t="str">
        <f>IF('Antal &amp; Längder (vikter)'!B110&lt;&gt;"",'Antal &amp; Längder (vikter)'!B110,"XX")</f>
        <v>XX</v>
      </c>
      <c r="AI731" s="405">
        <f>IF('Antal &amp; Längder (vikter)'!C$101="Vikt (g)",IF('Antal &amp; Längder (vikter)'!C110&lt;&gt;"",'Antal &amp; Längder (vikter)'!C110,-9),-9)</f>
        <v>-9</v>
      </c>
    </row>
    <row r="732" spans="25:35" x14ac:dyDescent="0.25">
      <c r="Y732" s="402" t="s">
        <v>1806</v>
      </c>
      <c r="Z732" s="402" t="s">
        <v>1805</v>
      </c>
      <c r="AB732" s="479" t="str">
        <f>IF(COUNT(AB723:AB731)&gt;0,MAX(AB723:AB731)+1,"")</f>
        <v/>
      </c>
      <c r="AC732" s="433" t="str">
        <f>IF(AND(AH732&lt;&gt;"",AG732&lt;&gt;"",AI732&gt;0,AH732&gt;0),MAX(AC$2:AC731)+1,"XX")</f>
        <v>XX</v>
      </c>
      <c r="AD732" s="431" t="str">
        <f>IF('Antal &amp; Längder (vikter)'!$C$98&lt;&gt;"",'Antal &amp; Längder (vikter)'!$C$98,"XX")</f>
        <v>XX</v>
      </c>
      <c r="AE732" s="418" t="str">
        <f>IF(AND('Antal &amp; Längder (vikter)'!B$100&lt;&gt;"",ISNUMBER($AH732)),'Antal &amp; Längder (vikter)'!B$100,"")</f>
        <v/>
      </c>
      <c r="AF732" s="425" t="str">
        <f t="shared" si="24"/>
        <v/>
      </c>
      <c r="AG732" s="426" t="str">
        <f t="shared" si="25"/>
        <v/>
      </c>
      <c r="AH732" s="409" t="str">
        <f>IF('Antal &amp; Längder (vikter)'!B111&lt;&gt;"",'Antal &amp; Längder (vikter)'!B111,"XX")</f>
        <v>XX</v>
      </c>
      <c r="AI732" s="405">
        <f>IF('Antal &amp; Längder (vikter)'!C$101="Vikt (g)",IF('Antal &amp; Längder (vikter)'!C111&lt;&gt;"",'Antal &amp; Längder (vikter)'!C111,-9),-9)</f>
        <v>-9</v>
      </c>
    </row>
    <row r="733" spans="25:35" x14ac:dyDescent="0.25">
      <c r="Y733" s="402" t="s">
        <v>1808</v>
      </c>
      <c r="Z733" s="402" t="s">
        <v>1807</v>
      </c>
      <c r="AB733" s="480" t="str">
        <f>IF(AND(ISNUMBER(AH733),AH733&gt;0),IF(MAX(AB$3:AB732)&gt;0,MAX(AB$3:AB732)+1,10+COUNTIF(F$38:F$49,"&gt;0")*10+1),"")</f>
        <v/>
      </c>
      <c r="AC733" s="433" t="str">
        <f>IF(AND(AH733&lt;&gt;"",AG733&lt;&gt;"",AI733&gt;0,AH733&gt;0),MAX(AC$2:AC732)+1,"XX")</f>
        <v>XX</v>
      </c>
      <c r="AD733" s="431" t="str">
        <f>IF('Antal &amp; Längder (vikter)'!$C$98&lt;&gt;"",'Antal &amp; Längder (vikter)'!$C$98,"XX")</f>
        <v>XX</v>
      </c>
      <c r="AE733" s="418" t="str">
        <f>IF(AND('Antal &amp; Längder (vikter)'!B$100&lt;&gt;"",ISNUMBER($AH733)),'Antal &amp; Längder (vikter)'!B$100,"")</f>
        <v/>
      </c>
      <c r="AF733" s="425" t="str">
        <f t="shared" si="24"/>
        <v/>
      </c>
      <c r="AG733" s="426" t="str">
        <f t="shared" si="25"/>
        <v/>
      </c>
      <c r="AH733" s="410" t="str">
        <f>IF('Antal &amp; Längder (vikter)'!C$101="Längd (mm)",IF('Antal &amp; Längder (vikter)'!C102&lt;&gt;"",'Antal &amp; Längder (vikter)'!C102,"XX"),"XX")</f>
        <v>XX</v>
      </c>
      <c r="AI733" s="7">
        <v>-9</v>
      </c>
    </row>
    <row r="734" spans="25:35" x14ac:dyDescent="0.25">
      <c r="Y734" s="402" t="s">
        <v>1810</v>
      </c>
      <c r="Z734" s="402" t="s">
        <v>1809</v>
      </c>
      <c r="AB734" s="476" t="str">
        <f>IF(COUNT(AB733:AB733)&gt;0,MAX(AB733:AB733)+1,"")</f>
        <v/>
      </c>
      <c r="AC734" s="433" t="str">
        <f>IF(AND(AH734&lt;&gt;"",AG734&lt;&gt;"",AI734&gt;0,AH734&gt;0),MAX(AC$2:AC733)+1,"XX")</f>
        <v>XX</v>
      </c>
      <c r="AD734" s="431" t="str">
        <f>IF('Antal &amp; Längder (vikter)'!$C$98&lt;&gt;"",'Antal &amp; Längder (vikter)'!$C$98,"XX")</f>
        <v>XX</v>
      </c>
      <c r="AE734" s="418" t="str">
        <f>IF(AND('Antal &amp; Längder (vikter)'!B$100&lt;&gt;"",ISNUMBER($AH734)),'Antal &amp; Längder (vikter)'!B$100,"")</f>
        <v/>
      </c>
      <c r="AF734" s="425" t="str">
        <f t="shared" si="24"/>
        <v/>
      </c>
      <c r="AG734" s="426" t="str">
        <f t="shared" si="25"/>
        <v/>
      </c>
      <c r="AH734" s="410" t="str">
        <f>IF('Antal &amp; Längder (vikter)'!C$101="Längd (mm)",IF('Antal &amp; Längder (vikter)'!C103&lt;&gt;"",'Antal &amp; Längder (vikter)'!C103,"XX"),"XX")</f>
        <v>XX</v>
      </c>
      <c r="AI734" s="7">
        <v>-9</v>
      </c>
    </row>
    <row r="735" spans="25:35" x14ac:dyDescent="0.25">
      <c r="Y735" s="402" t="s">
        <v>1812</v>
      </c>
      <c r="Z735" s="402" t="s">
        <v>1811</v>
      </c>
      <c r="AB735" s="477" t="str">
        <f>IF(COUNT(AB733:AB734)&gt;0,MAX(AB733:AB734)+1,"")</f>
        <v/>
      </c>
      <c r="AC735" s="433" t="str">
        <f>IF(AND(AH735&lt;&gt;"",AG735&lt;&gt;"",AI735&gt;0,AH735&gt;0),MAX(AC$2:AC734)+1,"XX")</f>
        <v>XX</v>
      </c>
      <c r="AD735" s="431" t="str">
        <f>IF('Antal &amp; Längder (vikter)'!$C$98&lt;&gt;"",'Antal &amp; Längder (vikter)'!$C$98,"XX")</f>
        <v>XX</v>
      </c>
      <c r="AE735" s="418" t="str">
        <f>IF(AND('Antal &amp; Längder (vikter)'!B$100&lt;&gt;"",ISNUMBER($AH735)),'Antal &amp; Längder (vikter)'!B$100,"")</f>
        <v/>
      </c>
      <c r="AF735" s="425" t="str">
        <f t="shared" si="24"/>
        <v/>
      </c>
      <c r="AG735" s="426" t="str">
        <f t="shared" si="25"/>
        <v/>
      </c>
      <c r="AH735" s="410" t="str">
        <f>IF('Antal &amp; Längder (vikter)'!C$101="Längd (mm)",IF('Antal &amp; Längder (vikter)'!C104&lt;&gt;"",'Antal &amp; Längder (vikter)'!C104,"XX"),"XX")</f>
        <v>XX</v>
      </c>
      <c r="AI735" s="7">
        <v>-9</v>
      </c>
    </row>
    <row r="736" spans="25:35" x14ac:dyDescent="0.25">
      <c r="Y736" s="402" t="s">
        <v>1814</v>
      </c>
      <c r="Z736" s="403" t="s">
        <v>1813</v>
      </c>
      <c r="AB736" s="434" t="str">
        <f>IF(COUNT(AB733:AB735)&gt;0,MAX(AB733:AB735)+1,"")</f>
        <v/>
      </c>
      <c r="AC736" s="433" t="str">
        <f>IF(AND(AH736&lt;&gt;"",AG736&lt;&gt;"",AI736&gt;0,AH736&gt;0),MAX(AC$2:AC735)+1,"XX")</f>
        <v>XX</v>
      </c>
      <c r="AD736" s="431" t="str">
        <f>IF('Antal &amp; Längder (vikter)'!$C$98&lt;&gt;"",'Antal &amp; Längder (vikter)'!$C$98,"XX")</f>
        <v>XX</v>
      </c>
      <c r="AE736" s="418" t="str">
        <f>IF(AND('Antal &amp; Längder (vikter)'!B$100&lt;&gt;"",ISNUMBER($AH736)),'Antal &amp; Längder (vikter)'!B$100,"")</f>
        <v/>
      </c>
      <c r="AF736" s="425" t="str">
        <f t="shared" si="24"/>
        <v/>
      </c>
      <c r="AG736" s="426" t="str">
        <f t="shared" si="25"/>
        <v/>
      </c>
      <c r="AH736" s="410" t="str">
        <f>IF('Antal &amp; Längder (vikter)'!C$101="Längd (mm)",IF('Antal &amp; Längder (vikter)'!C105&lt;&gt;"",'Antal &amp; Längder (vikter)'!C105,"XX"),"XX")</f>
        <v>XX</v>
      </c>
      <c r="AI736" s="7">
        <v>-9</v>
      </c>
    </row>
    <row r="737" spans="25:35" x14ac:dyDescent="0.25">
      <c r="Y737" s="402" t="s">
        <v>1816</v>
      </c>
      <c r="Z737" s="402" t="s">
        <v>1815</v>
      </c>
      <c r="AB737" s="475" t="str">
        <f>IF(COUNT(AB733:AB736)&gt;0,MAX(AB733:AB736)+1,"")</f>
        <v/>
      </c>
      <c r="AC737" s="433" t="str">
        <f>IF(AND(AH737&lt;&gt;"",AG737&lt;&gt;"",AI737&gt;0,AH737&gt;0),MAX(AC$2:AC736)+1,"XX")</f>
        <v>XX</v>
      </c>
      <c r="AD737" s="431" t="str">
        <f>IF('Antal &amp; Längder (vikter)'!$C$98&lt;&gt;"",'Antal &amp; Längder (vikter)'!$C$98,"XX")</f>
        <v>XX</v>
      </c>
      <c r="AE737" s="418" t="str">
        <f>IF(AND('Antal &amp; Längder (vikter)'!B$100&lt;&gt;"",ISNUMBER($AH737)),'Antal &amp; Längder (vikter)'!B$100,"")</f>
        <v/>
      </c>
      <c r="AF737" s="425" t="str">
        <f t="shared" si="24"/>
        <v/>
      </c>
      <c r="AG737" s="426" t="str">
        <f t="shared" si="25"/>
        <v/>
      </c>
      <c r="AH737" s="410" t="str">
        <f>IF('Antal &amp; Längder (vikter)'!C$101="Längd (mm)",IF('Antal &amp; Längder (vikter)'!C106&lt;&gt;"",'Antal &amp; Längder (vikter)'!C106,"XX"),"XX")</f>
        <v>XX</v>
      </c>
      <c r="AI737" s="7">
        <v>-9</v>
      </c>
    </row>
    <row r="738" spans="25:35" x14ac:dyDescent="0.25">
      <c r="Y738" s="402" t="s">
        <v>1818</v>
      </c>
      <c r="Z738" s="402" t="s">
        <v>1817</v>
      </c>
      <c r="AB738" s="471" t="str">
        <f>IF(COUNT(AB733:AB737)&gt;0,MAX(AB733:AB737)+1,"")</f>
        <v/>
      </c>
      <c r="AC738" s="433" t="str">
        <f>IF(AND(AH738&lt;&gt;"",AG738&lt;&gt;"",AI738&gt;0,AH738&gt;0),MAX(AC$2:AC737)+1,"XX")</f>
        <v>XX</v>
      </c>
      <c r="AD738" s="431" t="str">
        <f>IF('Antal &amp; Längder (vikter)'!$C$98&lt;&gt;"",'Antal &amp; Längder (vikter)'!$C$98,"XX")</f>
        <v>XX</v>
      </c>
      <c r="AE738" s="418" t="str">
        <f>IF(AND('Antal &amp; Längder (vikter)'!B$100&lt;&gt;"",ISNUMBER($AH738)),'Antal &amp; Längder (vikter)'!B$100,"")</f>
        <v/>
      </c>
      <c r="AF738" s="425" t="str">
        <f t="shared" si="24"/>
        <v/>
      </c>
      <c r="AG738" s="426" t="str">
        <f t="shared" si="25"/>
        <v/>
      </c>
      <c r="AH738" s="410" t="str">
        <f>IF('Antal &amp; Längder (vikter)'!C$101="Längd (mm)",IF('Antal &amp; Längder (vikter)'!C107&lt;&gt;"",'Antal &amp; Längder (vikter)'!C107,"XX"),"XX")</f>
        <v>XX</v>
      </c>
      <c r="AI738" s="7">
        <v>-9</v>
      </c>
    </row>
    <row r="739" spans="25:35" x14ac:dyDescent="0.25">
      <c r="Y739" s="402" t="s">
        <v>1820</v>
      </c>
      <c r="Z739" s="402" t="s">
        <v>1819</v>
      </c>
      <c r="AB739" s="474" t="str">
        <f>IF(COUNT(AB733:AB738)&gt;0,MAX(AB733:AB738)+1,"")</f>
        <v/>
      </c>
      <c r="AC739" s="433" t="str">
        <f>IF(AND(AH739&lt;&gt;"",AG739&lt;&gt;"",AI739&gt;0,AH739&gt;0),MAX(AC$2:AC738)+1,"XX")</f>
        <v>XX</v>
      </c>
      <c r="AD739" s="431" t="str">
        <f>IF('Antal &amp; Längder (vikter)'!$C$98&lt;&gt;"",'Antal &amp; Längder (vikter)'!$C$98,"XX")</f>
        <v>XX</v>
      </c>
      <c r="AE739" s="418" t="str">
        <f>IF(AND('Antal &amp; Längder (vikter)'!B$100&lt;&gt;"",ISNUMBER($AH739)),'Antal &amp; Längder (vikter)'!B$100,"")</f>
        <v/>
      </c>
      <c r="AF739" s="425" t="str">
        <f t="shared" si="24"/>
        <v/>
      </c>
      <c r="AG739" s="426" t="str">
        <f t="shared" si="25"/>
        <v/>
      </c>
      <c r="AH739" s="410" t="str">
        <f>IF('Antal &amp; Längder (vikter)'!C$101="Längd (mm)",IF('Antal &amp; Längder (vikter)'!C108&lt;&gt;"",'Antal &amp; Längder (vikter)'!C108,"XX"),"XX")</f>
        <v>XX</v>
      </c>
      <c r="AI739" s="7">
        <v>-9</v>
      </c>
    </row>
    <row r="740" spans="25:35" x14ac:dyDescent="0.25">
      <c r="Y740" s="402" t="s">
        <v>1822</v>
      </c>
      <c r="Z740" s="402" t="s">
        <v>1821</v>
      </c>
      <c r="AB740" s="478" t="str">
        <f>IF(COUNT(AB733:AB739)&gt;0,MAX(AB733:AB739)+1,"")</f>
        <v/>
      </c>
      <c r="AC740" s="433" t="str">
        <f>IF(AND(AH740&lt;&gt;"",AG740&lt;&gt;"",AI740&gt;0,AH740&gt;0),MAX(AC$2:AC739)+1,"XX")</f>
        <v>XX</v>
      </c>
      <c r="AD740" s="431" t="str">
        <f>IF('Antal &amp; Längder (vikter)'!$C$98&lt;&gt;"",'Antal &amp; Längder (vikter)'!$C$98,"XX")</f>
        <v>XX</v>
      </c>
      <c r="AE740" s="418" t="str">
        <f>IF(AND('Antal &amp; Längder (vikter)'!B$100&lt;&gt;"",ISNUMBER($AH740)),'Antal &amp; Längder (vikter)'!B$100,"")</f>
        <v/>
      </c>
      <c r="AF740" s="425" t="str">
        <f t="shared" si="24"/>
        <v/>
      </c>
      <c r="AG740" s="426" t="str">
        <f t="shared" si="25"/>
        <v/>
      </c>
      <c r="AH740" s="410" t="str">
        <f>IF('Antal &amp; Längder (vikter)'!C$101="Längd (mm)",IF('Antal &amp; Längder (vikter)'!C109&lt;&gt;"",'Antal &amp; Längder (vikter)'!C109,"XX"),"XX")</f>
        <v>XX</v>
      </c>
      <c r="AI740" s="7">
        <v>-9</v>
      </c>
    </row>
    <row r="741" spans="25:35" x14ac:dyDescent="0.25">
      <c r="Y741" s="402" t="s">
        <v>1824</v>
      </c>
      <c r="Z741" s="402" t="s">
        <v>1823</v>
      </c>
      <c r="AB741" s="472" t="str">
        <f>IF(COUNT(AB733:AB740)&gt;0,MAX(AB733:AB740)+1,"")</f>
        <v/>
      </c>
      <c r="AC741" s="433" t="str">
        <f>IF(AND(AH741&lt;&gt;"",AG741&lt;&gt;"",AI741&gt;0,AH741&gt;0),MAX(AC$2:AC740)+1,"XX")</f>
        <v>XX</v>
      </c>
      <c r="AD741" s="431" t="str">
        <f>IF('Antal &amp; Längder (vikter)'!$C$98&lt;&gt;"",'Antal &amp; Längder (vikter)'!$C$98,"XX")</f>
        <v>XX</v>
      </c>
      <c r="AE741" s="418" t="str">
        <f>IF(AND('Antal &amp; Längder (vikter)'!B$100&lt;&gt;"",ISNUMBER($AH741)),'Antal &amp; Längder (vikter)'!B$100,"")</f>
        <v/>
      </c>
      <c r="AF741" s="425" t="str">
        <f t="shared" si="24"/>
        <v/>
      </c>
      <c r="AG741" s="426" t="str">
        <f t="shared" si="25"/>
        <v/>
      </c>
      <c r="AH741" s="410" t="str">
        <f>IF('Antal &amp; Längder (vikter)'!C$101="Längd (mm)",IF('Antal &amp; Längder (vikter)'!C110&lt;&gt;"",'Antal &amp; Längder (vikter)'!C110,"XX"),"XX")</f>
        <v>XX</v>
      </c>
      <c r="AI741" s="7">
        <v>-9</v>
      </c>
    </row>
    <row r="742" spans="25:35" x14ac:dyDescent="0.25">
      <c r="Y742" s="402" t="s">
        <v>1826</v>
      </c>
      <c r="Z742" s="402" t="s">
        <v>1825</v>
      </c>
      <c r="AB742" s="479" t="str">
        <f>IF(COUNT(AB733:AB741)&gt;0,MAX(AB733:AB741)+1,"")</f>
        <v/>
      </c>
      <c r="AC742" s="433" t="str">
        <f>IF(AND(AH742&lt;&gt;"",AG742&lt;&gt;"",AI742&gt;0,AH742&gt;0),MAX(AC$2:AC741)+1,"XX")</f>
        <v>XX</v>
      </c>
      <c r="AD742" s="431" t="str">
        <f>IF('Antal &amp; Längder (vikter)'!$C$98&lt;&gt;"",'Antal &amp; Längder (vikter)'!$C$98,"XX")</f>
        <v>XX</v>
      </c>
      <c r="AE742" s="418" t="str">
        <f>IF(AND('Antal &amp; Längder (vikter)'!B$100&lt;&gt;"",ISNUMBER($AH742)),'Antal &amp; Längder (vikter)'!B$100,"")</f>
        <v/>
      </c>
      <c r="AF742" s="425" t="str">
        <f t="shared" si="24"/>
        <v/>
      </c>
      <c r="AG742" s="426" t="str">
        <f t="shared" si="25"/>
        <v/>
      </c>
      <c r="AH742" s="410" t="str">
        <f>IF('Antal &amp; Längder (vikter)'!C$101="Längd (mm)",IF('Antal &amp; Längder (vikter)'!C111&lt;&gt;"",'Antal &amp; Längder (vikter)'!C111,"XX"),"XX")</f>
        <v>XX</v>
      </c>
      <c r="AI742" s="7">
        <v>-9</v>
      </c>
    </row>
    <row r="743" spans="25:35" x14ac:dyDescent="0.25">
      <c r="Y743" s="402" t="s">
        <v>1828</v>
      </c>
      <c r="Z743" s="402" t="s">
        <v>1827</v>
      </c>
      <c r="AB743" s="480" t="str">
        <f>IF(AND(ISNUMBER(AH743),AH743&gt;0),IF(MAX(AB$3:AB742)&gt;0,MAX(AB$3:AB742)+1,10+COUNTIF(F$38:F$49,"&gt;0")*10+1),"")</f>
        <v/>
      </c>
      <c r="AC743" s="433" t="str">
        <f>IF(AND(AH743&lt;&gt;"",AG743&lt;&gt;"",AI743&gt;0,AH743&gt;0),MAX(AC$2:AC742)+1,"XX")</f>
        <v>XX</v>
      </c>
      <c r="AD743" s="431" t="str">
        <f>IF('Antal &amp; Längder (vikter)'!$C$98&lt;&gt;"",'Antal &amp; Längder (vikter)'!$C$98,"XX")</f>
        <v>XX</v>
      </c>
      <c r="AE743" s="423" t="str">
        <f>IF(AND('Antal &amp; Längder (vikter)'!D$100&lt;&gt;"",ISNUMBER($AH743)),'Antal &amp; Längder (vikter)'!D$100,"")</f>
        <v/>
      </c>
      <c r="AF743" s="425" t="str">
        <f t="shared" si="24"/>
        <v/>
      </c>
      <c r="AG743" s="426" t="str">
        <f t="shared" si="25"/>
        <v/>
      </c>
      <c r="AH743" s="409" t="str">
        <f>IF('Antal &amp; Längder (vikter)'!D102&lt;&gt;"",'Antal &amp; Längder (vikter)'!D102,"XX")</f>
        <v>XX</v>
      </c>
      <c r="AI743" s="405">
        <f>IF('Antal &amp; Längder (vikter)'!E$101="Vikt (g)",IF('Antal &amp; Längder (vikter)'!E102&lt;&gt;"",'Antal &amp; Längder (vikter)'!E102,-9),-9)</f>
        <v>-9</v>
      </c>
    </row>
    <row r="744" spans="25:35" x14ac:dyDescent="0.25">
      <c r="Y744" s="402" t="s">
        <v>1830</v>
      </c>
      <c r="Z744" s="402" t="s">
        <v>1829</v>
      </c>
      <c r="AB744" s="476" t="str">
        <f>IF(COUNT(AB743:AB743)&gt;0,MAX(AB743:AB743)+1,"")</f>
        <v/>
      </c>
      <c r="AC744" s="433" t="str">
        <f>IF(AND(AH744&lt;&gt;"",AG744&lt;&gt;"",AI744&gt;0,AH744&gt;0),MAX(AC$2:AC743)+1,"XX")</f>
        <v>XX</v>
      </c>
      <c r="AD744" s="431" t="str">
        <f>IF('Antal &amp; Längder (vikter)'!$C$98&lt;&gt;"",'Antal &amp; Längder (vikter)'!$C$98,"XX")</f>
        <v>XX</v>
      </c>
      <c r="AE744" s="423" t="str">
        <f>IF(AND('Antal &amp; Längder (vikter)'!D$100&lt;&gt;"",ISNUMBER($AH744)),'Antal &amp; Längder (vikter)'!D$100,"")</f>
        <v/>
      </c>
      <c r="AF744" s="425" t="str">
        <f t="shared" si="24"/>
        <v/>
      </c>
      <c r="AG744" s="426" t="str">
        <f t="shared" si="25"/>
        <v/>
      </c>
      <c r="AH744" s="409" t="str">
        <f>IF('Antal &amp; Längder (vikter)'!D103&lt;&gt;"",'Antal &amp; Längder (vikter)'!D103,"XX")</f>
        <v>XX</v>
      </c>
      <c r="AI744" s="405">
        <f>IF('Antal &amp; Längder (vikter)'!E$101="Vikt (g)",IF('Antal &amp; Längder (vikter)'!E103&lt;&gt;"",'Antal &amp; Längder (vikter)'!E103,-9),-9)</f>
        <v>-9</v>
      </c>
    </row>
    <row r="745" spans="25:35" x14ac:dyDescent="0.25">
      <c r="Y745" s="402" t="s">
        <v>1832</v>
      </c>
      <c r="Z745" s="402" t="s">
        <v>1831</v>
      </c>
      <c r="AB745" s="477" t="str">
        <f>IF(COUNT(AB743:AB744)&gt;0,MAX(AB743:AB744)+1,"")</f>
        <v/>
      </c>
      <c r="AC745" s="433" t="str">
        <f>IF(AND(AH745&lt;&gt;"",AG745&lt;&gt;"",AI745&gt;0,AH745&gt;0),MAX(AC$2:AC744)+1,"XX")</f>
        <v>XX</v>
      </c>
      <c r="AD745" s="431" t="str">
        <f>IF('Antal &amp; Längder (vikter)'!$C$98&lt;&gt;"",'Antal &amp; Längder (vikter)'!$C$98,"XX")</f>
        <v>XX</v>
      </c>
      <c r="AE745" s="423" t="str">
        <f>IF(AND('Antal &amp; Längder (vikter)'!D$100&lt;&gt;"",ISNUMBER($AH745)),'Antal &amp; Längder (vikter)'!D$100,"")</f>
        <v/>
      </c>
      <c r="AF745" s="425" t="str">
        <f t="shared" si="24"/>
        <v/>
      </c>
      <c r="AG745" s="426" t="str">
        <f t="shared" si="25"/>
        <v/>
      </c>
      <c r="AH745" s="409" t="str">
        <f>IF('Antal &amp; Längder (vikter)'!D104&lt;&gt;"",'Antal &amp; Längder (vikter)'!D104,"XX")</f>
        <v>XX</v>
      </c>
      <c r="AI745" s="405">
        <f>IF('Antal &amp; Längder (vikter)'!E$101="Vikt (g)",IF('Antal &amp; Längder (vikter)'!E104&lt;&gt;"",'Antal &amp; Längder (vikter)'!E104,-9),-9)</f>
        <v>-9</v>
      </c>
    </row>
    <row r="746" spans="25:35" x14ac:dyDescent="0.25">
      <c r="Y746" s="402" t="s">
        <v>1834</v>
      </c>
      <c r="Z746" s="402" t="s">
        <v>1833</v>
      </c>
      <c r="AB746" s="434" t="str">
        <f>IF(COUNT(AB743:AB745)&gt;0,MAX(AB743:AB745)+1,"")</f>
        <v/>
      </c>
      <c r="AC746" s="433" t="str">
        <f>IF(AND(AH746&lt;&gt;"",AG746&lt;&gt;"",AI746&gt;0,AH746&gt;0),MAX(AC$2:AC745)+1,"XX")</f>
        <v>XX</v>
      </c>
      <c r="AD746" s="431" t="str">
        <f>IF('Antal &amp; Längder (vikter)'!$C$98&lt;&gt;"",'Antal &amp; Längder (vikter)'!$C$98,"XX")</f>
        <v>XX</v>
      </c>
      <c r="AE746" s="423" t="str">
        <f>IF(AND('Antal &amp; Längder (vikter)'!D$100&lt;&gt;"",ISNUMBER($AH746)),'Antal &amp; Längder (vikter)'!D$100,"")</f>
        <v/>
      </c>
      <c r="AF746" s="425" t="str">
        <f t="shared" si="24"/>
        <v/>
      </c>
      <c r="AG746" s="426" t="str">
        <f t="shared" si="25"/>
        <v/>
      </c>
      <c r="AH746" s="409" t="str">
        <f>IF('Antal &amp; Längder (vikter)'!D105&lt;&gt;"",'Antal &amp; Längder (vikter)'!D105,"XX")</f>
        <v>XX</v>
      </c>
      <c r="AI746" s="405">
        <f>IF('Antal &amp; Längder (vikter)'!E$101="Vikt (g)",IF('Antal &amp; Längder (vikter)'!E105&lt;&gt;"",'Antal &amp; Längder (vikter)'!E105,-9),-9)</f>
        <v>-9</v>
      </c>
    </row>
    <row r="747" spans="25:35" x14ac:dyDescent="0.25">
      <c r="Y747" s="402" t="s">
        <v>1836</v>
      </c>
      <c r="Z747" s="402" t="s">
        <v>1835</v>
      </c>
      <c r="AB747" s="475" t="str">
        <f>IF(COUNT(AB743:AB746)&gt;0,MAX(AB743:AB746)+1,"")</f>
        <v/>
      </c>
      <c r="AC747" s="433" t="str">
        <f>IF(AND(AH747&lt;&gt;"",AG747&lt;&gt;"",AI747&gt;0,AH747&gt;0),MAX(AC$2:AC746)+1,"XX")</f>
        <v>XX</v>
      </c>
      <c r="AD747" s="431" t="str">
        <f>IF('Antal &amp; Längder (vikter)'!$C$98&lt;&gt;"",'Antal &amp; Längder (vikter)'!$C$98,"XX")</f>
        <v>XX</v>
      </c>
      <c r="AE747" s="423" t="str">
        <f>IF(AND('Antal &amp; Längder (vikter)'!D$100&lt;&gt;"",ISNUMBER($AH747)),'Antal &amp; Längder (vikter)'!D$100,"")</f>
        <v/>
      </c>
      <c r="AF747" s="425" t="str">
        <f t="shared" si="24"/>
        <v/>
      </c>
      <c r="AG747" s="426" t="str">
        <f t="shared" si="25"/>
        <v/>
      </c>
      <c r="AH747" s="409" t="str">
        <f>IF('Antal &amp; Längder (vikter)'!D106&lt;&gt;"",'Antal &amp; Längder (vikter)'!D106,"XX")</f>
        <v>XX</v>
      </c>
      <c r="AI747" s="405">
        <f>IF('Antal &amp; Längder (vikter)'!E$101="Vikt (g)",IF('Antal &amp; Längder (vikter)'!E106&lt;&gt;"",'Antal &amp; Längder (vikter)'!E106,-9),-9)</f>
        <v>-9</v>
      </c>
    </row>
    <row r="748" spans="25:35" x14ac:dyDescent="0.25">
      <c r="Y748" s="402" t="s">
        <v>1838</v>
      </c>
      <c r="Z748" s="402" t="s">
        <v>1837</v>
      </c>
      <c r="AB748" s="471" t="str">
        <f>IF(COUNT(AB743:AB747)&gt;0,MAX(AB743:AB747)+1,"")</f>
        <v/>
      </c>
      <c r="AC748" s="433" t="str">
        <f>IF(AND(AH748&lt;&gt;"",AG748&lt;&gt;"",AI748&gt;0,AH748&gt;0),MAX(AC$2:AC747)+1,"XX")</f>
        <v>XX</v>
      </c>
      <c r="AD748" s="431" t="str">
        <f>IF('Antal &amp; Längder (vikter)'!$C$98&lt;&gt;"",'Antal &amp; Längder (vikter)'!$C$98,"XX")</f>
        <v>XX</v>
      </c>
      <c r="AE748" s="423" t="str">
        <f>IF(AND('Antal &amp; Längder (vikter)'!D$100&lt;&gt;"",ISNUMBER($AH748)),'Antal &amp; Längder (vikter)'!D$100,"")</f>
        <v/>
      </c>
      <c r="AF748" s="425" t="str">
        <f t="shared" si="24"/>
        <v/>
      </c>
      <c r="AG748" s="426" t="str">
        <f t="shared" si="25"/>
        <v/>
      </c>
      <c r="AH748" s="409" t="str">
        <f>IF('Antal &amp; Längder (vikter)'!D107&lt;&gt;"",'Antal &amp; Längder (vikter)'!D107,"XX")</f>
        <v>XX</v>
      </c>
      <c r="AI748" s="405">
        <f>IF('Antal &amp; Längder (vikter)'!E$101="Vikt (g)",IF('Antal &amp; Längder (vikter)'!E107&lt;&gt;"",'Antal &amp; Längder (vikter)'!E107,-9),-9)</f>
        <v>-9</v>
      </c>
    </row>
    <row r="749" spans="25:35" x14ac:dyDescent="0.25">
      <c r="Y749" s="402" t="s">
        <v>1842</v>
      </c>
      <c r="Z749" s="402" t="s">
        <v>1841</v>
      </c>
      <c r="AB749" s="474" t="str">
        <f>IF(COUNT(AB743:AB748)&gt;0,MAX(AB743:AB748)+1,"")</f>
        <v/>
      </c>
      <c r="AC749" s="433" t="str">
        <f>IF(AND(AH749&lt;&gt;"",AG749&lt;&gt;"",AI749&gt;0,AH749&gt;0),MAX(AC$2:AC748)+1,"XX")</f>
        <v>XX</v>
      </c>
      <c r="AD749" s="431" t="str">
        <f>IF('Antal &amp; Längder (vikter)'!$C$98&lt;&gt;"",'Antal &amp; Längder (vikter)'!$C$98,"XX")</f>
        <v>XX</v>
      </c>
      <c r="AE749" s="423" t="str">
        <f>IF(AND('Antal &amp; Längder (vikter)'!D$100&lt;&gt;"",ISNUMBER($AH749)),'Antal &amp; Längder (vikter)'!D$100,"")</f>
        <v/>
      </c>
      <c r="AF749" s="425" t="str">
        <f t="shared" si="24"/>
        <v/>
      </c>
      <c r="AG749" s="426" t="str">
        <f t="shared" si="25"/>
        <v/>
      </c>
      <c r="AH749" s="409" t="str">
        <f>IF('Antal &amp; Längder (vikter)'!D108&lt;&gt;"",'Antal &amp; Längder (vikter)'!D108,"XX")</f>
        <v>XX</v>
      </c>
      <c r="AI749" s="405">
        <f>IF('Antal &amp; Längder (vikter)'!E$101="Vikt (g)",IF('Antal &amp; Längder (vikter)'!E108&lt;&gt;"",'Antal &amp; Längder (vikter)'!E108,-9),-9)</f>
        <v>-9</v>
      </c>
    </row>
    <row r="750" spans="25:35" x14ac:dyDescent="0.25">
      <c r="Y750" s="402" t="s">
        <v>1843</v>
      </c>
      <c r="Z750" s="402" t="s">
        <v>2434</v>
      </c>
      <c r="AB750" s="478" t="str">
        <f>IF(COUNT(AB743:AB749)&gt;0,MAX(AB743:AB749)+1,"")</f>
        <v/>
      </c>
      <c r="AC750" s="433" t="str">
        <f>IF(AND(AH750&lt;&gt;"",AG750&lt;&gt;"",AI750&gt;0,AH750&gt;0),MAX(AC$2:AC749)+1,"XX")</f>
        <v>XX</v>
      </c>
      <c r="AD750" s="431" t="str">
        <f>IF('Antal &amp; Längder (vikter)'!$C$98&lt;&gt;"",'Antal &amp; Längder (vikter)'!$C$98,"XX")</f>
        <v>XX</v>
      </c>
      <c r="AE750" s="423" t="str">
        <f>IF(AND('Antal &amp; Längder (vikter)'!D$100&lt;&gt;"",ISNUMBER($AH750)),'Antal &amp; Längder (vikter)'!D$100,"")</f>
        <v/>
      </c>
      <c r="AF750" s="425" t="str">
        <f t="shared" si="24"/>
        <v/>
      </c>
      <c r="AG750" s="426" t="str">
        <f t="shared" si="25"/>
        <v/>
      </c>
      <c r="AH750" s="409" t="str">
        <f>IF('Antal &amp; Längder (vikter)'!D109&lt;&gt;"",'Antal &amp; Längder (vikter)'!D109,"XX")</f>
        <v>XX</v>
      </c>
      <c r="AI750" s="405">
        <f>IF('Antal &amp; Längder (vikter)'!E$101="Vikt (g)",IF('Antal &amp; Längder (vikter)'!E109&lt;&gt;"",'Antal &amp; Längder (vikter)'!E109,-9),-9)</f>
        <v>-9</v>
      </c>
    </row>
    <row r="751" spans="25:35" x14ac:dyDescent="0.25">
      <c r="Y751" s="402" t="s">
        <v>1845</v>
      </c>
      <c r="Z751" s="402" t="s">
        <v>1844</v>
      </c>
      <c r="AB751" s="472" t="str">
        <f>IF(COUNT(AB743:AB750)&gt;0,MAX(AB743:AB750)+1,"")</f>
        <v/>
      </c>
      <c r="AC751" s="433" t="str">
        <f>IF(AND(AH751&lt;&gt;"",AG751&lt;&gt;"",AI751&gt;0,AH751&gt;0),MAX(AC$2:AC750)+1,"XX")</f>
        <v>XX</v>
      </c>
      <c r="AD751" s="431" t="str">
        <f>IF('Antal &amp; Längder (vikter)'!$C$98&lt;&gt;"",'Antal &amp; Längder (vikter)'!$C$98,"XX")</f>
        <v>XX</v>
      </c>
      <c r="AE751" s="423" t="str">
        <f>IF(AND('Antal &amp; Längder (vikter)'!D$100&lt;&gt;"",ISNUMBER($AH751)),'Antal &amp; Längder (vikter)'!D$100,"")</f>
        <v/>
      </c>
      <c r="AF751" s="425" t="str">
        <f t="shared" si="24"/>
        <v/>
      </c>
      <c r="AG751" s="426" t="str">
        <f t="shared" si="25"/>
        <v/>
      </c>
      <c r="AH751" s="409" t="str">
        <f>IF('Antal &amp; Längder (vikter)'!D110&lt;&gt;"",'Antal &amp; Längder (vikter)'!D110,"XX")</f>
        <v>XX</v>
      </c>
      <c r="AI751" s="405">
        <f>IF('Antal &amp; Längder (vikter)'!E$101="Vikt (g)",IF('Antal &amp; Längder (vikter)'!E110&lt;&gt;"",'Antal &amp; Längder (vikter)'!E110,-9),-9)</f>
        <v>-9</v>
      </c>
    </row>
    <row r="752" spans="25:35" x14ac:dyDescent="0.25">
      <c r="Y752" s="402" t="s">
        <v>1847</v>
      </c>
      <c r="Z752" s="402" t="s">
        <v>1846</v>
      </c>
      <c r="AB752" s="479" t="str">
        <f>IF(COUNT(AB743:AB751)&gt;0,MAX(AB743:AB751)+1,"")</f>
        <v/>
      </c>
      <c r="AC752" s="433" t="str">
        <f>IF(AND(AH752&lt;&gt;"",AG752&lt;&gt;"",AI752&gt;0,AH752&gt;0),MAX(AC$2:AC751)+1,"XX")</f>
        <v>XX</v>
      </c>
      <c r="AD752" s="431" t="str">
        <f>IF('Antal &amp; Längder (vikter)'!$C$98&lt;&gt;"",'Antal &amp; Längder (vikter)'!$C$98,"XX")</f>
        <v>XX</v>
      </c>
      <c r="AE752" s="423" t="str">
        <f>IF(AND('Antal &amp; Längder (vikter)'!D$100&lt;&gt;"",ISNUMBER($AH752)),'Antal &amp; Längder (vikter)'!D$100,"")</f>
        <v/>
      </c>
      <c r="AF752" s="425" t="str">
        <f t="shared" si="24"/>
        <v/>
      </c>
      <c r="AG752" s="426" t="str">
        <f t="shared" si="25"/>
        <v/>
      </c>
      <c r="AH752" s="409" t="str">
        <f>IF('Antal &amp; Längder (vikter)'!D111&lt;&gt;"",'Antal &amp; Längder (vikter)'!D111,"XX")</f>
        <v>XX</v>
      </c>
      <c r="AI752" s="405">
        <f>IF('Antal &amp; Längder (vikter)'!E$101="Vikt (g)",IF('Antal &amp; Längder (vikter)'!E111&lt;&gt;"",'Antal &amp; Längder (vikter)'!E111,-9),-9)</f>
        <v>-9</v>
      </c>
    </row>
    <row r="753" spans="25:35" x14ac:dyDescent="0.25">
      <c r="Y753" s="402" t="s">
        <v>276</v>
      </c>
      <c r="Z753" s="402" t="s">
        <v>2435</v>
      </c>
      <c r="AB753" s="480" t="str">
        <f>IF(AND(ISNUMBER(AH753),AH753&gt;0),IF(MAX(AB$3:AB752)&gt;0,MAX(AB$3:AB752)+1,10+COUNTIF(F$38:F$49,"&gt;0")*10+1),"")</f>
        <v/>
      </c>
      <c r="AC753" s="433" t="str">
        <f>IF(AND(AH753&lt;&gt;"",AG753&lt;&gt;"",AI753&gt;0,AH753&gt;0),MAX(AC$2:AC752)+1,"XX")</f>
        <v>XX</v>
      </c>
      <c r="AD753" s="431" t="str">
        <f>IF('Antal &amp; Längder (vikter)'!$C$98&lt;&gt;"",'Antal &amp; Längder (vikter)'!$C$98,"XX")</f>
        <v>XX</v>
      </c>
      <c r="AE753" s="423" t="str">
        <f>IF(AND('Antal &amp; Längder (vikter)'!D$100&lt;&gt;"",ISNUMBER($AH753)),'Antal &amp; Längder (vikter)'!D$100,"")</f>
        <v/>
      </c>
      <c r="AF753" s="425" t="str">
        <f t="shared" si="24"/>
        <v/>
      </c>
      <c r="AG753" s="426" t="str">
        <f t="shared" si="25"/>
        <v/>
      </c>
      <c r="AH753" s="410" t="str">
        <f>IF('Antal &amp; Längder (vikter)'!E$101="Längd (mm)",IF('Antal &amp; Längder (vikter)'!E102&lt;&gt;"",'Antal &amp; Längder (vikter)'!E102,"XX"),"XX")</f>
        <v>XX</v>
      </c>
      <c r="AI753" s="7">
        <v>-9</v>
      </c>
    </row>
    <row r="754" spans="25:35" x14ac:dyDescent="0.25">
      <c r="Y754" s="402" t="s">
        <v>1840</v>
      </c>
      <c r="Z754" s="402" t="s">
        <v>1839</v>
      </c>
      <c r="AB754" s="476" t="str">
        <f>IF(COUNT(AB753:AB753)&gt;0,MAX(AB753:AB753)+1,"")</f>
        <v/>
      </c>
      <c r="AC754" s="433" t="str">
        <f>IF(AND(AH754&lt;&gt;"",AG754&lt;&gt;"",AI754&gt;0,AH754&gt;0),MAX(AC$2:AC753)+1,"XX")</f>
        <v>XX</v>
      </c>
      <c r="AD754" s="431" t="str">
        <f>IF('Antal &amp; Längder (vikter)'!$C$98&lt;&gt;"",'Antal &amp; Längder (vikter)'!$C$98,"XX")</f>
        <v>XX</v>
      </c>
      <c r="AE754" s="423" t="str">
        <f>IF(AND('Antal &amp; Längder (vikter)'!D$100&lt;&gt;"",ISNUMBER($AH754)),'Antal &amp; Längder (vikter)'!D$100,"")</f>
        <v/>
      </c>
      <c r="AF754" s="425" t="str">
        <f t="shared" si="24"/>
        <v/>
      </c>
      <c r="AG754" s="426" t="str">
        <f t="shared" si="25"/>
        <v/>
      </c>
      <c r="AH754" s="410" t="str">
        <f>IF('Antal &amp; Längder (vikter)'!E$101="Längd (mm)",IF('Antal &amp; Längder (vikter)'!E103&lt;&gt;"",'Antal &amp; Längder (vikter)'!E103,"XX"),"XX")</f>
        <v>XX</v>
      </c>
      <c r="AI754" s="7">
        <v>-9</v>
      </c>
    </row>
    <row r="755" spans="25:35" x14ac:dyDescent="0.25">
      <c r="Y755" s="402" t="s">
        <v>2196</v>
      </c>
      <c r="Z755" s="402" t="s">
        <v>2195</v>
      </c>
      <c r="AB755" s="477" t="str">
        <f>IF(COUNT(AB753:AB754)&gt;0,MAX(AB753:AB754)+1,"")</f>
        <v/>
      </c>
      <c r="AC755" s="433" t="str">
        <f>IF(AND(AH755&lt;&gt;"",AG755&lt;&gt;"",AI755&gt;0,AH755&gt;0),MAX(AC$2:AC754)+1,"XX")</f>
        <v>XX</v>
      </c>
      <c r="AD755" s="431" t="str">
        <f>IF('Antal &amp; Längder (vikter)'!$C$98&lt;&gt;"",'Antal &amp; Längder (vikter)'!$C$98,"XX")</f>
        <v>XX</v>
      </c>
      <c r="AE755" s="423" t="str">
        <f>IF(AND('Antal &amp; Längder (vikter)'!D$100&lt;&gt;"",ISNUMBER($AH755)),'Antal &amp; Längder (vikter)'!D$100,"")</f>
        <v/>
      </c>
      <c r="AF755" s="425" t="str">
        <f t="shared" si="24"/>
        <v/>
      </c>
      <c r="AG755" s="426" t="str">
        <f t="shared" si="25"/>
        <v/>
      </c>
      <c r="AH755" s="410" t="str">
        <f>IF('Antal &amp; Längder (vikter)'!E$101="Längd (mm)",IF('Antal &amp; Längder (vikter)'!E104&lt;&gt;"",'Antal &amp; Längder (vikter)'!E104,"XX"),"XX")</f>
        <v>XX</v>
      </c>
      <c r="AI755" s="7">
        <v>-9</v>
      </c>
    </row>
    <row r="756" spans="25:35" x14ac:dyDescent="0.25">
      <c r="Y756" s="402" t="s">
        <v>2439</v>
      </c>
      <c r="Z756" s="402" t="s">
        <v>2438</v>
      </c>
      <c r="AB756" s="434" t="str">
        <f>IF(COUNT(AB753:AB755)&gt;0,MAX(AB753:AB755)+1,"")</f>
        <v/>
      </c>
      <c r="AC756" s="433" t="str">
        <f>IF(AND(AH756&lt;&gt;"",AG756&lt;&gt;"",AI756&gt;0,AH756&gt;0),MAX(AC$2:AC755)+1,"XX")</f>
        <v>XX</v>
      </c>
      <c r="AD756" s="431" t="str">
        <f>IF('Antal &amp; Längder (vikter)'!$C$98&lt;&gt;"",'Antal &amp; Längder (vikter)'!$C$98,"XX")</f>
        <v>XX</v>
      </c>
      <c r="AE756" s="423" t="str">
        <f>IF(AND('Antal &amp; Längder (vikter)'!D$100&lt;&gt;"",ISNUMBER($AH756)),'Antal &amp; Längder (vikter)'!D$100,"")</f>
        <v/>
      </c>
      <c r="AF756" s="425" t="str">
        <f t="shared" si="24"/>
        <v/>
      </c>
      <c r="AG756" s="426" t="str">
        <f t="shared" si="25"/>
        <v/>
      </c>
      <c r="AH756" s="410" t="str">
        <f>IF('Antal &amp; Längder (vikter)'!E$101="Längd (mm)",IF('Antal &amp; Längder (vikter)'!E105&lt;&gt;"",'Antal &amp; Längder (vikter)'!E105,"XX"),"XX")</f>
        <v>XX</v>
      </c>
      <c r="AI756" s="7">
        <v>-9</v>
      </c>
    </row>
    <row r="757" spans="25:35" x14ac:dyDescent="0.25">
      <c r="Y757" s="402" t="s">
        <v>1849</v>
      </c>
      <c r="Z757" s="402" t="s">
        <v>1848</v>
      </c>
      <c r="AB757" s="475" t="str">
        <f>IF(COUNT(AB753:AB756)&gt;0,MAX(AB753:AB756)+1,"")</f>
        <v/>
      </c>
      <c r="AC757" s="433" t="str">
        <f>IF(AND(AH757&lt;&gt;"",AG757&lt;&gt;"",AI757&gt;0,AH757&gt;0),MAX(AC$2:AC756)+1,"XX")</f>
        <v>XX</v>
      </c>
      <c r="AD757" s="431" t="str">
        <f>IF('Antal &amp; Längder (vikter)'!$C$98&lt;&gt;"",'Antal &amp; Längder (vikter)'!$C$98,"XX")</f>
        <v>XX</v>
      </c>
      <c r="AE757" s="423" t="str">
        <f>IF(AND('Antal &amp; Längder (vikter)'!D$100&lt;&gt;"",ISNUMBER($AH757)),'Antal &amp; Längder (vikter)'!D$100,"")</f>
        <v/>
      </c>
      <c r="AF757" s="425" t="str">
        <f t="shared" si="24"/>
        <v/>
      </c>
      <c r="AG757" s="426" t="str">
        <f t="shared" si="25"/>
        <v/>
      </c>
      <c r="AH757" s="410" t="str">
        <f>IF('Antal &amp; Längder (vikter)'!E$101="Längd (mm)",IF('Antal &amp; Längder (vikter)'!E106&lt;&gt;"",'Antal &amp; Längder (vikter)'!E106,"XX"),"XX")</f>
        <v>XX</v>
      </c>
      <c r="AI757" s="7">
        <v>-9</v>
      </c>
    </row>
    <row r="758" spans="25:35" x14ac:dyDescent="0.25">
      <c r="Y758" s="402" t="s">
        <v>2198</v>
      </c>
      <c r="Z758" s="402" t="s">
        <v>2197</v>
      </c>
      <c r="AB758" s="471" t="str">
        <f>IF(COUNT(AB753:AB757)&gt;0,MAX(AB753:AB757)+1,"")</f>
        <v/>
      </c>
      <c r="AC758" s="433" t="str">
        <f>IF(AND(AH758&lt;&gt;"",AG758&lt;&gt;"",AI758&gt;0,AH758&gt;0),MAX(AC$2:AC757)+1,"XX")</f>
        <v>XX</v>
      </c>
      <c r="AD758" s="431" t="str">
        <f>IF('Antal &amp; Längder (vikter)'!$C$98&lt;&gt;"",'Antal &amp; Längder (vikter)'!$C$98,"XX")</f>
        <v>XX</v>
      </c>
      <c r="AE758" s="423" t="str">
        <f>IF(AND('Antal &amp; Längder (vikter)'!D$100&lt;&gt;"",ISNUMBER($AH758)),'Antal &amp; Längder (vikter)'!D$100,"")</f>
        <v/>
      </c>
      <c r="AF758" s="425" t="str">
        <f t="shared" si="24"/>
        <v/>
      </c>
      <c r="AG758" s="426" t="str">
        <f t="shared" si="25"/>
        <v/>
      </c>
      <c r="AH758" s="410" t="str">
        <f>IF('Antal &amp; Längder (vikter)'!E$101="Längd (mm)",IF('Antal &amp; Längder (vikter)'!E107&lt;&gt;"",'Antal &amp; Längder (vikter)'!E107,"XX"),"XX")</f>
        <v>XX</v>
      </c>
      <c r="AI758" s="7">
        <v>-9</v>
      </c>
    </row>
    <row r="759" spans="25:35" x14ac:dyDescent="0.25">
      <c r="Y759" s="402" t="s">
        <v>1851</v>
      </c>
      <c r="Z759" s="402" t="s">
        <v>1850</v>
      </c>
      <c r="AB759" s="474" t="str">
        <f>IF(COUNT(AB753:AB758)&gt;0,MAX(AB753:AB758)+1,"")</f>
        <v/>
      </c>
      <c r="AC759" s="433" t="str">
        <f>IF(AND(AH759&lt;&gt;"",AG759&lt;&gt;"",AI759&gt;0,AH759&gt;0),MAX(AC$2:AC758)+1,"XX")</f>
        <v>XX</v>
      </c>
      <c r="AD759" s="431" t="str">
        <f>IF('Antal &amp; Längder (vikter)'!$C$98&lt;&gt;"",'Antal &amp; Längder (vikter)'!$C$98,"XX")</f>
        <v>XX</v>
      </c>
      <c r="AE759" s="423" t="str">
        <f>IF(AND('Antal &amp; Längder (vikter)'!D$100&lt;&gt;"",ISNUMBER($AH759)),'Antal &amp; Längder (vikter)'!D$100,"")</f>
        <v/>
      </c>
      <c r="AF759" s="425" t="str">
        <f t="shared" si="24"/>
        <v/>
      </c>
      <c r="AG759" s="426" t="str">
        <f t="shared" si="25"/>
        <v/>
      </c>
      <c r="AH759" s="410" t="str">
        <f>IF('Antal &amp; Längder (vikter)'!E$101="Längd (mm)",IF('Antal &amp; Längder (vikter)'!E108&lt;&gt;"",'Antal &amp; Längder (vikter)'!E108,"XX"),"XX")</f>
        <v>XX</v>
      </c>
      <c r="AI759" s="7">
        <v>-9</v>
      </c>
    </row>
    <row r="760" spans="25:35" x14ac:dyDescent="0.25">
      <c r="Y760" s="402" t="s">
        <v>1853</v>
      </c>
      <c r="Z760" s="402" t="s">
        <v>1852</v>
      </c>
      <c r="AB760" s="478" t="str">
        <f>IF(COUNT(AB753:AB759)&gt;0,MAX(AB753:AB759)+1,"")</f>
        <v/>
      </c>
      <c r="AC760" s="433" t="str">
        <f>IF(AND(AH760&lt;&gt;"",AG760&lt;&gt;"",AI760&gt;0,AH760&gt;0),MAX(AC$2:AC759)+1,"XX")</f>
        <v>XX</v>
      </c>
      <c r="AD760" s="431" t="str">
        <f>IF('Antal &amp; Längder (vikter)'!$C$98&lt;&gt;"",'Antal &amp; Längder (vikter)'!$C$98,"XX")</f>
        <v>XX</v>
      </c>
      <c r="AE760" s="423" t="str">
        <f>IF(AND('Antal &amp; Längder (vikter)'!D$100&lt;&gt;"",ISNUMBER($AH760)),'Antal &amp; Längder (vikter)'!D$100,"")</f>
        <v/>
      </c>
      <c r="AF760" s="425" t="str">
        <f t="shared" si="24"/>
        <v/>
      </c>
      <c r="AG760" s="426" t="str">
        <f t="shared" si="25"/>
        <v/>
      </c>
      <c r="AH760" s="410" t="str">
        <f>IF('Antal &amp; Längder (vikter)'!E$101="Längd (mm)",IF('Antal &amp; Längder (vikter)'!E109&lt;&gt;"",'Antal &amp; Längder (vikter)'!E109,"XX"),"XX")</f>
        <v>XX</v>
      </c>
      <c r="AI760" s="7">
        <v>-9</v>
      </c>
    </row>
    <row r="761" spans="25:35" x14ac:dyDescent="0.25">
      <c r="Y761" s="402" t="s">
        <v>1855</v>
      </c>
      <c r="Z761" s="402" t="s">
        <v>1854</v>
      </c>
      <c r="AB761" s="472" t="str">
        <f>IF(COUNT(AB753:AB760)&gt;0,MAX(AB753:AB760)+1,"")</f>
        <v/>
      </c>
      <c r="AC761" s="433" t="str">
        <f>IF(AND(AH761&lt;&gt;"",AG761&lt;&gt;"",AI761&gt;0,AH761&gt;0),MAX(AC$2:AC760)+1,"XX")</f>
        <v>XX</v>
      </c>
      <c r="AD761" s="431" t="str">
        <f>IF('Antal &amp; Längder (vikter)'!$C$98&lt;&gt;"",'Antal &amp; Längder (vikter)'!$C$98,"XX")</f>
        <v>XX</v>
      </c>
      <c r="AE761" s="423" t="str">
        <f>IF(AND('Antal &amp; Längder (vikter)'!D$100&lt;&gt;"",ISNUMBER($AH761)),'Antal &amp; Längder (vikter)'!D$100,"")</f>
        <v/>
      </c>
      <c r="AF761" s="425" t="str">
        <f t="shared" si="24"/>
        <v/>
      </c>
      <c r="AG761" s="426" t="str">
        <f t="shared" si="25"/>
        <v/>
      </c>
      <c r="AH761" s="410" t="str">
        <f>IF('Antal &amp; Längder (vikter)'!E$101="Längd (mm)",IF('Antal &amp; Längder (vikter)'!E110&lt;&gt;"",'Antal &amp; Längder (vikter)'!E110,"XX"),"XX")</f>
        <v>XX</v>
      </c>
      <c r="AI761" s="7">
        <v>-9</v>
      </c>
    </row>
    <row r="762" spans="25:35" x14ac:dyDescent="0.25">
      <c r="Y762" s="402" t="s">
        <v>2441</v>
      </c>
      <c r="Z762" s="402" t="s">
        <v>2440</v>
      </c>
      <c r="AB762" s="479" t="str">
        <f>IF(COUNT(AB753:AB761)&gt;0,MAX(AB753:AB761)+1,"")</f>
        <v/>
      </c>
      <c r="AC762" s="433" t="str">
        <f>IF(AND(AH762&lt;&gt;"",AG762&lt;&gt;"",AI762&gt;0,AH762&gt;0),MAX(AC$2:AC761)+1,"XX")</f>
        <v>XX</v>
      </c>
      <c r="AD762" s="431" t="str">
        <f>IF('Antal &amp; Längder (vikter)'!$C$98&lt;&gt;"",'Antal &amp; Längder (vikter)'!$C$98,"XX")</f>
        <v>XX</v>
      </c>
      <c r="AE762" s="423" t="str">
        <f>IF(AND('Antal &amp; Längder (vikter)'!D$100&lt;&gt;"",ISNUMBER($AH762)),'Antal &amp; Längder (vikter)'!D$100,"")</f>
        <v/>
      </c>
      <c r="AF762" s="425" t="str">
        <f t="shared" si="24"/>
        <v/>
      </c>
      <c r="AG762" s="426" t="str">
        <f t="shared" si="25"/>
        <v/>
      </c>
      <c r="AH762" s="410" t="str">
        <f>IF('Antal &amp; Längder (vikter)'!E$101="Längd (mm)",IF('Antal &amp; Längder (vikter)'!E111&lt;&gt;"",'Antal &amp; Längder (vikter)'!E111,"XX"),"XX")</f>
        <v>XX</v>
      </c>
      <c r="AI762" s="7">
        <v>-9</v>
      </c>
    </row>
    <row r="763" spans="25:35" x14ac:dyDescent="0.25">
      <c r="Y763" s="402" t="s">
        <v>1857</v>
      </c>
      <c r="Z763" s="402" t="s">
        <v>1856</v>
      </c>
      <c r="AB763" s="480" t="str">
        <f>IF(AND(ISNUMBER(AH763),AH763&gt;0),IF(MAX(AB$3:AB762)&gt;0,MAX(AB$3:AB762)+1,10+COUNTIF(F$38:F$49,"&gt;0")*10+1),"")</f>
        <v/>
      </c>
      <c r="AC763" s="433" t="str">
        <f>IF(AND(AH763&lt;&gt;"",AG763&lt;&gt;"",AI763&gt;0,AH763&gt;0),MAX(AC$2:AC762)+1,"XX")</f>
        <v>XX</v>
      </c>
      <c r="AD763" s="431" t="str">
        <f>IF('Antal &amp; Längder (vikter)'!$C$98&lt;&gt;"",'Antal &amp; Längder (vikter)'!$C$98,"XX")</f>
        <v>XX</v>
      </c>
      <c r="AE763" s="418" t="str">
        <f>IF(AND('Antal &amp; Längder (vikter)'!F$100&lt;&gt;"",ISNUMBER($AH763)),'Antal &amp; Längder (vikter)'!F$100,"")</f>
        <v/>
      </c>
      <c r="AF763" s="425" t="str">
        <f t="shared" si="24"/>
        <v/>
      </c>
      <c r="AG763" s="426" t="str">
        <f t="shared" si="25"/>
        <v/>
      </c>
      <c r="AH763" s="409" t="str">
        <f>IF('Antal &amp; Längder (vikter)'!F102&lt;&gt;"",'Antal &amp; Längder (vikter)'!F102,"XX")</f>
        <v>XX</v>
      </c>
      <c r="AI763" s="405">
        <f>IF('Antal &amp; Längder (vikter)'!G$101="Vikt (g)",IF('Antal &amp; Längder (vikter)'!G102&lt;&gt;"",'Antal &amp; Längder (vikter)'!G102,-9),-9)</f>
        <v>-9</v>
      </c>
    </row>
    <row r="764" spans="25:35" x14ac:dyDescent="0.25">
      <c r="Y764" s="402" t="s">
        <v>2443</v>
      </c>
      <c r="Z764" s="402" t="s">
        <v>2442</v>
      </c>
      <c r="AB764" s="476" t="str">
        <f>IF(COUNT(AB763:AB763)&gt;0,MAX(AB763:AB763)+1,"")</f>
        <v/>
      </c>
      <c r="AC764" s="433" t="str">
        <f>IF(AND(AH764&lt;&gt;"",AG764&lt;&gt;"",AI764&gt;0,AH764&gt;0),MAX(AC$2:AC763)+1,"XX")</f>
        <v>XX</v>
      </c>
      <c r="AD764" s="431" t="str">
        <f>IF('Antal &amp; Längder (vikter)'!$C$98&lt;&gt;"",'Antal &amp; Längder (vikter)'!$C$98,"XX")</f>
        <v>XX</v>
      </c>
      <c r="AE764" s="418" t="str">
        <f>IF(AND('Antal &amp; Längder (vikter)'!F$100&lt;&gt;"",ISNUMBER($AH764)),'Antal &amp; Längder (vikter)'!F$100,"")</f>
        <v/>
      </c>
      <c r="AF764" s="425" t="str">
        <f t="shared" si="24"/>
        <v/>
      </c>
      <c r="AG764" s="426" t="str">
        <f t="shared" si="25"/>
        <v/>
      </c>
      <c r="AH764" s="409" t="str">
        <f>IF('Antal &amp; Längder (vikter)'!F103&lt;&gt;"",'Antal &amp; Längder (vikter)'!F103,"XX")</f>
        <v>XX</v>
      </c>
      <c r="AI764" s="405">
        <f>IF('Antal &amp; Längder (vikter)'!G$101="Vikt (g)",IF('Antal &amp; Längder (vikter)'!G103&lt;&gt;"",'Antal &amp; Längder (vikter)'!G103,-9),-9)</f>
        <v>-9</v>
      </c>
    </row>
    <row r="765" spans="25:35" x14ac:dyDescent="0.25">
      <c r="Y765" s="402" t="s">
        <v>2200</v>
      </c>
      <c r="Z765" s="402" t="s">
        <v>2199</v>
      </c>
      <c r="AB765" s="477" t="str">
        <f>IF(COUNT(AB763:AB764)&gt;0,MAX(AB763:AB764)+1,"")</f>
        <v/>
      </c>
      <c r="AC765" s="433" t="str">
        <f>IF(AND(AH765&lt;&gt;"",AG765&lt;&gt;"",AI765&gt;0,AH765&gt;0),MAX(AC$2:AC764)+1,"XX")</f>
        <v>XX</v>
      </c>
      <c r="AD765" s="431" t="str">
        <f>IF('Antal &amp; Längder (vikter)'!$C$98&lt;&gt;"",'Antal &amp; Längder (vikter)'!$C$98,"XX")</f>
        <v>XX</v>
      </c>
      <c r="AE765" s="418" t="str">
        <f>IF(AND('Antal &amp; Längder (vikter)'!F$100&lt;&gt;"",ISNUMBER($AH765)),'Antal &amp; Längder (vikter)'!F$100,"")</f>
        <v/>
      </c>
      <c r="AF765" s="425" t="str">
        <f t="shared" si="24"/>
        <v/>
      </c>
      <c r="AG765" s="426" t="str">
        <f t="shared" si="25"/>
        <v/>
      </c>
      <c r="AH765" s="409" t="str">
        <f>IF('Antal &amp; Längder (vikter)'!F104&lt;&gt;"",'Antal &amp; Längder (vikter)'!F104,"XX")</f>
        <v>XX</v>
      </c>
      <c r="AI765" s="405">
        <f>IF('Antal &amp; Längder (vikter)'!G$101="Vikt (g)",IF('Antal &amp; Längder (vikter)'!G104&lt;&gt;"",'Antal &amp; Längder (vikter)'!G104,-9),-9)</f>
        <v>-9</v>
      </c>
    </row>
    <row r="766" spans="25:35" x14ac:dyDescent="0.25">
      <c r="Y766" s="402" t="s">
        <v>1859</v>
      </c>
      <c r="Z766" s="402" t="s">
        <v>1858</v>
      </c>
      <c r="AB766" s="434" t="str">
        <f>IF(COUNT(AB763:AB765)&gt;0,MAX(AB763:AB765)+1,"")</f>
        <v/>
      </c>
      <c r="AC766" s="433" t="str">
        <f>IF(AND(AH766&lt;&gt;"",AG766&lt;&gt;"",AI766&gt;0,AH766&gt;0),MAX(AC$2:AC765)+1,"XX")</f>
        <v>XX</v>
      </c>
      <c r="AD766" s="431" t="str">
        <f>IF('Antal &amp; Längder (vikter)'!$C$98&lt;&gt;"",'Antal &amp; Längder (vikter)'!$C$98,"XX")</f>
        <v>XX</v>
      </c>
      <c r="AE766" s="418" t="str">
        <f>IF(AND('Antal &amp; Längder (vikter)'!F$100&lt;&gt;"",ISNUMBER($AH766)),'Antal &amp; Längder (vikter)'!F$100,"")</f>
        <v/>
      </c>
      <c r="AF766" s="425" t="str">
        <f t="shared" si="24"/>
        <v/>
      </c>
      <c r="AG766" s="426" t="str">
        <f t="shared" si="25"/>
        <v/>
      </c>
      <c r="AH766" s="409" t="str">
        <f>IF('Antal &amp; Längder (vikter)'!F105&lt;&gt;"",'Antal &amp; Längder (vikter)'!F105,"XX")</f>
        <v>XX</v>
      </c>
      <c r="AI766" s="405">
        <f>IF('Antal &amp; Längder (vikter)'!G$101="Vikt (g)",IF('Antal &amp; Längder (vikter)'!G105&lt;&gt;"",'Antal &amp; Längder (vikter)'!G105,-9),-9)</f>
        <v>-9</v>
      </c>
    </row>
    <row r="767" spans="25:35" x14ac:dyDescent="0.25">
      <c r="Y767" s="402" t="s">
        <v>2202</v>
      </c>
      <c r="Z767" s="402" t="s">
        <v>2201</v>
      </c>
      <c r="AB767" s="475" t="str">
        <f>IF(COUNT(AB763:AB766)&gt;0,MAX(AB763:AB766)+1,"")</f>
        <v/>
      </c>
      <c r="AC767" s="433" t="str">
        <f>IF(AND(AH767&lt;&gt;"",AG767&lt;&gt;"",AI767&gt;0,AH767&gt;0),MAX(AC$2:AC766)+1,"XX")</f>
        <v>XX</v>
      </c>
      <c r="AD767" s="431" t="str">
        <f>IF('Antal &amp; Längder (vikter)'!$C$98&lt;&gt;"",'Antal &amp; Längder (vikter)'!$C$98,"XX")</f>
        <v>XX</v>
      </c>
      <c r="AE767" s="418" t="str">
        <f>IF(AND('Antal &amp; Längder (vikter)'!F$100&lt;&gt;"",ISNUMBER($AH767)),'Antal &amp; Längder (vikter)'!F$100,"")</f>
        <v/>
      </c>
      <c r="AF767" s="425" t="str">
        <f t="shared" si="24"/>
        <v/>
      </c>
      <c r="AG767" s="426" t="str">
        <f t="shared" si="25"/>
        <v/>
      </c>
      <c r="AH767" s="409" t="str">
        <f>IF('Antal &amp; Längder (vikter)'!F106&lt;&gt;"",'Antal &amp; Längder (vikter)'!F106,"XX")</f>
        <v>XX</v>
      </c>
      <c r="AI767" s="405">
        <f>IF('Antal &amp; Längder (vikter)'!G$101="Vikt (g)",IF('Antal &amp; Längder (vikter)'!G106&lt;&gt;"",'Antal &amp; Längder (vikter)'!G106,-9),-9)</f>
        <v>-9</v>
      </c>
    </row>
    <row r="768" spans="25:35" x14ac:dyDescent="0.25">
      <c r="Y768" s="402" t="s">
        <v>1860</v>
      </c>
      <c r="Z768" s="402" t="s">
        <v>1523</v>
      </c>
      <c r="AB768" s="471" t="str">
        <f>IF(COUNT(AB763:AB767)&gt;0,MAX(AB763:AB767)+1,"")</f>
        <v/>
      </c>
      <c r="AC768" s="433" t="str">
        <f>IF(AND(AH768&lt;&gt;"",AG768&lt;&gt;"",AI768&gt;0,AH768&gt;0),MAX(AC$2:AC767)+1,"XX")</f>
        <v>XX</v>
      </c>
      <c r="AD768" s="431" t="str">
        <f>IF('Antal &amp; Längder (vikter)'!$C$98&lt;&gt;"",'Antal &amp; Längder (vikter)'!$C$98,"XX")</f>
        <v>XX</v>
      </c>
      <c r="AE768" s="418" t="str">
        <f>IF(AND('Antal &amp; Längder (vikter)'!F$100&lt;&gt;"",ISNUMBER($AH768)),'Antal &amp; Längder (vikter)'!F$100,"")</f>
        <v/>
      </c>
      <c r="AF768" s="425" t="str">
        <f t="shared" si="24"/>
        <v/>
      </c>
      <c r="AG768" s="426" t="str">
        <f t="shared" si="25"/>
        <v/>
      </c>
      <c r="AH768" s="409" t="str">
        <f>IF('Antal &amp; Längder (vikter)'!F107&lt;&gt;"",'Antal &amp; Längder (vikter)'!F107,"XX")</f>
        <v>XX</v>
      </c>
      <c r="AI768" s="405">
        <f>IF('Antal &amp; Längder (vikter)'!G$101="Vikt (g)",IF('Antal &amp; Längder (vikter)'!G107&lt;&gt;"",'Antal &amp; Längder (vikter)'!G107,-9),-9)</f>
        <v>-9</v>
      </c>
    </row>
    <row r="769" spans="25:35" x14ac:dyDescent="0.25">
      <c r="Y769" s="402" t="s">
        <v>1862</v>
      </c>
      <c r="Z769" s="402" t="s">
        <v>1861</v>
      </c>
      <c r="AB769" s="474" t="str">
        <f>IF(COUNT(AB763:AB768)&gt;0,MAX(AB763:AB768)+1,"")</f>
        <v/>
      </c>
      <c r="AC769" s="433" t="str">
        <f>IF(AND(AH769&lt;&gt;"",AG769&lt;&gt;"",AI769&gt;0,AH769&gt;0),MAX(AC$2:AC768)+1,"XX")</f>
        <v>XX</v>
      </c>
      <c r="AD769" s="431" t="str">
        <f>IF('Antal &amp; Längder (vikter)'!$C$98&lt;&gt;"",'Antal &amp; Längder (vikter)'!$C$98,"XX")</f>
        <v>XX</v>
      </c>
      <c r="AE769" s="418" t="str">
        <f>IF(AND('Antal &amp; Längder (vikter)'!F$100&lt;&gt;"",ISNUMBER($AH769)),'Antal &amp; Längder (vikter)'!F$100,"")</f>
        <v/>
      </c>
      <c r="AF769" s="425" t="str">
        <f t="shared" si="24"/>
        <v/>
      </c>
      <c r="AG769" s="426" t="str">
        <f t="shared" si="25"/>
        <v/>
      </c>
      <c r="AH769" s="409" t="str">
        <f>IF('Antal &amp; Längder (vikter)'!F108&lt;&gt;"",'Antal &amp; Längder (vikter)'!F108,"XX")</f>
        <v>XX</v>
      </c>
      <c r="AI769" s="405">
        <f>IF('Antal &amp; Längder (vikter)'!G$101="Vikt (g)",IF('Antal &amp; Längder (vikter)'!G108&lt;&gt;"",'Antal &amp; Längder (vikter)'!G108,-9),-9)</f>
        <v>-9</v>
      </c>
    </row>
    <row r="770" spans="25:35" x14ac:dyDescent="0.25">
      <c r="Y770" s="402" t="s">
        <v>1863</v>
      </c>
      <c r="Z770" s="402" t="s">
        <v>2448</v>
      </c>
      <c r="AB770" s="478" t="str">
        <f>IF(COUNT(AB763:AB769)&gt;0,MAX(AB763:AB769)+1,"")</f>
        <v/>
      </c>
      <c r="AC770" s="433" t="str">
        <f>IF(AND(AH770&lt;&gt;"",AG770&lt;&gt;"",AI770&gt;0,AH770&gt;0),MAX(AC$2:AC769)+1,"XX")</f>
        <v>XX</v>
      </c>
      <c r="AD770" s="431" t="str">
        <f>IF('Antal &amp; Längder (vikter)'!$C$98&lt;&gt;"",'Antal &amp; Längder (vikter)'!$C$98,"XX")</f>
        <v>XX</v>
      </c>
      <c r="AE770" s="418" t="str">
        <f>IF(AND('Antal &amp; Längder (vikter)'!F$100&lt;&gt;"",ISNUMBER($AH770)),'Antal &amp; Längder (vikter)'!F$100,"")</f>
        <v/>
      </c>
      <c r="AF770" s="425" t="str">
        <f t="shared" si="24"/>
        <v/>
      </c>
      <c r="AG770" s="426" t="str">
        <f t="shared" si="25"/>
        <v/>
      </c>
      <c r="AH770" s="409" t="str">
        <f>IF('Antal &amp; Längder (vikter)'!F109&lt;&gt;"",'Antal &amp; Längder (vikter)'!F109,"XX")</f>
        <v>XX</v>
      </c>
      <c r="AI770" s="405">
        <f>IF('Antal &amp; Längder (vikter)'!G$101="Vikt (g)",IF('Antal &amp; Längder (vikter)'!G109&lt;&gt;"",'Antal &amp; Längder (vikter)'!G109,-9),-9)</f>
        <v>-9</v>
      </c>
    </row>
    <row r="771" spans="25:35" x14ac:dyDescent="0.25">
      <c r="Y771" s="402" t="s">
        <v>1864</v>
      </c>
      <c r="Z771" s="402" t="s">
        <v>2203</v>
      </c>
      <c r="AB771" s="472" t="str">
        <f>IF(COUNT(AB763:AB770)&gt;0,MAX(AB763:AB770)+1,"")</f>
        <v/>
      </c>
      <c r="AC771" s="433" t="str">
        <f>IF(AND(AH771&lt;&gt;"",AG771&lt;&gt;"",AI771&gt;0,AH771&gt;0),MAX(AC$2:AC770)+1,"XX")</f>
        <v>XX</v>
      </c>
      <c r="AD771" s="431" t="str">
        <f>IF('Antal &amp; Längder (vikter)'!$C$98&lt;&gt;"",'Antal &amp; Längder (vikter)'!$C$98,"XX")</f>
        <v>XX</v>
      </c>
      <c r="AE771" s="418" t="str">
        <f>IF(AND('Antal &amp; Längder (vikter)'!F$100&lt;&gt;"",ISNUMBER($AH771)),'Antal &amp; Längder (vikter)'!F$100,"")</f>
        <v/>
      </c>
      <c r="AF771" s="425" t="str">
        <f t="shared" ref="AF771:AF834" si="26">IF(AND(ISNUMBER(AH771),AE771&lt;&gt;""),VLOOKUP(AE771,$N$2:$O$60,2,FALSE),"")</f>
        <v/>
      </c>
      <c r="AG771" s="426" t="str">
        <f t="shared" ref="AG771:AG834" si="27">IF(AF771&lt;&gt;"",VLOOKUP(AF771,O$2:U$60,7,FALSE),"")</f>
        <v/>
      </c>
      <c r="AH771" s="409" t="str">
        <f>IF('Antal &amp; Längder (vikter)'!F110&lt;&gt;"",'Antal &amp; Längder (vikter)'!F110,"XX")</f>
        <v>XX</v>
      </c>
      <c r="AI771" s="405">
        <f>IF('Antal &amp; Längder (vikter)'!G$101="Vikt (g)",IF('Antal &amp; Längder (vikter)'!G110&lt;&gt;"",'Antal &amp; Längder (vikter)'!G110,-9),-9)</f>
        <v>-9</v>
      </c>
    </row>
    <row r="772" spans="25:35" x14ac:dyDescent="0.25">
      <c r="Y772" s="402" t="s">
        <v>302</v>
      </c>
      <c r="Z772" s="402" t="s">
        <v>2204</v>
      </c>
      <c r="AB772" s="479" t="str">
        <f>IF(COUNT(AB763:AB771)&gt;0,MAX(AB763:AB771)+1,"")</f>
        <v/>
      </c>
      <c r="AC772" s="433" t="str">
        <f>IF(AND(AH772&lt;&gt;"",AG772&lt;&gt;"",AI772&gt;0,AH772&gt;0),MAX(AC$2:AC771)+1,"XX")</f>
        <v>XX</v>
      </c>
      <c r="AD772" s="431" t="str">
        <f>IF('Antal &amp; Längder (vikter)'!$C$98&lt;&gt;"",'Antal &amp; Längder (vikter)'!$C$98,"XX")</f>
        <v>XX</v>
      </c>
      <c r="AE772" s="418" t="str">
        <f>IF(AND('Antal &amp; Längder (vikter)'!F$100&lt;&gt;"",ISNUMBER($AH772)),'Antal &amp; Längder (vikter)'!F$100,"")</f>
        <v/>
      </c>
      <c r="AF772" s="425" t="str">
        <f t="shared" si="26"/>
        <v/>
      </c>
      <c r="AG772" s="426" t="str">
        <f t="shared" si="27"/>
        <v/>
      </c>
      <c r="AH772" s="409" t="str">
        <f>IF('Antal &amp; Längder (vikter)'!F111&lt;&gt;"",'Antal &amp; Längder (vikter)'!F111,"XX")</f>
        <v>XX</v>
      </c>
      <c r="AI772" s="405">
        <f>IF('Antal &amp; Längder (vikter)'!G$101="Vikt (g)",IF('Antal &amp; Längder (vikter)'!G111&lt;&gt;"",'Antal &amp; Längder (vikter)'!G111,-9),-9)</f>
        <v>-9</v>
      </c>
    </row>
    <row r="773" spans="25:35" x14ac:dyDescent="0.25">
      <c r="Y773" s="402" t="s">
        <v>1866</v>
      </c>
      <c r="Z773" s="402" t="s">
        <v>1865</v>
      </c>
      <c r="AB773" s="480" t="str">
        <f>IF(AND(ISNUMBER(AH773),AH773&gt;0),IF(MAX(AB$3:AB772)&gt;0,MAX(AB$3:AB772)+1,10+COUNTIF(F$38:F$49,"&gt;0")*10+1),"")</f>
        <v/>
      </c>
      <c r="AC773" s="433" t="str">
        <f>IF(AND(AH773&lt;&gt;"",AG773&lt;&gt;"",AI773&gt;0,AH773&gt;0),MAX(AC$2:AC772)+1,"XX")</f>
        <v>XX</v>
      </c>
      <c r="AD773" s="431" t="str">
        <f>IF('Antal &amp; Längder (vikter)'!$C$98&lt;&gt;"",'Antal &amp; Längder (vikter)'!$C$98,"XX")</f>
        <v>XX</v>
      </c>
      <c r="AE773" s="418" t="str">
        <f>IF(AND('Antal &amp; Längder (vikter)'!F$100&lt;&gt;"",ISNUMBER($AH773)),'Antal &amp; Längder (vikter)'!F$100,"")</f>
        <v/>
      </c>
      <c r="AF773" s="425" t="str">
        <f t="shared" si="26"/>
        <v/>
      </c>
      <c r="AG773" s="426" t="str">
        <f t="shared" si="27"/>
        <v/>
      </c>
      <c r="AH773" s="410" t="str">
        <f>IF('Antal &amp; Längder (vikter)'!G$101="Längd (mm)",IF('Antal &amp; Längder (vikter)'!G102&lt;&gt;"",'Antal &amp; Längder (vikter)'!G102,"XX"),"XX")</f>
        <v>XX</v>
      </c>
      <c r="AI773" s="7">
        <v>-9</v>
      </c>
    </row>
    <row r="774" spans="25:35" x14ac:dyDescent="0.25">
      <c r="Y774" s="402" t="s">
        <v>2205</v>
      </c>
      <c r="Z774" s="402" t="s">
        <v>2453</v>
      </c>
      <c r="AB774" s="476" t="str">
        <f>IF(COUNT(AB773:AB773)&gt;0,MAX(AB773:AB773)+1,"")</f>
        <v/>
      </c>
      <c r="AC774" s="433" t="str">
        <f>IF(AND(AH774&lt;&gt;"",AG774&lt;&gt;"",AI774&gt;0,AH774&gt;0),MAX(AC$2:AC773)+1,"XX")</f>
        <v>XX</v>
      </c>
      <c r="AD774" s="431" t="str">
        <f>IF('Antal &amp; Längder (vikter)'!$C$98&lt;&gt;"",'Antal &amp; Längder (vikter)'!$C$98,"XX")</f>
        <v>XX</v>
      </c>
      <c r="AE774" s="418" t="str">
        <f>IF(AND('Antal &amp; Längder (vikter)'!F$100&lt;&gt;"",ISNUMBER($AH774)),'Antal &amp; Längder (vikter)'!F$100,"")</f>
        <v/>
      </c>
      <c r="AF774" s="425" t="str">
        <f t="shared" si="26"/>
        <v/>
      </c>
      <c r="AG774" s="426" t="str">
        <f t="shared" si="27"/>
        <v/>
      </c>
      <c r="AH774" s="410" t="str">
        <f>IF('Antal &amp; Längder (vikter)'!G$101="Längd (mm)",IF('Antal &amp; Längder (vikter)'!G103&lt;&gt;"",'Antal &amp; Längder (vikter)'!G103,"XX"),"XX")</f>
        <v>XX</v>
      </c>
      <c r="AI774" s="7">
        <v>-9</v>
      </c>
    </row>
    <row r="775" spans="25:35" x14ac:dyDescent="0.25">
      <c r="Y775" s="402" t="s">
        <v>2452</v>
      </c>
      <c r="Z775" s="402" t="s">
        <v>2451</v>
      </c>
      <c r="AB775" s="477" t="str">
        <f>IF(COUNT(AB773:AB774)&gt;0,MAX(AB773:AB774)+1,"")</f>
        <v/>
      </c>
      <c r="AC775" s="433" t="str">
        <f>IF(AND(AH775&lt;&gt;"",AG775&lt;&gt;"",AI775&gt;0,AH775&gt;0),MAX(AC$2:AC774)+1,"XX")</f>
        <v>XX</v>
      </c>
      <c r="AD775" s="431" t="str">
        <f>IF('Antal &amp; Längder (vikter)'!$C$98&lt;&gt;"",'Antal &amp; Längder (vikter)'!$C$98,"XX")</f>
        <v>XX</v>
      </c>
      <c r="AE775" s="418" t="str">
        <f>IF(AND('Antal &amp; Längder (vikter)'!F$100&lt;&gt;"",ISNUMBER($AH775)),'Antal &amp; Längder (vikter)'!F$100,"")</f>
        <v/>
      </c>
      <c r="AF775" s="425" t="str">
        <f t="shared" si="26"/>
        <v/>
      </c>
      <c r="AG775" s="426" t="str">
        <f t="shared" si="27"/>
        <v/>
      </c>
      <c r="AH775" s="410" t="str">
        <f>IF('Antal &amp; Längder (vikter)'!G$101="Längd (mm)",IF('Antal &amp; Längder (vikter)'!G104&lt;&gt;"",'Antal &amp; Längder (vikter)'!G104,"XX"),"XX")</f>
        <v>XX</v>
      </c>
      <c r="AI775" s="7">
        <v>-9</v>
      </c>
    </row>
    <row r="776" spans="25:35" x14ac:dyDescent="0.25">
      <c r="Y776" s="402" t="s">
        <v>1868</v>
      </c>
      <c r="Z776" s="402" t="s">
        <v>1867</v>
      </c>
      <c r="AB776" s="434" t="str">
        <f>IF(COUNT(AB773:AB775)&gt;0,MAX(AB773:AB775)+1,"")</f>
        <v/>
      </c>
      <c r="AC776" s="433" t="str">
        <f>IF(AND(AH776&lt;&gt;"",AG776&lt;&gt;"",AI776&gt;0,AH776&gt;0),MAX(AC$2:AC775)+1,"XX")</f>
        <v>XX</v>
      </c>
      <c r="AD776" s="431" t="str">
        <f>IF('Antal &amp; Längder (vikter)'!$C$98&lt;&gt;"",'Antal &amp; Längder (vikter)'!$C$98,"XX")</f>
        <v>XX</v>
      </c>
      <c r="AE776" s="418" t="str">
        <f>IF(AND('Antal &amp; Längder (vikter)'!F$100&lt;&gt;"",ISNUMBER($AH776)),'Antal &amp; Längder (vikter)'!F$100,"")</f>
        <v/>
      </c>
      <c r="AF776" s="425" t="str">
        <f t="shared" si="26"/>
        <v/>
      </c>
      <c r="AG776" s="426" t="str">
        <f t="shared" si="27"/>
        <v/>
      </c>
      <c r="AH776" s="410" t="str">
        <f>IF('Antal &amp; Längder (vikter)'!G$101="Längd (mm)",IF('Antal &amp; Längder (vikter)'!G105&lt;&gt;"",'Antal &amp; Längder (vikter)'!G105,"XX"),"XX")</f>
        <v>XX</v>
      </c>
      <c r="AI776" s="7">
        <v>-9</v>
      </c>
    </row>
    <row r="777" spans="25:35" x14ac:dyDescent="0.25">
      <c r="Y777" s="402" t="s">
        <v>2455</v>
      </c>
      <c r="Z777" s="402" t="s">
        <v>2454</v>
      </c>
      <c r="AB777" s="475" t="str">
        <f>IF(COUNT(AB773:AB776)&gt;0,MAX(AB773:AB776)+1,"")</f>
        <v/>
      </c>
      <c r="AC777" s="433" t="str">
        <f>IF(AND(AH777&lt;&gt;"",AG777&lt;&gt;"",AI777&gt;0,AH777&gt;0),MAX(AC$2:AC776)+1,"XX")</f>
        <v>XX</v>
      </c>
      <c r="AD777" s="431" t="str">
        <f>IF('Antal &amp; Längder (vikter)'!$C$98&lt;&gt;"",'Antal &amp; Längder (vikter)'!$C$98,"XX")</f>
        <v>XX</v>
      </c>
      <c r="AE777" s="418" t="str">
        <f>IF(AND('Antal &amp; Längder (vikter)'!F$100&lt;&gt;"",ISNUMBER($AH777)),'Antal &amp; Längder (vikter)'!F$100,"")</f>
        <v/>
      </c>
      <c r="AF777" s="425" t="str">
        <f t="shared" si="26"/>
        <v/>
      </c>
      <c r="AG777" s="426" t="str">
        <f t="shared" si="27"/>
        <v/>
      </c>
      <c r="AH777" s="410" t="str">
        <f>IF('Antal &amp; Längder (vikter)'!G$101="Längd (mm)",IF('Antal &amp; Längder (vikter)'!G106&lt;&gt;"",'Antal &amp; Längder (vikter)'!G106,"XX"),"XX")</f>
        <v>XX</v>
      </c>
      <c r="AI777" s="7">
        <v>-9</v>
      </c>
    </row>
    <row r="778" spans="25:35" x14ac:dyDescent="0.25">
      <c r="Y778" s="402" t="s">
        <v>2457</v>
      </c>
      <c r="Z778" s="402" t="s">
        <v>2456</v>
      </c>
      <c r="AB778" s="471" t="str">
        <f>IF(COUNT(AB773:AB777)&gt;0,MAX(AB773:AB777)+1,"")</f>
        <v/>
      </c>
      <c r="AC778" s="433" t="str">
        <f>IF(AND(AH778&lt;&gt;"",AG778&lt;&gt;"",AI778&gt;0,AH778&gt;0),MAX(AC$2:AC777)+1,"XX")</f>
        <v>XX</v>
      </c>
      <c r="AD778" s="431" t="str">
        <f>IF('Antal &amp; Längder (vikter)'!$C$98&lt;&gt;"",'Antal &amp; Längder (vikter)'!$C$98,"XX")</f>
        <v>XX</v>
      </c>
      <c r="AE778" s="418" t="str">
        <f>IF(AND('Antal &amp; Längder (vikter)'!F$100&lt;&gt;"",ISNUMBER($AH778)),'Antal &amp; Längder (vikter)'!F$100,"")</f>
        <v/>
      </c>
      <c r="AF778" s="425" t="str">
        <f t="shared" si="26"/>
        <v/>
      </c>
      <c r="AG778" s="426" t="str">
        <f t="shared" si="27"/>
        <v/>
      </c>
      <c r="AH778" s="410" t="str">
        <f>IF('Antal &amp; Längder (vikter)'!G$101="Längd (mm)",IF('Antal &amp; Längder (vikter)'!G107&lt;&gt;"",'Antal &amp; Längder (vikter)'!G107,"XX"),"XX")</f>
        <v>XX</v>
      </c>
      <c r="AI778" s="7">
        <v>-9</v>
      </c>
    </row>
    <row r="779" spans="25:35" x14ac:dyDescent="0.25">
      <c r="Y779" s="402" t="s">
        <v>1870</v>
      </c>
      <c r="Z779" s="402" t="s">
        <v>1869</v>
      </c>
      <c r="AB779" s="474" t="str">
        <f>IF(COUNT(AB773:AB778)&gt;0,MAX(AB773:AB778)+1,"")</f>
        <v/>
      </c>
      <c r="AC779" s="433" t="str">
        <f>IF(AND(AH779&lt;&gt;"",AG779&lt;&gt;"",AI779&gt;0,AH779&gt;0),MAX(AC$2:AC778)+1,"XX")</f>
        <v>XX</v>
      </c>
      <c r="AD779" s="431" t="str">
        <f>IF('Antal &amp; Längder (vikter)'!$C$98&lt;&gt;"",'Antal &amp; Längder (vikter)'!$C$98,"XX")</f>
        <v>XX</v>
      </c>
      <c r="AE779" s="418" t="str">
        <f>IF(AND('Antal &amp; Längder (vikter)'!F$100&lt;&gt;"",ISNUMBER($AH779)),'Antal &amp; Längder (vikter)'!F$100,"")</f>
        <v/>
      </c>
      <c r="AF779" s="425" t="str">
        <f t="shared" si="26"/>
        <v/>
      </c>
      <c r="AG779" s="426" t="str">
        <f t="shared" si="27"/>
        <v/>
      </c>
      <c r="AH779" s="410" t="str">
        <f>IF('Antal &amp; Längder (vikter)'!G$101="Längd (mm)",IF('Antal &amp; Längder (vikter)'!G108&lt;&gt;"",'Antal &amp; Längder (vikter)'!G108,"XX"),"XX")</f>
        <v>XX</v>
      </c>
      <c r="AI779" s="7">
        <v>-9</v>
      </c>
    </row>
    <row r="780" spans="25:35" x14ac:dyDescent="0.25">
      <c r="Y780" s="402" t="s">
        <v>1872</v>
      </c>
      <c r="Z780" s="402" t="s">
        <v>1871</v>
      </c>
      <c r="AB780" s="478" t="str">
        <f>IF(COUNT(AB773:AB779)&gt;0,MAX(AB773:AB779)+1,"")</f>
        <v/>
      </c>
      <c r="AC780" s="433" t="str">
        <f>IF(AND(AH780&lt;&gt;"",AG780&lt;&gt;"",AI780&gt;0,AH780&gt;0),MAX(AC$2:AC779)+1,"XX")</f>
        <v>XX</v>
      </c>
      <c r="AD780" s="431" t="str">
        <f>IF('Antal &amp; Längder (vikter)'!$C$98&lt;&gt;"",'Antal &amp; Längder (vikter)'!$C$98,"XX")</f>
        <v>XX</v>
      </c>
      <c r="AE780" s="418" t="str">
        <f>IF(AND('Antal &amp; Längder (vikter)'!F$100&lt;&gt;"",ISNUMBER($AH780)),'Antal &amp; Längder (vikter)'!F$100,"")</f>
        <v/>
      </c>
      <c r="AF780" s="425" t="str">
        <f t="shared" si="26"/>
        <v/>
      </c>
      <c r="AG780" s="426" t="str">
        <f t="shared" si="27"/>
        <v/>
      </c>
      <c r="AH780" s="410" t="str">
        <f>IF('Antal &amp; Längder (vikter)'!G$101="Längd (mm)",IF('Antal &amp; Längder (vikter)'!G109&lt;&gt;"",'Antal &amp; Längder (vikter)'!G109,"XX"),"XX")</f>
        <v>XX</v>
      </c>
      <c r="AI780" s="7">
        <v>-9</v>
      </c>
    </row>
    <row r="781" spans="25:35" x14ac:dyDescent="0.25">
      <c r="Y781" s="402" t="s">
        <v>2459</v>
      </c>
      <c r="Z781" s="402" t="s">
        <v>2458</v>
      </c>
      <c r="AB781" s="472" t="str">
        <f>IF(COUNT(AB773:AB780)&gt;0,MAX(AB773:AB780)+1,"")</f>
        <v/>
      </c>
      <c r="AC781" s="433" t="str">
        <f>IF(AND(AH781&lt;&gt;"",AG781&lt;&gt;"",AI781&gt;0,AH781&gt;0),MAX(AC$2:AC780)+1,"XX")</f>
        <v>XX</v>
      </c>
      <c r="AD781" s="431" t="str">
        <f>IF('Antal &amp; Längder (vikter)'!$C$98&lt;&gt;"",'Antal &amp; Längder (vikter)'!$C$98,"XX")</f>
        <v>XX</v>
      </c>
      <c r="AE781" s="418" t="str">
        <f>IF(AND('Antal &amp; Längder (vikter)'!F$100&lt;&gt;"",ISNUMBER($AH781)),'Antal &amp; Längder (vikter)'!F$100,"")</f>
        <v/>
      </c>
      <c r="AF781" s="425" t="str">
        <f t="shared" si="26"/>
        <v/>
      </c>
      <c r="AG781" s="426" t="str">
        <f t="shared" si="27"/>
        <v/>
      </c>
      <c r="AH781" s="410" t="str">
        <f>IF('Antal &amp; Längder (vikter)'!G$101="Längd (mm)",IF('Antal &amp; Längder (vikter)'!G110&lt;&gt;"",'Antal &amp; Längder (vikter)'!G110,"XX"),"XX")</f>
        <v>XX</v>
      </c>
      <c r="AI781" s="7">
        <v>-9</v>
      </c>
    </row>
    <row r="782" spans="25:35" x14ac:dyDescent="0.25">
      <c r="Y782" s="402" t="s">
        <v>1874</v>
      </c>
      <c r="Z782" s="402" t="s">
        <v>1873</v>
      </c>
      <c r="AB782" s="479" t="str">
        <f>IF(COUNT(AB773:AB781)&gt;0,MAX(AB773:AB781)+1,"")</f>
        <v/>
      </c>
      <c r="AC782" s="433" t="str">
        <f>IF(AND(AH782&lt;&gt;"",AG782&lt;&gt;"",AI782&gt;0,AH782&gt;0),MAX(AC$2:AC781)+1,"XX")</f>
        <v>XX</v>
      </c>
      <c r="AD782" s="431" t="str">
        <f>IF('Antal &amp; Längder (vikter)'!$C$98&lt;&gt;"",'Antal &amp; Längder (vikter)'!$C$98,"XX")</f>
        <v>XX</v>
      </c>
      <c r="AE782" s="418" t="str">
        <f>IF(AND('Antal &amp; Längder (vikter)'!F$100&lt;&gt;"",ISNUMBER($AH782)),'Antal &amp; Längder (vikter)'!F$100,"")</f>
        <v/>
      </c>
      <c r="AF782" s="425" t="str">
        <f t="shared" si="26"/>
        <v/>
      </c>
      <c r="AG782" s="426" t="str">
        <f t="shared" si="27"/>
        <v/>
      </c>
      <c r="AH782" s="410" t="str">
        <f>IF('Antal &amp; Längder (vikter)'!G$101="Längd (mm)",IF('Antal &amp; Längder (vikter)'!G111&lt;&gt;"",'Antal &amp; Längder (vikter)'!G111,"XX"),"XX")</f>
        <v>XX</v>
      </c>
      <c r="AI782" s="7">
        <v>-9</v>
      </c>
    </row>
    <row r="783" spans="25:35" x14ac:dyDescent="0.25">
      <c r="Y783" s="402" t="s">
        <v>1876</v>
      </c>
      <c r="Z783" s="402" t="s">
        <v>1875</v>
      </c>
      <c r="AB783" s="480" t="str">
        <f>IF(AND(ISNUMBER(AH783),AH783&gt;0),IF(MAX(AB$3:AB782)&gt;0,MAX(AB$3:AB782)+1,10+COUNTIF(F$38:F$49,"&gt;0")*10+1),"")</f>
        <v/>
      </c>
      <c r="AC783" s="433" t="str">
        <f>IF(AND(AH783&lt;&gt;"",AG783&lt;&gt;"",AI783&gt;0,AH783&gt;0),MAX(AC$2:AC782)+1,"XX")</f>
        <v>XX</v>
      </c>
      <c r="AD783" s="431" t="str">
        <f>IF('Antal &amp; Längder (vikter)'!$C$98&lt;&gt;"",'Antal &amp; Längder (vikter)'!$C$98,"XX")</f>
        <v>XX</v>
      </c>
      <c r="AE783" s="423" t="str">
        <f>IF(AND('Antal &amp; Längder (vikter)'!H$100&lt;&gt;"",ISNUMBER($AH783)),'Antal &amp; Längder (vikter)'!H$100,"")</f>
        <v/>
      </c>
      <c r="AF783" s="425" t="str">
        <f t="shared" si="26"/>
        <v/>
      </c>
      <c r="AG783" s="426" t="str">
        <f t="shared" si="27"/>
        <v/>
      </c>
      <c r="AH783" s="409" t="str">
        <f>IF('Antal &amp; Längder (vikter)'!H102&lt;&gt;"",'Antal &amp; Längder (vikter)'!H102,"XX")</f>
        <v>XX</v>
      </c>
      <c r="AI783" s="405">
        <f>IF('Antal &amp; Längder (vikter)'!I$101="Vikt (g)",IF('Antal &amp; Längder (vikter)'!I102&lt;&gt;"",'Antal &amp; Längder (vikter)'!I102,-9),-9)</f>
        <v>-9</v>
      </c>
    </row>
    <row r="784" spans="25:35" x14ac:dyDescent="0.25">
      <c r="Y784" s="402" t="s">
        <v>2207</v>
      </c>
      <c r="Z784" s="402" t="s">
        <v>2206</v>
      </c>
      <c r="AB784" s="476" t="str">
        <f>IF(COUNT(AB783:AB783)&gt;0,MAX(AB783:AB783)+1,"")</f>
        <v/>
      </c>
      <c r="AC784" s="433" t="str">
        <f>IF(AND(AH784&lt;&gt;"",AG784&lt;&gt;"",AI784&gt;0,AH784&gt;0),MAX(AC$2:AC783)+1,"XX")</f>
        <v>XX</v>
      </c>
      <c r="AD784" s="431" t="str">
        <f>IF('Antal &amp; Längder (vikter)'!$C$98&lt;&gt;"",'Antal &amp; Längder (vikter)'!$C$98,"XX")</f>
        <v>XX</v>
      </c>
      <c r="AE784" s="423" t="str">
        <f>IF(AND('Antal &amp; Längder (vikter)'!H$100&lt;&gt;"",ISNUMBER($AH784)),'Antal &amp; Längder (vikter)'!H$100,"")</f>
        <v/>
      </c>
      <c r="AF784" s="425" t="str">
        <f t="shared" si="26"/>
        <v/>
      </c>
      <c r="AG784" s="426" t="str">
        <f t="shared" si="27"/>
        <v/>
      </c>
      <c r="AH784" s="409" t="str">
        <f>IF('Antal &amp; Längder (vikter)'!H103&lt;&gt;"",'Antal &amp; Längder (vikter)'!H103,"XX")</f>
        <v>XX</v>
      </c>
      <c r="AI784" s="405">
        <f>IF('Antal &amp; Längder (vikter)'!I$101="Vikt (g)",IF('Antal &amp; Längder (vikter)'!I103&lt;&gt;"",'Antal &amp; Längder (vikter)'!I103,-9),-9)</f>
        <v>-9</v>
      </c>
    </row>
    <row r="785" spans="25:35" x14ac:dyDescent="0.25">
      <c r="Y785" s="402" t="s">
        <v>2208</v>
      </c>
      <c r="Z785" s="402" t="s">
        <v>1535</v>
      </c>
      <c r="AB785" s="477" t="str">
        <f>IF(COUNT(AB783:AB784)&gt;0,MAX(AB783:AB784)+1,"")</f>
        <v/>
      </c>
      <c r="AC785" s="433" t="str">
        <f>IF(AND(AH785&lt;&gt;"",AG785&lt;&gt;"",AI785&gt;0,AH785&gt;0),MAX(AC$2:AC784)+1,"XX")</f>
        <v>XX</v>
      </c>
      <c r="AD785" s="431" t="str">
        <f>IF('Antal &amp; Längder (vikter)'!$C$98&lt;&gt;"",'Antal &amp; Längder (vikter)'!$C$98,"XX")</f>
        <v>XX</v>
      </c>
      <c r="AE785" s="423" t="str">
        <f>IF(AND('Antal &amp; Längder (vikter)'!H$100&lt;&gt;"",ISNUMBER($AH785)),'Antal &amp; Längder (vikter)'!H$100,"")</f>
        <v/>
      </c>
      <c r="AF785" s="425" t="str">
        <f t="shared" si="26"/>
        <v/>
      </c>
      <c r="AG785" s="426" t="str">
        <f t="shared" si="27"/>
        <v/>
      </c>
      <c r="AH785" s="409" t="str">
        <f>IF('Antal &amp; Längder (vikter)'!H104&lt;&gt;"",'Antal &amp; Längder (vikter)'!H104,"XX")</f>
        <v>XX</v>
      </c>
      <c r="AI785" s="405">
        <f>IF('Antal &amp; Längder (vikter)'!I$101="Vikt (g)",IF('Antal &amp; Längder (vikter)'!I104&lt;&gt;"",'Antal &amp; Längder (vikter)'!I104,-9),-9)</f>
        <v>-9</v>
      </c>
    </row>
    <row r="786" spans="25:35" x14ac:dyDescent="0.25">
      <c r="Y786" s="402" t="s">
        <v>1878</v>
      </c>
      <c r="Z786" s="402" t="s">
        <v>1877</v>
      </c>
      <c r="AB786" s="434" t="str">
        <f>IF(COUNT(AB783:AB785)&gt;0,MAX(AB783:AB785)+1,"")</f>
        <v/>
      </c>
      <c r="AC786" s="433" t="str">
        <f>IF(AND(AH786&lt;&gt;"",AG786&lt;&gt;"",AI786&gt;0,AH786&gt;0),MAX(AC$2:AC785)+1,"XX")</f>
        <v>XX</v>
      </c>
      <c r="AD786" s="431" t="str">
        <f>IF('Antal &amp; Längder (vikter)'!$C$98&lt;&gt;"",'Antal &amp; Längder (vikter)'!$C$98,"XX")</f>
        <v>XX</v>
      </c>
      <c r="AE786" s="423" t="str">
        <f>IF(AND('Antal &amp; Längder (vikter)'!H$100&lt;&gt;"",ISNUMBER($AH786)),'Antal &amp; Längder (vikter)'!H$100,"")</f>
        <v/>
      </c>
      <c r="AF786" s="425" t="str">
        <f t="shared" si="26"/>
        <v/>
      </c>
      <c r="AG786" s="426" t="str">
        <f t="shared" si="27"/>
        <v/>
      </c>
      <c r="AH786" s="409" t="str">
        <f>IF('Antal &amp; Längder (vikter)'!H105&lt;&gt;"",'Antal &amp; Längder (vikter)'!H105,"XX")</f>
        <v>XX</v>
      </c>
      <c r="AI786" s="405">
        <f>IF('Antal &amp; Längder (vikter)'!I$101="Vikt (g)",IF('Antal &amp; Längder (vikter)'!I105&lt;&gt;"",'Antal &amp; Längder (vikter)'!I105,-9),-9)</f>
        <v>-9</v>
      </c>
    </row>
    <row r="787" spans="25:35" x14ac:dyDescent="0.25">
      <c r="Y787" s="402" t="s">
        <v>2461</v>
      </c>
      <c r="Z787" s="402" t="s">
        <v>2460</v>
      </c>
      <c r="AB787" s="475" t="str">
        <f>IF(COUNT(AB783:AB786)&gt;0,MAX(AB783:AB786)+1,"")</f>
        <v/>
      </c>
      <c r="AC787" s="433" t="str">
        <f>IF(AND(AH787&lt;&gt;"",AG787&lt;&gt;"",AI787&gt;0,AH787&gt;0),MAX(AC$2:AC786)+1,"XX")</f>
        <v>XX</v>
      </c>
      <c r="AD787" s="431" t="str">
        <f>IF('Antal &amp; Längder (vikter)'!$C$98&lt;&gt;"",'Antal &amp; Längder (vikter)'!$C$98,"XX")</f>
        <v>XX</v>
      </c>
      <c r="AE787" s="423" t="str">
        <f>IF(AND('Antal &amp; Längder (vikter)'!H$100&lt;&gt;"",ISNUMBER($AH787)),'Antal &amp; Längder (vikter)'!H$100,"")</f>
        <v/>
      </c>
      <c r="AF787" s="425" t="str">
        <f t="shared" si="26"/>
        <v/>
      </c>
      <c r="AG787" s="426" t="str">
        <f t="shared" si="27"/>
        <v/>
      </c>
      <c r="AH787" s="409" t="str">
        <f>IF('Antal &amp; Längder (vikter)'!H106&lt;&gt;"",'Antal &amp; Längder (vikter)'!H106,"XX")</f>
        <v>XX</v>
      </c>
      <c r="AI787" s="405">
        <f>IF('Antal &amp; Längder (vikter)'!I$101="Vikt (g)",IF('Antal &amp; Längder (vikter)'!I106&lt;&gt;"",'Antal &amp; Längder (vikter)'!I106,-9),-9)</f>
        <v>-9</v>
      </c>
    </row>
    <row r="788" spans="25:35" x14ac:dyDescent="0.25">
      <c r="Y788" s="402" t="s">
        <v>1880</v>
      </c>
      <c r="Z788" s="402" t="s">
        <v>1879</v>
      </c>
      <c r="AB788" s="471" t="str">
        <f>IF(COUNT(AB783:AB787)&gt;0,MAX(AB783:AB787)+1,"")</f>
        <v/>
      </c>
      <c r="AC788" s="433" t="str">
        <f>IF(AND(AH788&lt;&gt;"",AG788&lt;&gt;"",AI788&gt;0,AH788&gt;0),MAX(AC$2:AC787)+1,"XX")</f>
        <v>XX</v>
      </c>
      <c r="AD788" s="431" t="str">
        <f>IF('Antal &amp; Längder (vikter)'!$C$98&lt;&gt;"",'Antal &amp; Längder (vikter)'!$C$98,"XX")</f>
        <v>XX</v>
      </c>
      <c r="AE788" s="423" t="str">
        <f>IF(AND('Antal &amp; Längder (vikter)'!H$100&lt;&gt;"",ISNUMBER($AH788)),'Antal &amp; Längder (vikter)'!H$100,"")</f>
        <v/>
      </c>
      <c r="AF788" s="425" t="str">
        <f t="shared" si="26"/>
        <v/>
      </c>
      <c r="AG788" s="426" t="str">
        <f t="shared" si="27"/>
        <v/>
      </c>
      <c r="AH788" s="409" t="str">
        <f>IF('Antal &amp; Längder (vikter)'!H107&lt;&gt;"",'Antal &amp; Längder (vikter)'!H107,"XX")</f>
        <v>XX</v>
      </c>
      <c r="AI788" s="405">
        <f>IF('Antal &amp; Längder (vikter)'!I$101="Vikt (g)",IF('Antal &amp; Längder (vikter)'!I107&lt;&gt;"",'Antal &amp; Längder (vikter)'!I107,-9),-9)</f>
        <v>-9</v>
      </c>
    </row>
    <row r="789" spans="25:35" x14ac:dyDescent="0.25">
      <c r="Y789" s="402" t="s">
        <v>2210</v>
      </c>
      <c r="Z789" s="402" t="s">
        <v>2209</v>
      </c>
      <c r="AB789" s="474" t="str">
        <f>IF(COUNT(AB783:AB788)&gt;0,MAX(AB783:AB788)+1,"")</f>
        <v/>
      </c>
      <c r="AC789" s="433" t="str">
        <f>IF(AND(AH789&lt;&gt;"",AG789&lt;&gt;"",AI789&gt;0,AH789&gt;0),MAX(AC$2:AC788)+1,"XX")</f>
        <v>XX</v>
      </c>
      <c r="AD789" s="431" t="str">
        <f>IF('Antal &amp; Längder (vikter)'!$C$98&lt;&gt;"",'Antal &amp; Längder (vikter)'!$C$98,"XX")</f>
        <v>XX</v>
      </c>
      <c r="AE789" s="423" t="str">
        <f>IF(AND('Antal &amp; Längder (vikter)'!H$100&lt;&gt;"",ISNUMBER($AH789)),'Antal &amp; Längder (vikter)'!H$100,"")</f>
        <v/>
      </c>
      <c r="AF789" s="425" t="str">
        <f t="shared" si="26"/>
        <v/>
      </c>
      <c r="AG789" s="426" t="str">
        <f t="shared" si="27"/>
        <v/>
      </c>
      <c r="AH789" s="409" t="str">
        <f>IF('Antal &amp; Längder (vikter)'!H108&lt;&gt;"",'Antal &amp; Längder (vikter)'!H108,"XX")</f>
        <v>XX</v>
      </c>
      <c r="AI789" s="405">
        <f>IF('Antal &amp; Längder (vikter)'!I$101="Vikt (g)",IF('Antal &amp; Längder (vikter)'!I108&lt;&gt;"",'Antal &amp; Längder (vikter)'!I108,-9),-9)</f>
        <v>-9</v>
      </c>
    </row>
    <row r="790" spans="25:35" x14ac:dyDescent="0.25">
      <c r="Y790" s="402" t="s">
        <v>2212</v>
      </c>
      <c r="Z790" s="402" t="s">
        <v>2211</v>
      </c>
      <c r="AB790" s="478" t="str">
        <f>IF(COUNT(AB783:AB789)&gt;0,MAX(AB783:AB789)+1,"")</f>
        <v/>
      </c>
      <c r="AC790" s="433" t="str">
        <f>IF(AND(AH790&lt;&gt;"",AG790&lt;&gt;"",AI790&gt;0,AH790&gt;0),MAX(AC$2:AC789)+1,"XX")</f>
        <v>XX</v>
      </c>
      <c r="AD790" s="431" t="str">
        <f>IF('Antal &amp; Längder (vikter)'!$C$98&lt;&gt;"",'Antal &amp; Längder (vikter)'!$C$98,"XX")</f>
        <v>XX</v>
      </c>
      <c r="AE790" s="423" t="str">
        <f>IF(AND('Antal &amp; Längder (vikter)'!H$100&lt;&gt;"",ISNUMBER($AH790)),'Antal &amp; Längder (vikter)'!H$100,"")</f>
        <v/>
      </c>
      <c r="AF790" s="425" t="str">
        <f t="shared" si="26"/>
        <v/>
      </c>
      <c r="AG790" s="426" t="str">
        <f t="shared" si="27"/>
        <v/>
      </c>
      <c r="AH790" s="409" t="str">
        <f>IF('Antal &amp; Längder (vikter)'!H109&lt;&gt;"",'Antal &amp; Längder (vikter)'!H109,"XX")</f>
        <v>XX</v>
      </c>
      <c r="AI790" s="405">
        <f>IF('Antal &amp; Längder (vikter)'!I$101="Vikt (g)",IF('Antal &amp; Längder (vikter)'!I109&lt;&gt;"",'Antal &amp; Längder (vikter)'!I109,-9),-9)</f>
        <v>-9</v>
      </c>
    </row>
    <row r="791" spans="25:35" x14ac:dyDescent="0.25">
      <c r="Y791" s="402" t="s">
        <v>1882</v>
      </c>
      <c r="Z791" s="402" t="s">
        <v>1881</v>
      </c>
      <c r="AB791" s="472" t="str">
        <f>IF(COUNT(AB783:AB790)&gt;0,MAX(AB783:AB790)+1,"")</f>
        <v/>
      </c>
      <c r="AC791" s="433" t="str">
        <f>IF(AND(AH791&lt;&gt;"",AG791&lt;&gt;"",AI791&gt;0,AH791&gt;0),MAX(AC$2:AC790)+1,"XX")</f>
        <v>XX</v>
      </c>
      <c r="AD791" s="431" t="str">
        <f>IF('Antal &amp; Längder (vikter)'!$C$98&lt;&gt;"",'Antal &amp; Längder (vikter)'!$C$98,"XX")</f>
        <v>XX</v>
      </c>
      <c r="AE791" s="423" t="str">
        <f>IF(AND('Antal &amp; Längder (vikter)'!H$100&lt;&gt;"",ISNUMBER($AH791)),'Antal &amp; Längder (vikter)'!H$100,"")</f>
        <v/>
      </c>
      <c r="AF791" s="425" t="str">
        <f t="shared" si="26"/>
        <v/>
      </c>
      <c r="AG791" s="426" t="str">
        <f t="shared" si="27"/>
        <v/>
      </c>
      <c r="AH791" s="409" t="str">
        <f>IF('Antal &amp; Längder (vikter)'!H110&lt;&gt;"",'Antal &amp; Längder (vikter)'!H110,"XX")</f>
        <v>XX</v>
      </c>
      <c r="AI791" s="405">
        <f>IF('Antal &amp; Längder (vikter)'!I$101="Vikt (g)",IF('Antal &amp; Längder (vikter)'!I110&lt;&gt;"",'Antal &amp; Längder (vikter)'!I110,-9),-9)</f>
        <v>-9</v>
      </c>
    </row>
    <row r="792" spans="25:35" x14ac:dyDescent="0.25">
      <c r="Y792" s="402" t="s">
        <v>1884</v>
      </c>
      <c r="Z792" s="402" t="s">
        <v>1883</v>
      </c>
      <c r="AB792" s="479" t="str">
        <f>IF(COUNT(AB783:AB791)&gt;0,MAX(AB783:AB791)+1,"")</f>
        <v/>
      </c>
      <c r="AC792" s="433" t="str">
        <f>IF(AND(AH792&lt;&gt;"",AG792&lt;&gt;"",AI792&gt;0,AH792&gt;0),MAX(AC$2:AC791)+1,"XX")</f>
        <v>XX</v>
      </c>
      <c r="AD792" s="431" t="str">
        <f>IF('Antal &amp; Längder (vikter)'!$C$98&lt;&gt;"",'Antal &amp; Längder (vikter)'!$C$98,"XX")</f>
        <v>XX</v>
      </c>
      <c r="AE792" s="423" t="str">
        <f>IF(AND('Antal &amp; Längder (vikter)'!H$100&lt;&gt;"",ISNUMBER($AH792)),'Antal &amp; Längder (vikter)'!H$100,"")</f>
        <v/>
      </c>
      <c r="AF792" s="425" t="str">
        <f t="shared" si="26"/>
        <v/>
      </c>
      <c r="AG792" s="426" t="str">
        <f t="shared" si="27"/>
        <v/>
      </c>
      <c r="AH792" s="409" t="str">
        <f>IF('Antal &amp; Längder (vikter)'!H111&lt;&gt;"",'Antal &amp; Längder (vikter)'!H111,"XX")</f>
        <v>XX</v>
      </c>
      <c r="AI792" s="405">
        <f>IF('Antal &amp; Längder (vikter)'!I$101="Vikt (g)",IF('Antal &amp; Längder (vikter)'!I111&lt;&gt;"",'Antal &amp; Längder (vikter)'!I111,-9),-9)</f>
        <v>-9</v>
      </c>
    </row>
    <row r="793" spans="25:35" x14ac:dyDescent="0.25">
      <c r="Y793" s="402" t="s">
        <v>1886</v>
      </c>
      <c r="Z793" s="402" t="s">
        <v>1885</v>
      </c>
      <c r="AB793" s="480" t="str">
        <f>IF(AND(ISNUMBER(AH793),AH793&gt;0),IF(MAX(AB$3:AB792)&gt;0,MAX(AB$3:AB792)+1,10+COUNTIF(F$38:F$49,"&gt;0")*10+1),"")</f>
        <v/>
      </c>
      <c r="AC793" s="433" t="str">
        <f>IF(AND(AH793&lt;&gt;"",AG793&lt;&gt;"",AI793&gt;0,AH793&gt;0),MAX(AC$2:AC792)+1,"XX")</f>
        <v>XX</v>
      </c>
      <c r="AD793" s="431" t="str">
        <f>IF('Antal &amp; Längder (vikter)'!$C$98&lt;&gt;"",'Antal &amp; Längder (vikter)'!$C$98,"XX")</f>
        <v>XX</v>
      </c>
      <c r="AE793" s="423" t="str">
        <f>IF(AND('Antal &amp; Längder (vikter)'!H$100&lt;&gt;"",ISNUMBER($AH793)),'Antal &amp; Längder (vikter)'!H$100,"")</f>
        <v/>
      </c>
      <c r="AF793" s="425" t="str">
        <f t="shared" si="26"/>
        <v/>
      </c>
      <c r="AG793" s="426" t="str">
        <f t="shared" si="27"/>
        <v/>
      </c>
      <c r="AH793" s="410" t="str">
        <f>IF('Antal &amp; Längder (vikter)'!I$101="Längd (mm)",IF('Antal &amp; Längder (vikter)'!I102&lt;&gt;"",'Antal &amp; Längder (vikter)'!I102,"XX"),"XX")</f>
        <v>XX</v>
      </c>
      <c r="AI793" s="7">
        <v>-9</v>
      </c>
    </row>
    <row r="794" spans="25:35" x14ac:dyDescent="0.25">
      <c r="Y794" s="402" t="s">
        <v>2214</v>
      </c>
      <c r="Z794" s="402" t="s">
        <v>2213</v>
      </c>
      <c r="AB794" s="476" t="str">
        <f>IF(COUNT(AB793:AB793)&gt;0,MAX(AB793:AB793)+1,"")</f>
        <v/>
      </c>
      <c r="AC794" s="433" t="str">
        <f>IF(AND(AH794&lt;&gt;"",AG794&lt;&gt;"",AI794&gt;0,AH794&gt;0),MAX(AC$2:AC793)+1,"XX")</f>
        <v>XX</v>
      </c>
      <c r="AD794" s="431" t="str">
        <f>IF('Antal &amp; Längder (vikter)'!$C$98&lt;&gt;"",'Antal &amp; Längder (vikter)'!$C$98,"XX")</f>
        <v>XX</v>
      </c>
      <c r="AE794" s="423" t="str">
        <f>IF(AND('Antal &amp; Längder (vikter)'!H$100&lt;&gt;"",ISNUMBER($AH794)),'Antal &amp; Längder (vikter)'!H$100,"")</f>
        <v/>
      </c>
      <c r="AF794" s="425" t="str">
        <f t="shared" si="26"/>
        <v/>
      </c>
      <c r="AG794" s="426" t="str">
        <f t="shared" si="27"/>
        <v/>
      </c>
      <c r="AH794" s="410" t="str">
        <f>IF('Antal &amp; Längder (vikter)'!I$101="Längd (mm)",IF('Antal &amp; Längder (vikter)'!I103&lt;&gt;"",'Antal &amp; Längder (vikter)'!I103,"XX"),"XX")</f>
        <v>XX</v>
      </c>
      <c r="AI794" s="7">
        <v>-9</v>
      </c>
    </row>
    <row r="795" spans="25:35" x14ac:dyDescent="0.25">
      <c r="Y795" s="402" t="s">
        <v>2216</v>
      </c>
      <c r="Z795" s="402" t="s">
        <v>2215</v>
      </c>
      <c r="AB795" s="477" t="str">
        <f>IF(COUNT(AB793:AB794)&gt;0,MAX(AB793:AB794)+1,"")</f>
        <v/>
      </c>
      <c r="AC795" s="433" t="str">
        <f>IF(AND(AH795&lt;&gt;"",AG795&lt;&gt;"",AI795&gt;0,AH795&gt;0),MAX(AC$2:AC794)+1,"XX")</f>
        <v>XX</v>
      </c>
      <c r="AD795" s="431" t="str">
        <f>IF('Antal &amp; Längder (vikter)'!$C$98&lt;&gt;"",'Antal &amp; Längder (vikter)'!$C$98,"XX")</f>
        <v>XX</v>
      </c>
      <c r="AE795" s="423" t="str">
        <f>IF(AND('Antal &amp; Längder (vikter)'!H$100&lt;&gt;"",ISNUMBER($AH795)),'Antal &amp; Längder (vikter)'!H$100,"")</f>
        <v/>
      </c>
      <c r="AF795" s="425" t="str">
        <f t="shared" si="26"/>
        <v/>
      </c>
      <c r="AG795" s="426" t="str">
        <f t="shared" si="27"/>
        <v/>
      </c>
      <c r="AH795" s="410" t="str">
        <f>IF('Antal &amp; Längder (vikter)'!I$101="Längd (mm)",IF('Antal &amp; Längder (vikter)'!I104&lt;&gt;"",'Antal &amp; Längder (vikter)'!I104,"XX"),"XX")</f>
        <v>XX</v>
      </c>
      <c r="AI795" s="7">
        <v>-9</v>
      </c>
    </row>
    <row r="796" spans="25:35" x14ac:dyDescent="0.25">
      <c r="Y796" s="402" t="s">
        <v>1888</v>
      </c>
      <c r="Z796" s="402" t="s">
        <v>1887</v>
      </c>
      <c r="AB796" s="434" t="str">
        <f>IF(COUNT(AB793:AB795)&gt;0,MAX(AB793:AB795)+1,"")</f>
        <v/>
      </c>
      <c r="AC796" s="433" t="str">
        <f>IF(AND(AH796&lt;&gt;"",AG796&lt;&gt;"",AI796&gt;0,AH796&gt;0),MAX(AC$2:AC795)+1,"XX")</f>
        <v>XX</v>
      </c>
      <c r="AD796" s="431" t="str">
        <f>IF('Antal &amp; Längder (vikter)'!$C$98&lt;&gt;"",'Antal &amp; Längder (vikter)'!$C$98,"XX")</f>
        <v>XX</v>
      </c>
      <c r="AE796" s="423" t="str">
        <f>IF(AND('Antal &amp; Längder (vikter)'!H$100&lt;&gt;"",ISNUMBER($AH796)),'Antal &amp; Längder (vikter)'!H$100,"")</f>
        <v/>
      </c>
      <c r="AF796" s="425" t="str">
        <f t="shared" si="26"/>
        <v/>
      </c>
      <c r="AG796" s="426" t="str">
        <f t="shared" si="27"/>
        <v/>
      </c>
      <c r="AH796" s="410" t="str">
        <f>IF('Antal &amp; Längder (vikter)'!I$101="Längd (mm)",IF('Antal &amp; Längder (vikter)'!I105&lt;&gt;"",'Antal &amp; Längder (vikter)'!I105,"XX"),"XX")</f>
        <v>XX</v>
      </c>
      <c r="AI796" s="7">
        <v>-9</v>
      </c>
    </row>
    <row r="797" spans="25:35" x14ac:dyDescent="0.25">
      <c r="Y797" s="402" t="s">
        <v>1890</v>
      </c>
      <c r="Z797" s="402" t="s">
        <v>1889</v>
      </c>
      <c r="AB797" s="475" t="str">
        <f>IF(COUNT(AB793:AB796)&gt;0,MAX(AB793:AB796)+1,"")</f>
        <v/>
      </c>
      <c r="AC797" s="433" t="str">
        <f>IF(AND(AH797&lt;&gt;"",AG797&lt;&gt;"",AI797&gt;0,AH797&gt;0),MAX(AC$2:AC796)+1,"XX")</f>
        <v>XX</v>
      </c>
      <c r="AD797" s="431" t="str">
        <f>IF('Antal &amp; Längder (vikter)'!$C$98&lt;&gt;"",'Antal &amp; Längder (vikter)'!$C$98,"XX")</f>
        <v>XX</v>
      </c>
      <c r="AE797" s="423" t="str">
        <f>IF(AND('Antal &amp; Längder (vikter)'!H$100&lt;&gt;"",ISNUMBER($AH797)),'Antal &amp; Längder (vikter)'!H$100,"")</f>
        <v/>
      </c>
      <c r="AF797" s="425" t="str">
        <f t="shared" si="26"/>
        <v/>
      </c>
      <c r="AG797" s="426" t="str">
        <f t="shared" si="27"/>
        <v/>
      </c>
      <c r="AH797" s="410" t="str">
        <f>IF('Antal &amp; Längder (vikter)'!I$101="Längd (mm)",IF('Antal &amp; Längder (vikter)'!I106&lt;&gt;"",'Antal &amp; Längder (vikter)'!I106,"XX"),"XX")</f>
        <v>XX</v>
      </c>
      <c r="AI797" s="7">
        <v>-9</v>
      </c>
    </row>
    <row r="798" spans="25:35" x14ac:dyDescent="0.25">
      <c r="Y798" s="402" t="s">
        <v>1892</v>
      </c>
      <c r="Z798" s="402" t="s">
        <v>1891</v>
      </c>
      <c r="AB798" s="471" t="str">
        <f>IF(COUNT(AB793:AB797)&gt;0,MAX(AB793:AB797)+1,"")</f>
        <v/>
      </c>
      <c r="AC798" s="433" t="str">
        <f>IF(AND(AH798&lt;&gt;"",AG798&lt;&gt;"",AI798&gt;0,AH798&gt;0),MAX(AC$2:AC797)+1,"XX")</f>
        <v>XX</v>
      </c>
      <c r="AD798" s="431" t="str">
        <f>IF('Antal &amp; Längder (vikter)'!$C$98&lt;&gt;"",'Antal &amp; Längder (vikter)'!$C$98,"XX")</f>
        <v>XX</v>
      </c>
      <c r="AE798" s="423" t="str">
        <f>IF(AND('Antal &amp; Längder (vikter)'!H$100&lt;&gt;"",ISNUMBER($AH798)),'Antal &amp; Längder (vikter)'!H$100,"")</f>
        <v/>
      </c>
      <c r="AF798" s="425" t="str">
        <f t="shared" si="26"/>
        <v/>
      </c>
      <c r="AG798" s="426" t="str">
        <f t="shared" si="27"/>
        <v/>
      </c>
      <c r="AH798" s="410" t="str">
        <f>IF('Antal &amp; Längder (vikter)'!I$101="Längd (mm)",IF('Antal &amp; Längder (vikter)'!I107&lt;&gt;"",'Antal &amp; Längder (vikter)'!I107,"XX"),"XX")</f>
        <v>XX</v>
      </c>
      <c r="AI798" s="7">
        <v>-9</v>
      </c>
    </row>
    <row r="799" spans="25:35" x14ac:dyDescent="0.25">
      <c r="Y799" s="402" t="s">
        <v>1894</v>
      </c>
      <c r="Z799" s="402" t="s">
        <v>1893</v>
      </c>
      <c r="AB799" s="474" t="str">
        <f>IF(COUNT(AB793:AB798)&gt;0,MAX(AB793:AB798)+1,"")</f>
        <v/>
      </c>
      <c r="AC799" s="433" t="str">
        <f>IF(AND(AH799&lt;&gt;"",AG799&lt;&gt;"",AI799&gt;0,AH799&gt;0),MAX(AC$2:AC798)+1,"XX")</f>
        <v>XX</v>
      </c>
      <c r="AD799" s="431" t="str">
        <f>IF('Antal &amp; Längder (vikter)'!$C$98&lt;&gt;"",'Antal &amp; Längder (vikter)'!$C$98,"XX")</f>
        <v>XX</v>
      </c>
      <c r="AE799" s="423" t="str">
        <f>IF(AND('Antal &amp; Längder (vikter)'!H$100&lt;&gt;"",ISNUMBER($AH799)),'Antal &amp; Längder (vikter)'!H$100,"")</f>
        <v/>
      </c>
      <c r="AF799" s="425" t="str">
        <f t="shared" si="26"/>
        <v/>
      </c>
      <c r="AG799" s="426" t="str">
        <f t="shared" si="27"/>
        <v/>
      </c>
      <c r="AH799" s="410" t="str">
        <f>IF('Antal &amp; Längder (vikter)'!I$101="Längd (mm)",IF('Antal &amp; Längder (vikter)'!I108&lt;&gt;"",'Antal &amp; Längder (vikter)'!I108,"XX"),"XX")</f>
        <v>XX</v>
      </c>
      <c r="AI799" s="7">
        <v>-9</v>
      </c>
    </row>
    <row r="800" spans="25:35" x14ac:dyDescent="0.25">
      <c r="Y800" s="402" t="s">
        <v>1896</v>
      </c>
      <c r="Z800" s="402" t="s">
        <v>1895</v>
      </c>
      <c r="AB800" s="478" t="str">
        <f>IF(COUNT(AB793:AB799)&gt;0,MAX(AB793:AB799)+1,"")</f>
        <v/>
      </c>
      <c r="AC800" s="433" t="str">
        <f>IF(AND(AH800&lt;&gt;"",AG800&lt;&gt;"",AI800&gt;0,AH800&gt;0),MAX(AC$2:AC799)+1,"XX")</f>
        <v>XX</v>
      </c>
      <c r="AD800" s="431" t="str">
        <f>IF('Antal &amp; Längder (vikter)'!$C$98&lt;&gt;"",'Antal &amp; Längder (vikter)'!$C$98,"XX")</f>
        <v>XX</v>
      </c>
      <c r="AE800" s="423" t="str">
        <f>IF(AND('Antal &amp; Längder (vikter)'!H$100&lt;&gt;"",ISNUMBER($AH800)),'Antal &amp; Längder (vikter)'!H$100,"")</f>
        <v/>
      </c>
      <c r="AF800" s="425" t="str">
        <f t="shared" si="26"/>
        <v/>
      </c>
      <c r="AG800" s="426" t="str">
        <f t="shared" si="27"/>
        <v/>
      </c>
      <c r="AH800" s="410" t="str">
        <f>IF('Antal &amp; Längder (vikter)'!I$101="Längd (mm)",IF('Antal &amp; Längder (vikter)'!I109&lt;&gt;"",'Antal &amp; Längder (vikter)'!I109,"XX"),"XX")</f>
        <v>XX</v>
      </c>
      <c r="AI800" s="7">
        <v>-9</v>
      </c>
    </row>
    <row r="801" spans="25:35" x14ac:dyDescent="0.25">
      <c r="Y801" s="402" t="s">
        <v>1898</v>
      </c>
      <c r="Z801" s="402" t="s">
        <v>1897</v>
      </c>
      <c r="AB801" s="472" t="str">
        <f>IF(COUNT(AB793:AB800)&gt;0,MAX(AB793:AB800)+1,"")</f>
        <v/>
      </c>
      <c r="AC801" s="433" t="str">
        <f>IF(AND(AH801&lt;&gt;"",AG801&lt;&gt;"",AI801&gt;0,AH801&gt;0),MAX(AC$2:AC800)+1,"XX")</f>
        <v>XX</v>
      </c>
      <c r="AD801" s="431" t="str">
        <f>IF('Antal &amp; Längder (vikter)'!$C$98&lt;&gt;"",'Antal &amp; Längder (vikter)'!$C$98,"XX")</f>
        <v>XX</v>
      </c>
      <c r="AE801" s="423" t="str">
        <f>IF(AND('Antal &amp; Längder (vikter)'!H$100&lt;&gt;"",ISNUMBER($AH801)),'Antal &amp; Längder (vikter)'!H$100,"")</f>
        <v/>
      </c>
      <c r="AF801" s="425" t="str">
        <f t="shared" si="26"/>
        <v/>
      </c>
      <c r="AG801" s="426" t="str">
        <f t="shared" si="27"/>
        <v/>
      </c>
      <c r="AH801" s="410" t="str">
        <f>IF('Antal &amp; Längder (vikter)'!I$101="Längd (mm)",IF('Antal &amp; Längder (vikter)'!I110&lt;&gt;"",'Antal &amp; Längder (vikter)'!I110,"XX"),"XX")</f>
        <v>XX</v>
      </c>
      <c r="AI801" s="7">
        <v>-9</v>
      </c>
    </row>
    <row r="802" spans="25:35" x14ac:dyDescent="0.25">
      <c r="Y802" s="402" t="s">
        <v>1900</v>
      </c>
      <c r="Z802" s="402" t="s">
        <v>1899</v>
      </c>
      <c r="AB802" s="479" t="str">
        <f>IF(COUNT(AB793:AB801)&gt;0,MAX(AB793:AB801)+1,"")</f>
        <v/>
      </c>
      <c r="AC802" s="433" t="str">
        <f>IF(AND(AH802&lt;&gt;"",AG802&lt;&gt;"",AI802&gt;0,AH802&gt;0),MAX(AC$2:AC801)+1,"XX")</f>
        <v>XX</v>
      </c>
      <c r="AD802" s="431" t="str">
        <f>IF('Antal &amp; Längder (vikter)'!$C$98&lt;&gt;"",'Antal &amp; Längder (vikter)'!$C$98,"XX")</f>
        <v>XX</v>
      </c>
      <c r="AE802" s="423" t="str">
        <f>IF(AND('Antal &amp; Längder (vikter)'!H$100&lt;&gt;"",ISNUMBER($AH802)),'Antal &amp; Längder (vikter)'!H$100,"")</f>
        <v/>
      </c>
      <c r="AF802" s="425" t="str">
        <f t="shared" si="26"/>
        <v/>
      </c>
      <c r="AG802" s="426" t="str">
        <f t="shared" si="27"/>
        <v/>
      </c>
      <c r="AH802" s="410" t="str">
        <f>IF('Antal &amp; Längder (vikter)'!I$101="Längd (mm)",IF('Antal &amp; Längder (vikter)'!I111&lt;&gt;"",'Antal &amp; Längder (vikter)'!I111,"XX"),"XX")</f>
        <v>XX</v>
      </c>
      <c r="AI802" s="7">
        <v>-9</v>
      </c>
    </row>
    <row r="803" spans="25:35" x14ac:dyDescent="0.25">
      <c r="Y803" s="402" t="s">
        <v>1902</v>
      </c>
      <c r="Z803" s="402" t="s">
        <v>1901</v>
      </c>
      <c r="AB803" s="480" t="str">
        <f>IF(AND(ISNUMBER(AH803),AH803&gt;0),IF(MAX(AB$3:AB802)&gt;0,MAX(AB$3:AB802)+1,10+COUNTIF(F$38:F$49,"&gt;0")*10+1),"")</f>
        <v/>
      </c>
      <c r="AC803" s="433" t="str">
        <f>IF(AND(AH803&lt;&gt;"",AG803&lt;&gt;"",AI803&gt;0,AH803&gt;0),MAX(AC$2:AC802)+1,"XX")</f>
        <v>XX</v>
      </c>
      <c r="AD803" s="431" t="str">
        <f>IF('Antal &amp; Längder (vikter)'!$C$98&lt;&gt;"",'Antal &amp; Längder (vikter)'!$C$98,"XX")</f>
        <v>XX</v>
      </c>
      <c r="AE803" s="418" t="str">
        <f>IF(AND('Antal &amp; Längder (vikter)'!J$100&lt;&gt;"",ISNUMBER($AH803)),'Antal &amp; Längder (vikter)'!J$100,"")</f>
        <v/>
      </c>
      <c r="AF803" s="425" t="str">
        <f t="shared" si="26"/>
        <v/>
      </c>
      <c r="AG803" s="426" t="str">
        <f t="shared" si="27"/>
        <v/>
      </c>
      <c r="AH803" s="409" t="str">
        <f>IF('Antal &amp; Längder (vikter)'!J102&lt;&gt;"",'Antal &amp; Längder (vikter)'!J102,"XX")</f>
        <v>XX</v>
      </c>
      <c r="AI803" s="405">
        <f>IF('Antal &amp; Längder (vikter)'!K$101="Vikt (g)",IF('Antal &amp; Längder (vikter)'!K102&lt;&gt;"",'Antal &amp; Längder (vikter)'!K102,-9),-9)</f>
        <v>-9</v>
      </c>
    </row>
    <row r="804" spans="25:35" x14ac:dyDescent="0.25">
      <c r="Y804" s="402" t="s">
        <v>1904</v>
      </c>
      <c r="Z804" s="402" t="s">
        <v>1903</v>
      </c>
      <c r="AB804" s="476" t="str">
        <f>IF(COUNT(AB803:AB803)&gt;0,MAX(AB803:AB803)+1,"")</f>
        <v/>
      </c>
      <c r="AC804" s="433" t="str">
        <f>IF(AND(AH804&lt;&gt;"",AG804&lt;&gt;"",AI804&gt;0,AH804&gt;0),MAX(AC$2:AC803)+1,"XX")</f>
        <v>XX</v>
      </c>
      <c r="AD804" s="431" t="str">
        <f>IF('Antal &amp; Längder (vikter)'!$C$98&lt;&gt;"",'Antal &amp; Längder (vikter)'!$C$98,"XX")</f>
        <v>XX</v>
      </c>
      <c r="AE804" s="418" t="str">
        <f>IF(AND('Antal &amp; Längder (vikter)'!J$100&lt;&gt;"",ISNUMBER($AH804)),'Antal &amp; Längder (vikter)'!J$100,"")</f>
        <v/>
      </c>
      <c r="AF804" s="425" t="str">
        <f t="shared" si="26"/>
        <v/>
      </c>
      <c r="AG804" s="426" t="str">
        <f t="shared" si="27"/>
        <v/>
      </c>
      <c r="AH804" s="409" t="str">
        <f>IF('Antal &amp; Längder (vikter)'!J103&lt;&gt;"",'Antal &amp; Längder (vikter)'!J103,"XX")</f>
        <v>XX</v>
      </c>
      <c r="AI804" s="405">
        <f>IF('Antal &amp; Längder (vikter)'!K$101="Vikt (g)",IF('Antal &amp; Längder (vikter)'!K103&lt;&gt;"",'Antal &amp; Längder (vikter)'!K103,-9),-9)</f>
        <v>-9</v>
      </c>
    </row>
    <row r="805" spans="25:35" x14ac:dyDescent="0.25">
      <c r="Y805" s="402" t="s">
        <v>1906</v>
      </c>
      <c r="Z805" s="402" t="s">
        <v>1905</v>
      </c>
      <c r="AB805" s="477" t="str">
        <f>IF(COUNT(AB803:AB804)&gt;0,MAX(AB803:AB804)+1,"")</f>
        <v/>
      </c>
      <c r="AC805" s="433" t="str">
        <f>IF(AND(AH805&lt;&gt;"",AG805&lt;&gt;"",AI805&gt;0,AH805&gt;0),MAX(AC$2:AC804)+1,"XX")</f>
        <v>XX</v>
      </c>
      <c r="AD805" s="431" t="str">
        <f>IF('Antal &amp; Längder (vikter)'!$C$98&lt;&gt;"",'Antal &amp; Längder (vikter)'!$C$98,"XX")</f>
        <v>XX</v>
      </c>
      <c r="AE805" s="418" t="str">
        <f>IF(AND('Antal &amp; Längder (vikter)'!J$100&lt;&gt;"",ISNUMBER($AH805)),'Antal &amp; Längder (vikter)'!J$100,"")</f>
        <v/>
      </c>
      <c r="AF805" s="425" t="str">
        <f t="shared" si="26"/>
        <v/>
      </c>
      <c r="AG805" s="426" t="str">
        <f t="shared" si="27"/>
        <v/>
      </c>
      <c r="AH805" s="409" t="str">
        <f>IF('Antal &amp; Längder (vikter)'!J104&lt;&gt;"",'Antal &amp; Längder (vikter)'!J104,"XX")</f>
        <v>XX</v>
      </c>
      <c r="AI805" s="405">
        <f>IF('Antal &amp; Längder (vikter)'!K$101="Vikt (g)",IF('Antal &amp; Längder (vikter)'!K104&lt;&gt;"",'Antal &amp; Längder (vikter)'!K104,-9),-9)</f>
        <v>-9</v>
      </c>
    </row>
    <row r="806" spans="25:35" x14ac:dyDescent="0.25">
      <c r="Y806" s="402" t="s">
        <v>1910</v>
      </c>
      <c r="Z806" s="402" t="s">
        <v>1909</v>
      </c>
      <c r="AB806" s="434" t="str">
        <f>IF(COUNT(AB803:AB805)&gt;0,MAX(AB803:AB805)+1,"")</f>
        <v/>
      </c>
      <c r="AC806" s="433" t="str">
        <f>IF(AND(AH806&lt;&gt;"",AG806&lt;&gt;"",AI806&gt;0,AH806&gt;0),MAX(AC$2:AC805)+1,"XX")</f>
        <v>XX</v>
      </c>
      <c r="AD806" s="431" t="str">
        <f>IF('Antal &amp; Längder (vikter)'!$C$98&lt;&gt;"",'Antal &amp; Längder (vikter)'!$C$98,"XX")</f>
        <v>XX</v>
      </c>
      <c r="AE806" s="418" t="str">
        <f>IF(AND('Antal &amp; Längder (vikter)'!J$100&lt;&gt;"",ISNUMBER($AH806)),'Antal &amp; Längder (vikter)'!J$100,"")</f>
        <v/>
      </c>
      <c r="AF806" s="425" t="str">
        <f t="shared" si="26"/>
        <v/>
      </c>
      <c r="AG806" s="426" t="str">
        <f t="shared" si="27"/>
        <v/>
      </c>
      <c r="AH806" s="409" t="str">
        <f>IF('Antal &amp; Längder (vikter)'!J105&lt;&gt;"",'Antal &amp; Längder (vikter)'!J105,"XX")</f>
        <v>XX</v>
      </c>
      <c r="AI806" s="405">
        <f>IF('Antal &amp; Längder (vikter)'!K$101="Vikt (g)",IF('Antal &amp; Längder (vikter)'!K105&lt;&gt;"",'Antal &amp; Längder (vikter)'!K105,-9),-9)</f>
        <v>-9</v>
      </c>
    </row>
    <row r="807" spans="25:35" x14ac:dyDescent="0.25">
      <c r="Y807" s="402" t="s">
        <v>1911</v>
      </c>
      <c r="Z807" s="402" t="s">
        <v>1911</v>
      </c>
      <c r="AB807" s="475" t="str">
        <f>IF(COUNT(AB803:AB806)&gt;0,MAX(AB803:AB806)+1,"")</f>
        <v/>
      </c>
      <c r="AC807" s="433" t="str">
        <f>IF(AND(AH807&lt;&gt;"",AG807&lt;&gt;"",AI807&gt;0,AH807&gt;0),MAX(AC$2:AC806)+1,"XX")</f>
        <v>XX</v>
      </c>
      <c r="AD807" s="431" t="str">
        <f>IF('Antal &amp; Längder (vikter)'!$C$98&lt;&gt;"",'Antal &amp; Längder (vikter)'!$C$98,"XX")</f>
        <v>XX</v>
      </c>
      <c r="AE807" s="418" t="str">
        <f>IF(AND('Antal &amp; Längder (vikter)'!J$100&lt;&gt;"",ISNUMBER($AH807)),'Antal &amp; Längder (vikter)'!J$100,"")</f>
        <v/>
      </c>
      <c r="AF807" s="425" t="str">
        <f t="shared" si="26"/>
        <v/>
      </c>
      <c r="AG807" s="426" t="str">
        <f t="shared" si="27"/>
        <v/>
      </c>
      <c r="AH807" s="409" t="str">
        <f>IF('Antal &amp; Längder (vikter)'!J106&lt;&gt;"",'Antal &amp; Längder (vikter)'!J106,"XX")</f>
        <v>XX</v>
      </c>
      <c r="AI807" s="405">
        <f>IF('Antal &amp; Längder (vikter)'!K$101="Vikt (g)",IF('Antal &amp; Längder (vikter)'!K106&lt;&gt;"",'Antal &amp; Längder (vikter)'!K106,-9),-9)</f>
        <v>-9</v>
      </c>
    </row>
    <row r="808" spans="25:35" x14ac:dyDescent="0.25">
      <c r="Y808" s="402" t="s">
        <v>1913</v>
      </c>
      <c r="Z808" s="402" t="s">
        <v>1912</v>
      </c>
      <c r="AB808" s="471" t="str">
        <f>IF(COUNT(AB803:AB807)&gt;0,MAX(AB803:AB807)+1,"")</f>
        <v/>
      </c>
      <c r="AC808" s="433" t="str">
        <f>IF(AND(AH808&lt;&gt;"",AG808&lt;&gt;"",AI808&gt;0,AH808&gt;0),MAX(AC$2:AC807)+1,"XX")</f>
        <v>XX</v>
      </c>
      <c r="AD808" s="431" t="str">
        <f>IF('Antal &amp; Längder (vikter)'!$C$98&lt;&gt;"",'Antal &amp; Längder (vikter)'!$C$98,"XX")</f>
        <v>XX</v>
      </c>
      <c r="AE808" s="418" t="str">
        <f>IF(AND('Antal &amp; Längder (vikter)'!J$100&lt;&gt;"",ISNUMBER($AH808)),'Antal &amp; Längder (vikter)'!J$100,"")</f>
        <v/>
      </c>
      <c r="AF808" s="425" t="str">
        <f t="shared" si="26"/>
        <v/>
      </c>
      <c r="AG808" s="426" t="str">
        <f t="shared" si="27"/>
        <v/>
      </c>
      <c r="AH808" s="409" t="str">
        <f>IF('Antal &amp; Längder (vikter)'!J107&lt;&gt;"",'Antal &amp; Längder (vikter)'!J107,"XX")</f>
        <v>XX</v>
      </c>
      <c r="AI808" s="405">
        <f>IF('Antal &amp; Längder (vikter)'!K$101="Vikt (g)",IF('Antal &amp; Längder (vikter)'!K107&lt;&gt;"",'Antal &amp; Längder (vikter)'!K107,-9),-9)</f>
        <v>-9</v>
      </c>
    </row>
    <row r="809" spans="25:35" x14ac:dyDescent="0.25">
      <c r="Y809" s="402" t="s">
        <v>2465</v>
      </c>
      <c r="Z809" s="402" t="s">
        <v>1914</v>
      </c>
      <c r="AB809" s="474" t="str">
        <f>IF(COUNT(AB803:AB808)&gt;0,MAX(AB803:AB808)+1,"")</f>
        <v/>
      </c>
      <c r="AC809" s="433" t="str">
        <f>IF(AND(AH809&lt;&gt;"",AG809&lt;&gt;"",AI809&gt;0,AH809&gt;0),MAX(AC$2:AC808)+1,"XX")</f>
        <v>XX</v>
      </c>
      <c r="AD809" s="431" t="str">
        <f>IF('Antal &amp; Längder (vikter)'!$C$98&lt;&gt;"",'Antal &amp; Längder (vikter)'!$C$98,"XX")</f>
        <v>XX</v>
      </c>
      <c r="AE809" s="418" t="str">
        <f>IF(AND('Antal &amp; Längder (vikter)'!J$100&lt;&gt;"",ISNUMBER($AH809)),'Antal &amp; Längder (vikter)'!J$100,"")</f>
        <v/>
      </c>
      <c r="AF809" s="425" t="str">
        <f t="shared" si="26"/>
        <v/>
      </c>
      <c r="AG809" s="426" t="str">
        <f t="shared" si="27"/>
        <v/>
      </c>
      <c r="AH809" s="409" t="str">
        <f>IF('Antal &amp; Längder (vikter)'!J108&lt;&gt;"",'Antal &amp; Längder (vikter)'!J108,"XX")</f>
        <v>XX</v>
      </c>
      <c r="AI809" s="405">
        <f>IF('Antal &amp; Längder (vikter)'!K$101="Vikt (g)",IF('Antal &amp; Längder (vikter)'!K108&lt;&gt;"",'Antal &amp; Längder (vikter)'!K108,-9),-9)</f>
        <v>-9</v>
      </c>
    </row>
    <row r="810" spans="25:35" x14ac:dyDescent="0.25">
      <c r="Y810" s="402" t="s">
        <v>2218</v>
      </c>
      <c r="Z810" s="402" t="s">
        <v>2217</v>
      </c>
      <c r="AB810" s="478" t="str">
        <f>IF(COUNT(AB803:AB809)&gt;0,MAX(AB803:AB809)+1,"")</f>
        <v/>
      </c>
      <c r="AC810" s="433" t="str">
        <f>IF(AND(AH810&lt;&gt;"",AG810&lt;&gt;"",AI810&gt;0,AH810&gt;0),MAX(AC$2:AC809)+1,"XX")</f>
        <v>XX</v>
      </c>
      <c r="AD810" s="431" t="str">
        <f>IF('Antal &amp; Längder (vikter)'!$C$98&lt;&gt;"",'Antal &amp; Längder (vikter)'!$C$98,"XX")</f>
        <v>XX</v>
      </c>
      <c r="AE810" s="418" t="str">
        <f>IF(AND('Antal &amp; Längder (vikter)'!J$100&lt;&gt;"",ISNUMBER($AH810)),'Antal &amp; Längder (vikter)'!J$100,"")</f>
        <v/>
      </c>
      <c r="AF810" s="425" t="str">
        <f t="shared" si="26"/>
        <v/>
      </c>
      <c r="AG810" s="426" t="str">
        <f t="shared" si="27"/>
        <v/>
      </c>
      <c r="AH810" s="409" t="str">
        <f>IF('Antal &amp; Längder (vikter)'!J109&lt;&gt;"",'Antal &amp; Längder (vikter)'!J109,"XX")</f>
        <v>XX</v>
      </c>
      <c r="AI810" s="405">
        <f>IF('Antal &amp; Längder (vikter)'!K$101="Vikt (g)",IF('Antal &amp; Längder (vikter)'!K109&lt;&gt;"",'Antal &amp; Längder (vikter)'!K109,-9),-9)</f>
        <v>-9</v>
      </c>
    </row>
    <row r="811" spans="25:35" x14ac:dyDescent="0.25">
      <c r="Y811" s="402" t="s">
        <v>2220</v>
      </c>
      <c r="Z811" s="402" t="s">
        <v>2219</v>
      </c>
      <c r="AB811" s="472" t="str">
        <f>IF(COUNT(AB803:AB810)&gt;0,MAX(AB803:AB810)+1,"")</f>
        <v/>
      </c>
      <c r="AC811" s="433" t="str">
        <f>IF(AND(AH811&lt;&gt;"",AG811&lt;&gt;"",AI811&gt;0,AH811&gt;0),MAX(AC$2:AC810)+1,"XX")</f>
        <v>XX</v>
      </c>
      <c r="AD811" s="431" t="str">
        <f>IF('Antal &amp; Längder (vikter)'!$C$98&lt;&gt;"",'Antal &amp; Längder (vikter)'!$C$98,"XX")</f>
        <v>XX</v>
      </c>
      <c r="AE811" s="418" t="str">
        <f>IF(AND('Antal &amp; Längder (vikter)'!J$100&lt;&gt;"",ISNUMBER($AH811)),'Antal &amp; Längder (vikter)'!J$100,"")</f>
        <v/>
      </c>
      <c r="AF811" s="425" t="str">
        <f t="shared" si="26"/>
        <v/>
      </c>
      <c r="AG811" s="426" t="str">
        <f t="shared" si="27"/>
        <v/>
      </c>
      <c r="AH811" s="409" t="str">
        <f>IF('Antal &amp; Längder (vikter)'!J110&lt;&gt;"",'Antal &amp; Längder (vikter)'!J110,"XX")</f>
        <v>XX</v>
      </c>
      <c r="AI811" s="405">
        <f>IF('Antal &amp; Längder (vikter)'!K$101="Vikt (g)",IF('Antal &amp; Längder (vikter)'!K110&lt;&gt;"",'Antal &amp; Längder (vikter)'!K110,-9),-9)</f>
        <v>-9</v>
      </c>
    </row>
    <row r="812" spans="25:35" x14ac:dyDescent="0.25">
      <c r="Y812" s="402" t="s">
        <v>1916</v>
      </c>
      <c r="Z812" s="402" t="s">
        <v>1915</v>
      </c>
      <c r="AB812" s="479" t="str">
        <f>IF(COUNT(AB803:AB811)&gt;0,MAX(AB803:AB811)+1,"")</f>
        <v/>
      </c>
      <c r="AC812" s="433" t="str">
        <f>IF(AND(AH812&lt;&gt;"",AG812&lt;&gt;"",AI812&gt;0,AH812&gt;0),MAX(AC$2:AC811)+1,"XX")</f>
        <v>XX</v>
      </c>
      <c r="AD812" s="431" t="str">
        <f>IF('Antal &amp; Längder (vikter)'!$C$98&lt;&gt;"",'Antal &amp; Längder (vikter)'!$C$98,"XX")</f>
        <v>XX</v>
      </c>
      <c r="AE812" s="418" t="str">
        <f>IF(AND('Antal &amp; Längder (vikter)'!J$100&lt;&gt;"",ISNUMBER($AH812)),'Antal &amp; Längder (vikter)'!J$100,"")</f>
        <v/>
      </c>
      <c r="AF812" s="425" t="str">
        <f t="shared" si="26"/>
        <v/>
      </c>
      <c r="AG812" s="426" t="str">
        <f t="shared" si="27"/>
        <v/>
      </c>
      <c r="AH812" s="409" t="str">
        <f>IF('Antal &amp; Längder (vikter)'!J111&lt;&gt;"",'Antal &amp; Längder (vikter)'!J111,"XX")</f>
        <v>XX</v>
      </c>
      <c r="AI812" s="405">
        <f>IF('Antal &amp; Längder (vikter)'!K$101="Vikt (g)",IF('Antal &amp; Längder (vikter)'!K111&lt;&gt;"",'Antal &amp; Längder (vikter)'!K111,-9),-9)</f>
        <v>-9</v>
      </c>
    </row>
    <row r="813" spans="25:35" x14ac:dyDescent="0.25">
      <c r="Y813" s="402" t="s">
        <v>1981</v>
      </c>
      <c r="Z813" s="402" t="s">
        <v>1980</v>
      </c>
      <c r="AB813" s="480" t="str">
        <f>IF(AND(ISNUMBER(AH813),AH813&gt;0),IF(MAX(AB$3:AB812)&gt;0,MAX(AB$3:AB812)+1,10+COUNTIF(F$38:F$49,"&gt;0")*10+1),"")</f>
        <v/>
      </c>
      <c r="AC813" s="433" t="str">
        <f>IF(AND(AH813&lt;&gt;"",AG813&lt;&gt;"",AI813&gt;0,AH813&gt;0),MAX(AC$2:AC812)+1,"XX")</f>
        <v>XX</v>
      </c>
      <c r="AD813" s="431" t="str">
        <f>IF('Antal &amp; Längder (vikter)'!$C$98&lt;&gt;"",'Antal &amp; Längder (vikter)'!$C$98,"XX")</f>
        <v>XX</v>
      </c>
      <c r="AE813" s="418" t="str">
        <f>IF(AND('Antal &amp; Längder (vikter)'!J$100&lt;&gt;"",ISNUMBER($AH813)),'Antal &amp; Längder (vikter)'!J$100,"")</f>
        <v/>
      </c>
      <c r="AF813" s="425" t="str">
        <f t="shared" si="26"/>
        <v/>
      </c>
      <c r="AG813" s="426" t="str">
        <f t="shared" si="27"/>
        <v/>
      </c>
      <c r="AH813" s="410" t="str">
        <f>IF('Antal &amp; Längder (vikter)'!K$101="Längd (mm)",IF('Antal &amp; Längder (vikter)'!K102&lt;&gt;"",'Antal &amp; Längder (vikter)'!K102,"XX"),"XX")</f>
        <v>XX</v>
      </c>
      <c r="AI813" s="7">
        <v>-9</v>
      </c>
    </row>
    <row r="814" spans="25:35" x14ac:dyDescent="0.25">
      <c r="Y814" s="402" t="s">
        <v>2471</v>
      </c>
      <c r="Z814" s="402" t="s">
        <v>2470</v>
      </c>
      <c r="AB814" s="476" t="str">
        <f>IF(COUNT(AB813:AB813)&gt;0,MAX(AB813:AB813)+1,"")</f>
        <v/>
      </c>
      <c r="AC814" s="433" t="str">
        <f>IF(AND(AH814&lt;&gt;"",AG814&lt;&gt;"",AI814&gt;0,AH814&gt;0),MAX(AC$2:AC813)+1,"XX")</f>
        <v>XX</v>
      </c>
      <c r="AD814" s="431" t="str">
        <f>IF('Antal &amp; Längder (vikter)'!$C$98&lt;&gt;"",'Antal &amp; Längder (vikter)'!$C$98,"XX")</f>
        <v>XX</v>
      </c>
      <c r="AE814" s="418" t="str">
        <f>IF(AND('Antal &amp; Längder (vikter)'!J$100&lt;&gt;"",ISNUMBER($AH814)),'Antal &amp; Längder (vikter)'!J$100,"")</f>
        <v/>
      </c>
      <c r="AF814" s="425" t="str">
        <f t="shared" si="26"/>
        <v/>
      </c>
      <c r="AG814" s="426" t="str">
        <f t="shared" si="27"/>
        <v/>
      </c>
      <c r="AH814" s="410" t="str">
        <f>IF('Antal &amp; Längder (vikter)'!K$101="Längd (mm)",IF('Antal &amp; Längder (vikter)'!K103&lt;&gt;"",'Antal &amp; Längder (vikter)'!K103,"XX"),"XX")</f>
        <v>XX</v>
      </c>
      <c r="AI814" s="7">
        <v>-9</v>
      </c>
    </row>
    <row r="815" spans="25:35" x14ac:dyDescent="0.25">
      <c r="Y815" s="402" t="s">
        <v>1908</v>
      </c>
      <c r="Z815" s="402" t="s">
        <v>1907</v>
      </c>
      <c r="AB815" s="477" t="str">
        <f>IF(COUNT(AB813:AB814)&gt;0,MAX(AB813:AB814)+1,"")</f>
        <v/>
      </c>
      <c r="AC815" s="433" t="str">
        <f>IF(AND(AH815&lt;&gt;"",AG815&lt;&gt;"",AI815&gt;0,AH815&gt;0),MAX(AC$2:AC814)+1,"XX")</f>
        <v>XX</v>
      </c>
      <c r="AD815" s="431" t="str">
        <f>IF('Antal &amp; Längder (vikter)'!$C$98&lt;&gt;"",'Antal &amp; Längder (vikter)'!$C$98,"XX")</f>
        <v>XX</v>
      </c>
      <c r="AE815" s="418" t="str">
        <f>IF(AND('Antal &amp; Längder (vikter)'!J$100&lt;&gt;"",ISNUMBER($AH815)),'Antal &amp; Längder (vikter)'!J$100,"")</f>
        <v/>
      </c>
      <c r="AF815" s="425" t="str">
        <f t="shared" si="26"/>
        <v/>
      </c>
      <c r="AG815" s="426" t="str">
        <f t="shared" si="27"/>
        <v/>
      </c>
      <c r="AH815" s="410" t="str">
        <f>IF('Antal &amp; Längder (vikter)'!K$101="Längd (mm)",IF('Antal &amp; Längder (vikter)'!K104&lt;&gt;"",'Antal &amp; Längder (vikter)'!K104,"XX"),"XX")</f>
        <v>XX</v>
      </c>
      <c r="AI815" s="7">
        <v>-9</v>
      </c>
    </row>
    <row r="816" spans="25:35" x14ac:dyDescent="0.25">
      <c r="Y816" s="402" t="s">
        <v>2475</v>
      </c>
      <c r="Z816" s="402" t="s">
        <v>2474</v>
      </c>
      <c r="AB816" s="434" t="str">
        <f>IF(COUNT(AB813:AB815)&gt;0,MAX(AB813:AB815)+1,"")</f>
        <v/>
      </c>
      <c r="AC816" s="433" t="str">
        <f>IF(AND(AH816&lt;&gt;"",AG816&lt;&gt;"",AI816&gt;0,AH816&gt;0),MAX(AC$2:AC815)+1,"XX")</f>
        <v>XX</v>
      </c>
      <c r="AD816" s="431" t="str">
        <f>IF('Antal &amp; Längder (vikter)'!$C$98&lt;&gt;"",'Antal &amp; Längder (vikter)'!$C$98,"XX")</f>
        <v>XX</v>
      </c>
      <c r="AE816" s="418" t="str">
        <f>IF(AND('Antal &amp; Längder (vikter)'!J$100&lt;&gt;"",ISNUMBER($AH816)),'Antal &amp; Längder (vikter)'!J$100,"")</f>
        <v/>
      </c>
      <c r="AF816" s="425" t="str">
        <f t="shared" si="26"/>
        <v/>
      </c>
      <c r="AG816" s="426" t="str">
        <f t="shared" si="27"/>
        <v/>
      </c>
      <c r="AH816" s="410" t="str">
        <f>IF('Antal &amp; Längder (vikter)'!K$101="Längd (mm)",IF('Antal &amp; Längder (vikter)'!K105&lt;&gt;"",'Antal &amp; Längder (vikter)'!K105,"XX"),"XX")</f>
        <v>XX</v>
      </c>
      <c r="AI816" s="7">
        <v>-9</v>
      </c>
    </row>
    <row r="817" spans="25:35" x14ac:dyDescent="0.25">
      <c r="Y817" s="402" t="s">
        <v>1920</v>
      </c>
      <c r="Z817" s="402" t="s">
        <v>1919</v>
      </c>
      <c r="AB817" s="475" t="str">
        <f>IF(COUNT(AB813:AB816)&gt;0,MAX(AB813:AB816)+1,"")</f>
        <v/>
      </c>
      <c r="AC817" s="433" t="str">
        <f>IF(AND(AH817&lt;&gt;"",AG817&lt;&gt;"",AI817&gt;0,AH817&gt;0),MAX(AC$2:AC816)+1,"XX")</f>
        <v>XX</v>
      </c>
      <c r="AD817" s="431" t="str">
        <f>IF('Antal &amp; Längder (vikter)'!$C$98&lt;&gt;"",'Antal &amp; Längder (vikter)'!$C$98,"XX")</f>
        <v>XX</v>
      </c>
      <c r="AE817" s="418" t="str">
        <f>IF(AND('Antal &amp; Längder (vikter)'!J$100&lt;&gt;"",ISNUMBER($AH817)),'Antal &amp; Längder (vikter)'!J$100,"")</f>
        <v/>
      </c>
      <c r="AF817" s="425" t="str">
        <f t="shared" si="26"/>
        <v/>
      </c>
      <c r="AG817" s="426" t="str">
        <f t="shared" si="27"/>
        <v/>
      </c>
      <c r="AH817" s="410" t="str">
        <f>IF('Antal &amp; Längder (vikter)'!K$101="Längd (mm)",IF('Antal &amp; Längder (vikter)'!K106&lt;&gt;"",'Antal &amp; Längder (vikter)'!K106,"XX"),"XX")</f>
        <v>XX</v>
      </c>
      <c r="AI817" s="7">
        <v>-9</v>
      </c>
    </row>
    <row r="818" spans="25:35" x14ac:dyDescent="0.25">
      <c r="Y818" s="402" t="s">
        <v>1922</v>
      </c>
      <c r="Z818" s="402" t="s">
        <v>1921</v>
      </c>
      <c r="AB818" s="471" t="str">
        <f>IF(COUNT(AB813:AB817)&gt;0,MAX(AB813:AB817)+1,"")</f>
        <v/>
      </c>
      <c r="AC818" s="433" t="str">
        <f>IF(AND(AH818&lt;&gt;"",AG818&lt;&gt;"",AI818&gt;0,AH818&gt;0),MAX(AC$2:AC817)+1,"XX")</f>
        <v>XX</v>
      </c>
      <c r="AD818" s="431" t="str">
        <f>IF('Antal &amp; Längder (vikter)'!$C$98&lt;&gt;"",'Antal &amp; Längder (vikter)'!$C$98,"XX")</f>
        <v>XX</v>
      </c>
      <c r="AE818" s="418" t="str">
        <f>IF(AND('Antal &amp; Längder (vikter)'!J$100&lt;&gt;"",ISNUMBER($AH818)),'Antal &amp; Längder (vikter)'!J$100,"")</f>
        <v/>
      </c>
      <c r="AF818" s="425" t="str">
        <f t="shared" si="26"/>
        <v/>
      </c>
      <c r="AG818" s="426" t="str">
        <f t="shared" si="27"/>
        <v/>
      </c>
      <c r="AH818" s="410" t="str">
        <f>IF('Antal &amp; Längder (vikter)'!K$101="Längd (mm)",IF('Antal &amp; Längder (vikter)'!K107&lt;&gt;"",'Antal &amp; Längder (vikter)'!K107,"XX"),"XX")</f>
        <v>XX</v>
      </c>
      <c r="AI818" s="7">
        <v>-9</v>
      </c>
    </row>
    <row r="819" spans="25:35" x14ac:dyDescent="0.25">
      <c r="Y819" s="402" t="s">
        <v>2479</v>
      </c>
      <c r="Z819" s="402" t="s">
        <v>2478</v>
      </c>
      <c r="AB819" s="474" t="str">
        <f>IF(COUNT(AB813:AB818)&gt;0,MAX(AB813:AB818)+1,"")</f>
        <v/>
      </c>
      <c r="AC819" s="433" t="str">
        <f>IF(AND(AH819&lt;&gt;"",AG819&lt;&gt;"",AI819&gt;0,AH819&gt;0),MAX(AC$2:AC818)+1,"XX")</f>
        <v>XX</v>
      </c>
      <c r="AD819" s="431" t="str">
        <f>IF('Antal &amp; Längder (vikter)'!$C$98&lt;&gt;"",'Antal &amp; Längder (vikter)'!$C$98,"XX")</f>
        <v>XX</v>
      </c>
      <c r="AE819" s="418" t="str">
        <f>IF(AND('Antal &amp; Längder (vikter)'!J$100&lt;&gt;"",ISNUMBER($AH819)),'Antal &amp; Längder (vikter)'!J$100,"")</f>
        <v/>
      </c>
      <c r="AF819" s="425" t="str">
        <f t="shared" si="26"/>
        <v/>
      </c>
      <c r="AG819" s="426" t="str">
        <f t="shared" si="27"/>
        <v/>
      </c>
      <c r="AH819" s="410" t="str">
        <f>IF('Antal &amp; Längder (vikter)'!K$101="Längd (mm)",IF('Antal &amp; Längder (vikter)'!K108&lt;&gt;"",'Antal &amp; Längder (vikter)'!K108,"XX"),"XX")</f>
        <v>XX</v>
      </c>
      <c r="AI819" s="7">
        <v>-9</v>
      </c>
    </row>
    <row r="820" spans="25:35" x14ac:dyDescent="0.25">
      <c r="Y820" s="402" t="s">
        <v>1924</v>
      </c>
      <c r="Z820" s="402" t="s">
        <v>1923</v>
      </c>
      <c r="AB820" s="478" t="str">
        <f>IF(COUNT(AB813:AB819)&gt;0,MAX(AB813:AB819)+1,"")</f>
        <v/>
      </c>
      <c r="AC820" s="433" t="str">
        <f>IF(AND(AH820&lt;&gt;"",AG820&lt;&gt;"",AI820&gt;0,AH820&gt;0),MAX(AC$2:AC819)+1,"XX")</f>
        <v>XX</v>
      </c>
      <c r="AD820" s="431" t="str">
        <f>IF('Antal &amp; Längder (vikter)'!$C$98&lt;&gt;"",'Antal &amp; Längder (vikter)'!$C$98,"XX")</f>
        <v>XX</v>
      </c>
      <c r="AE820" s="418" t="str">
        <f>IF(AND('Antal &amp; Längder (vikter)'!J$100&lt;&gt;"",ISNUMBER($AH820)),'Antal &amp; Längder (vikter)'!J$100,"")</f>
        <v/>
      </c>
      <c r="AF820" s="425" t="str">
        <f t="shared" si="26"/>
        <v/>
      </c>
      <c r="AG820" s="426" t="str">
        <f t="shared" si="27"/>
        <v/>
      </c>
      <c r="AH820" s="410" t="str">
        <f>IF('Antal &amp; Längder (vikter)'!K$101="Längd (mm)",IF('Antal &amp; Längder (vikter)'!K109&lt;&gt;"",'Antal &amp; Längder (vikter)'!K109,"XX"),"XX")</f>
        <v>XX</v>
      </c>
      <c r="AI820" s="7">
        <v>-9</v>
      </c>
    </row>
    <row r="821" spans="25:35" x14ac:dyDescent="0.25">
      <c r="Y821" s="402" t="s">
        <v>1918</v>
      </c>
      <c r="Z821" s="402" t="s">
        <v>1917</v>
      </c>
      <c r="AB821" s="472" t="str">
        <f>IF(COUNT(AB813:AB820)&gt;0,MAX(AB813:AB820)+1,"")</f>
        <v/>
      </c>
      <c r="AC821" s="433" t="str">
        <f>IF(AND(AH821&lt;&gt;"",AG821&lt;&gt;"",AI821&gt;0,AH821&gt;0),MAX(AC$2:AC820)+1,"XX")</f>
        <v>XX</v>
      </c>
      <c r="AD821" s="431" t="str">
        <f>IF('Antal &amp; Längder (vikter)'!$C$98&lt;&gt;"",'Antal &amp; Längder (vikter)'!$C$98,"XX")</f>
        <v>XX</v>
      </c>
      <c r="AE821" s="418" t="str">
        <f>IF(AND('Antal &amp; Längder (vikter)'!J$100&lt;&gt;"",ISNUMBER($AH821)),'Antal &amp; Längder (vikter)'!J$100,"")</f>
        <v/>
      </c>
      <c r="AF821" s="425" t="str">
        <f t="shared" si="26"/>
        <v/>
      </c>
      <c r="AG821" s="426" t="str">
        <f t="shared" si="27"/>
        <v/>
      </c>
      <c r="AH821" s="410" t="str">
        <f>IF('Antal &amp; Längder (vikter)'!K$101="Längd (mm)",IF('Antal &amp; Längder (vikter)'!K110&lt;&gt;"",'Antal &amp; Längder (vikter)'!K110,"XX"),"XX")</f>
        <v>XX</v>
      </c>
      <c r="AI821" s="7">
        <v>-9</v>
      </c>
    </row>
    <row r="822" spans="25:35" x14ac:dyDescent="0.25">
      <c r="Y822" s="402" t="s">
        <v>1926</v>
      </c>
      <c r="Z822" s="402" t="s">
        <v>1925</v>
      </c>
      <c r="AB822" s="479" t="str">
        <f>IF(COUNT(AB813:AB821)&gt;0,MAX(AB813:AB821)+1,"")</f>
        <v/>
      </c>
      <c r="AC822" s="433" t="str">
        <f>IF(AND(AH822&lt;&gt;"",AG822&lt;&gt;"",AI822&gt;0,AH822&gt;0),MAX(AC$2:AC821)+1,"XX")</f>
        <v>XX</v>
      </c>
      <c r="AD822" s="431" t="str">
        <f>IF('Antal &amp; Längder (vikter)'!$C$98&lt;&gt;"",'Antal &amp; Längder (vikter)'!$C$98,"XX")</f>
        <v>XX</v>
      </c>
      <c r="AE822" s="418" t="str">
        <f>IF(AND('Antal &amp; Längder (vikter)'!J$100&lt;&gt;"",ISNUMBER($AH822)),'Antal &amp; Längder (vikter)'!J$100,"")</f>
        <v/>
      </c>
      <c r="AF822" s="425" t="str">
        <f t="shared" si="26"/>
        <v/>
      </c>
      <c r="AG822" s="426" t="str">
        <f t="shared" si="27"/>
        <v/>
      </c>
      <c r="AH822" s="410" t="str">
        <f>IF('Antal &amp; Längder (vikter)'!K$101="Längd (mm)",IF('Antal &amp; Längder (vikter)'!K111&lt;&gt;"",'Antal &amp; Längder (vikter)'!K111,"XX"),"XX")</f>
        <v>XX</v>
      </c>
      <c r="AI822" s="7">
        <v>-9</v>
      </c>
    </row>
    <row r="823" spans="25:35" x14ac:dyDescent="0.25">
      <c r="Y823" s="402" t="s">
        <v>1928</v>
      </c>
      <c r="Z823" s="402" t="s">
        <v>1927</v>
      </c>
      <c r="AB823" s="480" t="str">
        <f>IF(AND(ISNUMBER(AH823),AH823&gt;0),IF(MAX(AB$3:AB822)&gt;0,MAX(AB$3:AB822)+1,10+COUNTIF(F$38:F$49,"&gt;0")*10+1),"")</f>
        <v/>
      </c>
      <c r="AC823" s="433" t="str">
        <f>IF(AND(AH823&lt;&gt;"",AG823&lt;&gt;"",AI823&gt;0,AH823&gt;0),MAX(AC$2:AC822)+1,"XX")</f>
        <v>XX</v>
      </c>
      <c r="AD823" s="431" t="str">
        <f>IF('Antal &amp; Längder (vikter)'!$C$98&lt;&gt;"",'Antal &amp; Längder (vikter)'!$C$98,"XX")</f>
        <v>XX</v>
      </c>
      <c r="AE823" s="423" t="str">
        <f>IF(AND('Antal &amp; Längder (vikter)'!L$100&lt;&gt;"",ISNUMBER($AH823)),'Antal &amp; Längder (vikter)'!L$100,"")</f>
        <v/>
      </c>
      <c r="AF823" s="425" t="str">
        <f t="shared" si="26"/>
        <v/>
      </c>
      <c r="AG823" s="426" t="str">
        <f t="shared" si="27"/>
        <v/>
      </c>
      <c r="AH823" s="409" t="str">
        <f>IF('Antal &amp; Längder (vikter)'!L102&lt;&gt;"",'Antal &amp; Längder (vikter)'!L102,"XX")</f>
        <v>XX</v>
      </c>
      <c r="AI823" s="405">
        <f>IF('Antal &amp; Längder (vikter)'!M$101="Vikt (g)",IF('Antal &amp; Längder (vikter)'!M102&lt;&gt;"",'Antal &amp; Längder (vikter)'!M102,-9),-9)</f>
        <v>-9</v>
      </c>
    </row>
    <row r="824" spans="25:35" x14ac:dyDescent="0.25">
      <c r="Y824" s="402" t="s">
        <v>1930</v>
      </c>
      <c r="Z824" s="402" t="s">
        <v>1929</v>
      </c>
      <c r="AB824" s="476" t="str">
        <f>IF(COUNT(AB823:AB823)&gt;0,MAX(AB823:AB823)+1,"")</f>
        <v/>
      </c>
      <c r="AC824" s="433" t="str">
        <f>IF(AND(AH824&lt;&gt;"",AG824&lt;&gt;"",AI824&gt;0,AH824&gt;0),MAX(AC$2:AC823)+1,"XX")</f>
        <v>XX</v>
      </c>
      <c r="AD824" s="431" t="str">
        <f>IF('Antal &amp; Längder (vikter)'!$C$98&lt;&gt;"",'Antal &amp; Längder (vikter)'!$C$98,"XX")</f>
        <v>XX</v>
      </c>
      <c r="AE824" s="423" t="str">
        <f>IF(AND('Antal &amp; Längder (vikter)'!L$100&lt;&gt;"",ISNUMBER($AH824)),'Antal &amp; Längder (vikter)'!L$100,"")</f>
        <v/>
      </c>
      <c r="AF824" s="425" t="str">
        <f t="shared" si="26"/>
        <v/>
      </c>
      <c r="AG824" s="426" t="str">
        <f t="shared" si="27"/>
        <v/>
      </c>
      <c r="AH824" s="409" t="str">
        <f>IF('Antal &amp; Längder (vikter)'!L103&lt;&gt;"",'Antal &amp; Längder (vikter)'!L103,"XX")</f>
        <v>XX</v>
      </c>
      <c r="AI824" s="405">
        <f>IF('Antal &amp; Längder (vikter)'!M$101="Vikt (g)",IF('Antal &amp; Längder (vikter)'!M103&lt;&gt;"",'Antal &amp; Längder (vikter)'!M103,-9),-9)</f>
        <v>-9</v>
      </c>
    </row>
    <row r="825" spans="25:35" x14ac:dyDescent="0.25">
      <c r="Y825" s="402" t="s">
        <v>1932</v>
      </c>
      <c r="Z825" s="402" t="s">
        <v>1931</v>
      </c>
      <c r="AB825" s="477" t="str">
        <f>IF(COUNT(AB823:AB824)&gt;0,MAX(AB823:AB824)+1,"")</f>
        <v/>
      </c>
      <c r="AC825" s="433" t="str">
        <f>IF(AND(AH825&lt;&gt;"",AG825&lt;&gt;"",AI825&gt;0,AH825&gt;0),MAX(AC$2:AC824)+1,"XX")</f>
        <v>XX</v>
      </c>
      <c r="AD825" s="431" t="str">
        <f>IF('Antal &amp; Längder (vikter)'!$C$98&lt;&gt;"",'Antal &amp; Längder (vikter)'!$C$98,"XX")</f>
        <v>XX</v>
      </c>
      <c r="AE825" s="423" t="str">
        <f>IF(AND('Antal &amp; Längder (vikter)'!L$100&lt;&gt;"",ISNUMBER($AH825)),'Antal &amp; Längder (vikter)'!L$100,"")</f>
        <v/>
      </c>
      <c r="AF825" s="425" t="str">
        <f t="shared" si="26"/>
        <v/>
      </c>
      <c r="AG825" s="426" t="str">
        <f t="shared" si="27"/>
        <v/>
      </c>
      <c r="AH825" s="409" t="str">
        <f>IF('Antal &amp; Längder (vikter)'!L104&lt;&gt;"",'Antal &amp; Längder (vikter)'!L104,"XX")</f>
        <v>XX</v>
      </c>
      <c r="AI825" s="405">
        <f>IF('Antal &amp; Längder (vikter)'!M$101="Vikt (g)",IF('Antal &amp; Längder (vikter)'!M104&lt;&gt;"",'Antal &amp; Längder (vikter)'!M104,-9),-9)</f>
        <v>-9</v>
      </c>
    </row>
    <row r="826" spans="25:35" x14ac:dyDescent="0.25">
      <c r="Y826" s="402" t="s">
        <v>1934</v>
      </c>
      <c r="Z826" s="402" t="s">
        <v>1933</v>
      </c>
      <c r="AB826" s="434" t="str">
        <f>IF(COUNT(AB823:AB825)&gt;0,MAX(AB823:AB825)+1,"")</f>
        <v/>
      </c>
      <c r="AC826" s="433" t="str">
        <f>IF(AND(AH826&lt;&gt;"",AG826&lt;&gt;"",AI826&gt;0,AH826&gt;0),MAX(AC$2:AC825)+1,"XX")</f>
        <v>XX</v>
      </c>
      <c r="AD826" s="431" t="str">
        <f>IF('Antal &amp; Längder (vikter)'!$C$98&lt;&gt;"",'Antal &amp; Längder (vikter)'!$C$98,"XX")</f>
        <v>XX</v>
      </c>
      <c r="AE826" s="423" t="str">
        <f>IF(AND('Antal &amp; Längder (vikter)'!L$100&lt;&gt;"",ISNUMBER($AH826)),'Antal &amp; Längder (vikter)'!L$100,"")</f>
        <v/>
      </c>
      <c r="AF826" s="425" t="str">
        <f t="shared" si="26"/>
        <v/>
      </c>
      <c r="AG826" s="426" t="str">
        <f t="shared" si="27"/>
        <v/>
      </c>
      <c r="AH826" s="409" t="str">
        <f>IF('Antal &amp; Längder (vikter)'!L105&lt;&gt;"",'Antal &amp; Längder (vikter)'!L105,"XX")</f>
        <v>XX</v>
      </c>
      <c r="AI826" s="405">
        <f>IF('Antal &amp; Längder (vikter)'!M$101="Vikt (g)",IF('Antal &amp; Längder (vikter)'!M105&lt;&gt;"",'Antal &amp; Längder (vikter)'!M105,-9),-9)</f>
        <v>-9</v>
      </c>
    </row>
    <row r="827" spans="25:35" x14ac:dyDescent="0.25">
      <c r="Y827" s="402" t="s">
        <v>1936</v>
      </c>
      <c r="Z827" s="402" t="s">
        <v>1935</v>
      </c>
      <c r="AB827" s="475" t="str">
        <f>IF(COUNT(AB823:AB826)&gt;0,MAX(AB823:AB826)+1,"")</f>
        <v/>
      </c>
      <c r="AC827" s="433" t="str">
        <f>IF(AND(AH827&lt;&gt;"",AG827&lt;&gt;"",AI827&gt;0,AH827&gt;0),MAX(AC$2:AC826)+1,"XX")</f>
        <v>XX</v>
      </c>
      <c r="AD827" s="431" t="str">
        <f>IF('Antal &amp; Längder (vikter)'!$C$98&lt;&gt;"",'Antal &amp; Längder (vikter)'!$C$98,"XX")</f>
        <v>XX</v>
      </c>
      <c r="AE827" s="423" t="str">
        <f>IF(AND('Antal &amp; Längder (vikter)'!L$100&lt;&gt;"",ISNUMBER($AH827)),'Antal &amp; Längder (vikter)'!L$100,"")</f>
        <v/>
      </c>
      <c r="AF827" s="425" t="str">
        <f t="shared" si="26"/>
        <v/>
      </c>
      <c r="AG827" s="426" t="str">
        <f t="shared" si="27"/>
        <v/>
      </c>
      <c r="AH827" s="409" t="str">
        <f>IF('Antal &amp; Längder (vikter)'!L106&lt;&gt;"",'Antal &amp; Längder (vikter)'!L106,"XX")</f>
        <v>XX</v>
      </c>
      <c r="AI827" s="405">
        <f>IF('Antal &amp; Längder (vikter)'!M$101="Vikt (g)",IF('Antal &amp; Längder (vikter)'!M106&lt;&gt;"",'Antal &amp; Längder (vikter)'!M106,-9),-9)</f>
        <v>-9</v>
      </c>
    </row>
    <row r="828" spans="25:35" x14ac:dyDescent="0.25">
      <c r="Y828" s="402" t="s">
        <v>1938</v>
      </c>
      <c r="Z828" s="402" t="s">
        <v>1937</v>
      </c>
      <c r="AB828" s="471" t="str">
        <f>IF(COUNT(AB823:AB827)&gt;0,MAX(AB823:AB827)+1,"")</f>
        <v/>
      </c>
      <c r="AC828" s="433" t="str">
        <f>IF(AND(AH828&lt;&gt;"",AG828&lt;&gt;"",AI828&gt;0,AH828&gt;0),MAX(AC$2:AC827)+1,"XX")</f>
        <v>XX</v>
      </c>
      <c r="AD828" s="431" t="str">
        <f>IF('Antal &amp; Längder (vikter)'!$C$98&lt;&gt;"",'Antal &amp; Längder (vikter)'!$C$98,"XX")</f>
        <v>XX</v>
      </c>
      <c r="AE828" s="423" t="str">
        <f>IF(AND('Antal &amp; Längder (vikter)'!L$100&lt;&gt;"",ISNUMBER($AH828)),'Antal &amp; Längder (vikter)'!L$100,"")</f>
        <v/>
      </c>
      <c r="AF828" s="425" t="str">
        <f t="shared" si="26"/>
        <v/>
      </c>
      <c r="AG828" s="426" t="str">
        <f t="shared" si="27"/>
        <v/>
      </c>
      <c r="AH828" s="409" t="str">
        <f>IF('Antal &amp; Längder (vikter)'!L107&lt;&gt;"",'Antal &amp; Längder (vikter)'!L107,"XX")</f>
        <v>XX</v>
      </c>
      <c r="AI828" s="405">
        <f>IF('Antal &amp; Längder (vikter)'!M$101="Vikt (g)",IF('Antal &amp; Längder (vikter)'!M107&lt;&gt;"",'Antal &amp; Längder (vikter)'!M107,-9),-9)</f>
        <v>-9</v>
      </c>
    </row>
    <row r="829" spans="25:35" x14ac:dyDescent="0.25">
      <c r="Y829" s="402" t="s">
        <v>1939</v>
      </c>
      <c r="Z829" s="402" t="s">
        <v>2404</v>
      </c>
      <c r="AB829" s="474" t="str">
        <f>IF(COUNT(AB823:AB828)&gt;0,MAX(AB823:AB828)+1,"")</f>
        <v/>
      </c>
      <c r="AC829" s="433" t="str">
        <f>IF(AND(AH829&lt;&gt;"",AG829&lt;&gt;"",AI829&gt;0,AH829&gt;0),MAX(AC$2:AC828)+1,"XX")</f>
        <v>XX</v>
      </c>
      <c r="AD829" s="431" t="str">
        <f>IF('Antal &amp; Längder (vikter)'!$C$98&lt;&gt;"",'Antal &amp; Längder (vikter)'!$C$98,"XX")</f>
        <v>XX</v>
      </c>
      <c r="AE829" s="423" t="str">
        <f>IF(AND('Antal &amp; Längder (vikter)'!L$100&lt;&gt;"",ISNUMBER($AH829)),'Antal &amp; Längder (vikter)'!L$100,"")</f>
        <v/>
      </c>
      <c r="AF829" s="425" t="str">
        <f t="shared" si="26"/>
        <v/>
      </c>
      <c r="AG829" s="426" t="str">
        <f t="shared" si="27"/>
        <v/>
      </c>
      <c r="AH829" s="409" t="str">
        <f>IF('Antal &amp; Längder (vikter)'!L108&lt;&gt;"",'Antal &amp; Längder (vikter)'!L108,"XX")</f>
        <v>XX</v>
      </c>
      <c r="AI829" s="405">
        <f>IF('Antal &amp; Längder (vikter)'!M$101="Vikt (g)",IF('Antal &amp; Längder (vikter)'!M108&lt;&gt;"",'Antal &amp; Längder (vikter)'!M108,-9),-9)</f>
        <v>-9</v>
      </c>
    </row>
    <row r="830" spans="25:35" x14ac:dyDescent="0.25">
      <c r="Y830" s="402" t="s">
        <v>2424</v>
      </c>
      <c r="Z830" s="402" t="s">
        <v>2423</v>
      </c>
      <c r="AB830" s="478" t="str">
        <f>IF(COUNT(AB823:AB829)&gt;0,MAX(AB823:AB829)+1,"")</f>
        <v/>
      </c>
      <c r="AC830" s="433" t="str">
        <f>IF(AND(AH830&lt;&gt;"",AG830&lt;&gt;"",AI830&gt;0,AH830&gt;0),MAX(AC$2:AC829)+1,"XX")</f>
        <v>XX</v>
      </c>
      <c r="AD830" s="431" t="str">
        <f>IF('Antal &amp; Längder (vikter)'!$C$98&lt;&gt;"",'Antal &amp; Längder (vikter)'!$C$98,"XX")</f>
        <v>XX</v>
      </c>
      <c r="AE830" s="423" t="str">
        <f>IF(AND('Antal &amp; Längder (vikter)'!L$100&lt;&gt;"",ISNUMBER($AH830)),'Antal &amp; Längder (vikter)'!L$100,"")</f>
        <v/>
      </c>
      <c r="AF830" s="425" t="str">
        <f t="shared" si="26"/>
        <v/>
      </c>
      <c r="AG830" s="426" t="str">
        <f t="shared" si="27"/>
        <v/>
      </c>
      <c r="AH830" s="409" t="str">
        <f>IF('Antal &amp; Längder (vikter)'!L109&lt;&gt;"",'Antal &amp; Längder (vikter)'!L109,"XX")</f>
        <v>XX</v>
      </c>
      <c r="AI830" s="405">
        <f>IF('Antal &amp; Längder (vikter)'!M$101="Vikt (g)",IF('Antal &amp; Längder (vikter)'!M109&lt;&gt;"",'Antal &amp; Längder (vikter)'!M109,-9),-9)</f>
        <v>-9</v>
      </c>
    </row>
    <row r="831" spans="25:35" x14ac:dyDescent="0.25">
      <c r="Y831" s="402" t="s">
        <v>1941</v>
      </c>
      <c r="Z831" s="402" t="s">
        <v>1940</v>
      </c>
      <c r="AB831" s="472" t="str">
        <f>IF(COUNT(AB823:AB830)&gt;0,MAX(AB823:AB830)+1,"")</f>
        <v/>
      </c>
      <c r="AC831" s="433" t="str">
        <f>IF(AND(AH831&lt;&gt;"",AG831&lt;&gt;"",AI831&gt;0,AH831&gt;0),MAX(AC$2:AC830)+1,"XX")</f>
        <v>XX</v>
      </c>
      <c r="AD831" s="431" t="str">
        <f>IF('Antal &amp; Längder (vikter)'!$C$98&lt;&gt;"",'Antal &amp; Längder (vikter)'!$C$98,"XX")</f>
        <v>XX</v>
      </c>
      <c r="AE831" s="423" t="str">
        <f>IF(AND('Antal &amp; Längder (vikter)'!L$100&lt;&gt;"",ISNUMBER($AH831)),'Antal &amp; Längder (vikter)'!L$100,"")</f>
        <v/>
      </c>
      <c r="AF831" s="425" t="str">
        <f t="shared" si="26"/>
        <v/>
      </c>
      <c r="AG831" s="426" t="str">
        <f t="shared" si="27"/>
        <v/>
      </c>
      <c r="AH831" s="409" t="str">
        <f>IF('Antal &amp; Längder (vikter)'!L110&lt;&gt;"",'Antal &amp; Längder (vikter)'!L110,"XX")</f>
        <v>XX</v>
      </c>
      <c r="AI831" s="405">
        <f>IF('Antal &amp; Längder (vikter)'!M$101="Vikt (g)",IF('Antal &amp; Längder (vikter)'!M110&lt;&gt;"",'Antal &amp; Längder (vikter)'!M110,-9),-9)</f>
        <v>-9</v>
      </c>
    </row>
    <row r="832" spans="25:35" x14ac:dyDescent="0.25">
      <c r="Y832" s="402" t="s">
        <v>2222</v>
      </c>
      <c r="Z832" s="402" t="s">
        <v>2221</v>
      </c>
      <c r="AB832" s="479" t="str">
        <f>IF(COUNT(AB823:AB831)&gt;0,MAX(AB823:AB831)+1,"")</f>
        <v/>
      </c>
      <c r="AC832" s="433" t="str">
        <f>IF(AND(AH832&lt;&gt;"",AG832&lt;&gt;"",AI832&gt;0,AH832&gt;0),MAX(AC$2:AC831)+1,"XX")</f>
        <v>XX</v>
      </c>
      <c r="AD832" s="431" t="str">
        <f>IF('Antal &amp; Längder (vikter)'!$C$98&lt;&gt;"",'Antal &amp; Längder (vikter)'!$C$98,"XX")</f>
        <v>XX</v>
      </c>
      <c r="AE832" s="423" t="str">
        <f>IF(AND('Antal &amp; Längder (vikter)'!L$100&lt;&gt;"",ISNUMBER($AH832)),'Antal &amp; Längder (vikter)'!L$100,"")</f>
        <v/>
      </c>
      <c r="AF832" s="425" t="str">
        <f t="shared" si="26"/>
        <v/>
      </c>
      <c r="AG832" s="426" t="str">
        <f t="shared" si="27"/>
        <v/>
      </c>
      <c r="AH832" s="409" t="str">
        <f>IF('Antal &amp; Längder (vikter)'!L111&lt;&gt;"",'Antal &amp; Längder (vikter)'!L111,"XX")</f>
        <v>XX</v>
      </c>
      <c r="AI832" s="405">
        <f>IF('Antal &amp; Längder (vikter)'!M$101="Vikt (g)",IF('Antal &amp; Längder (vikter)'!M111&lt;&gt;"",'Antal &amp; Längder (vikter)'!M111,-9),-9)</f>
        <v>-9</v>
      </c>
    </row>
    <row r="833" spans="25:35" x14ac:dyDescent="0.25">
      <c r="Y833" s="402" t="s">
        <v>1942</v>
      </c>
      <c r="Z833" s="402" t="s">
        <v>2223</v>
      </c>
      <c r="AB833" s="480" t="str">
        <f>IF(AND(ISNUMBER(AH833),AH833&gt;0),IF(MAX(AB$3:AB832)&gt;0,MAX(AB$3:AB832)+1,10+COUNTIF(F$38:F$49,"&gt;0")*10+1),"")</f>
        <v/>
      </c>
      <c r="AC833" s="433" t="str">
        <f>IF(AND(AH833&lt;&gt;"",AG833&lt;&gt;"",AI833&gt;0,AH833&gt;0),MAX(AC$2:AC832)+1,"XX")</f>
        <v>XX</v>
      </c>
      <c r="AD833" s="431" t="str">
        <f>IF('Antal &amp; Längder (vikter)'!$C$98&lt;&gt;"",'Antal &amp; Längder (vikter)'!$C$98,"XX")</f>
        <v>XX</v>
      </c>
      <c r="AE833" s="423" t="str">
        <f>IF(AND('Antal &amp; Längder (vikter)'!L$100&lt;&gt;"",ISNUMBER($AH833)),'Antal &amp; Längder (vikter)'!L$100,"")</f>
        <v/>
      </c>
      <c r="AF833" s="425" t="str">
        <f t="shared" si="26"/>
        <v/>
      </c>
      <c r="AG833" s="426" t="str">
        <f t="shared" si="27"/>
        <v/>
      </c>
      <c r="AH833" s="410" t="str">
        <f>IF('Antal &amp; Längder (vikter)'!M$101="Längd (mm)",IF('Antal &amp; Längder (vikter)'!M102&lt;&gt;"",'Antal &amp; Längder (vikter)'!M102,"XX"),"XX")</f>
        <v>XX</v>
      </c>
      <c r="AI833" s="7">
        <v>-9</v>
      </c>
    </row>
    <row r="834" spans="25:35" x14ac:dyDescent="0.25">
      <c r="Y834" s="402" t="s">
        <v>1944</v>
      </c>
      <c r="Z834" s="402" t="s">
        <v>1943</v>
      </c>
      <c r="AB834" s="476" t="str">
        <f>IF(COUNT(AB833:AB833)&gt;0,MAX(AB833:AB833)+1,"")</f>
        <v/>
      </c>
      <c r="AC834" s="433" t="str">
        <f>IF(AND(AH834&lt;&gt;"",AG834&lt;&gt;"",AI834&gt;0,AH834&gt;0),MAX(AC$2:AC833)+1,"XX")</f>
        <v>XX</v>
      </c>
      <c r="AD834" s="431" t="str">
        <f>IF('Antal &amp; Längder (vikter)'!$C$98&lt;&gt;"",'Antal &amp; Längder (vikter)'!$C$98,"XX")</f>
        <v>XX</v>
      </c>
      <c r="AE834" s="423" t="str">
        <f>IF(AND('Antal &amp; Längder (vikter)'!L$100&lt;&gt;"",ISNUMBER($AH834)),'Antal &amp; Längder (vikter)'!L$100,"")</f>
        <v/>
      </c>
      <c r="AF834" s="425" t="str">
        <f t="shared" si="26"/>
        <v/>
      </c>
      <c r="AG834" s="426" t="str">
        <f t="shared" si="27"/>
        <v/>
      </c>
      <c r="AH834" s="410" t="str">
        <f>IF('Antal &amp; Längder (vikter)'!M$101="Längd (mm)",IF('Antal &amp; Längder (vikter)'!M103&lt;&gt;"",'Antal &amp; Längder (vikter)'!M103,"XX"),"XX")</f>
        <v>XX</v>
      </c>
      <c r="AI834" s="7">
        <v>-9</v>
      </c>
    </row>
    <row r="835" spans="25:35" x14ac:dyDescent="0.25">
      <c r="Y835" s="402" t="s">
        <v>1946</v>
      </c>
      <c r="Z835" s="402" t="s">
        <v>1945</v>
      </c>
      <c r="AB835" s="477" t="str">
        <f>IF(COUNT(AB833:AB834)&gt;0,MAX(AB833:AB834)+1,"")</f>
        <v/>
      </c>
      <c r="AC835" s="433" t="str">
        <f>IF(AND(AH835&lt;&gt;"",AG835&lt;&gt;"",AI835&gt;0,AH835&gt;0),MAX(AC$2:AC834)+1,"XX")</f>
        <v>XX</v>
      </c>
      <c r="AD835" s="431" t="str">
        <f>IF('Antal &amp; Längder (vikter)'!$C$98&lt;&gt;"",'Antal &amp; Längder (vikter)'!$C$98,"XX")</f>
        <v>XX</v>
      </c>
      <c r="AE835" s="423" t="str">
        <f>IF(AND('Antal &amp; Längder (vikter)'!L$100&lt;&gt;"",ISNUMBER($AH835)),'Antal &amp; Längder (vikter)'!L$100,"")</f>
        <v/>
      </c>
      <c r="AF835" s="425" t="str">
        <f t="shared" ref="AF835:AF898" si="28">IF(AND(ISNUMBER(AH835),AE835&lt;&gt;""),VLOOKUP(AE835,$N$2:$O$60,2,FALSE),"")</f>
        <v/>
      </c>
      <c r="AG835" s="426" t="str">
        <f t="shared" ref="AG835:AG898" si="29">IF(AF835&lt;&gt;"",VLOOKUP(AF835,O$2:U$60,7,FALSE),"")</f>
        <v/>
      </c>
      <c r="AH835" s="410" t="str">
        <f>IF('Antal &amp; Längder (vikter)'!M$101="Längd (mm)",IF('Antal &amp; Längder (vikter)'!M104&lt;&gt;"",'Antal &amp; Längder (vikter)'!M104,"XX"),"XX")</f>
        <v>XX</v>
      </c>
      <c r="AI835" s="7">
        <v>-9</v>
      </c>
    </row>
    <row r="836" spans="25:35" x14ac:dyDescent="0.25">
      <c r="Y836" s="402" t="s">
        <v>2225</v>
      </c>
      <c r="Z836" s="402" t="s">
        <v>2224</v>
      </c>
      <c r="AB836" s="434" t="str">
        <f>IF(COUNT(AB833:AB835)&gt;0,MAX(AB833:AB835)+1,"")</f>
        <v/>
      </c>
      <c r="AC836" s="433" t="str">
        <f>IF(AND(AH836&lt;&gt;"",AG836&lt;&gt;"",AI836&gt;0,AH836&gt;0),MAX(AC$2:AC835)+1,"XX")</f>
        <v>XX</v>
      </c>
      <c r="AD836" s="431" t="str">
        <f>IF('Antal &amp; Längder (vikter)'!$C$98&lt;&gt;"",'Antal &amp; Längder (vikter)'!$C$98,"XX")</f>
        <v>XX</v>
      </c>
      <c r="AE836" s="423" t="str">
        <f>IF(AND('Antal &amp; Längder (vikter)'!L$100&lt;&gt;"",ISNUMBER($AH836)),'Antal &amp; Längder (vikter)'!L$100,"")</f>
        <v/>
      </c>
      <c r="AF836" s="425" t="str">
        <f t="shared" si="28"/>
        <v/>
      </c>
      <c r="AG836" s="426" t="str">
        <f t="shared" si="29"/>
        <v/>
      </c>
      <c r="AH836" s="410" t="str">
        <f>IF('Antal &amp; Längder (vikter)'!M$101="Längd (mm)",IF('Antal &amp; Längder (vikter)'!M105&lt;&gt;"",'Antal &amp; Längder (vikter)'!M105,"XX"),"XX")</f>
        <v>XX</v>
      </c>
      <c r="AI836" s="7">
        <v>-9</v>
      </c>
    </row>
    <row r="837" spans="25:35" x14ac:dyDescent="0.25">
      <c r="Y837" s="402" t="s">
        <v>1948</v>
      </c>
      <c r="Z837" s="402" t="s">
        <v>1947</v>
      </c>
      <c r="AB837" s="475" t="str">
        <f>IF(COUNT(AB833:AB836)&gt;0,MAX(AB833:AB836)+1,"")</f>
        <v/>
      </c>
      <c r="AC837" s="433" t="str">
        <f>IF(AND(AH837&lt;&gt;"",AG837&lt;&gt;"",AI837&gt;0,AH837&gt;0),MAX(AC$2:AC836)+1,"XX")</f>
        <v>XX</v>
      </c>
      <c r="AD837" s="431" t="str">
        <f>IF('Antal &amp; Längder (vikter)'!$C$98&lt;&gt;"",'Antal &amp; Längder (vikter)'!$C$98,"XX")</f>
        <v>XX</v>
      </c>
      <c r="AE837" s="423" t="str">
        <f>IF(AND('Antal &amp; Längder (vikter)'!L$100&lt;&gt;"",ISNUMBER($AH837)),'Antal &amp; Längder (vikter)'!L$100,"")</f>
        <v/>
      </c>
      <c r="AF837" s="425" t="str">
        <f t="shared" si="28"/>
        <v/>
      </c>
      <c r="AG837" s="426" t="str">
        <f t="shared" si="29"/>
        <v/>
      </c>
      <c r="AH837" s="410" t="str">
        <f>IF('Antal &amp; Längder (vikter)'!M$101="Längd (mm)",IF('Antal &amp; Längder (vikter)'!M106&lt;&gt;"",'Antal &amp; Längder (vikter)'!M106,"XX"),"XX")</f>
        <v>XX</v>
      </c>
      <c r="AI837" s="7">
        <v>-9</v>
      </c>
    </row>
    <row r="838" spans="25:35" x14ac:dyDescent="0.25">
      <c r="Y838" s="402" t="s">
        <v>2227</v>
      </c>
      <c r="Z838" s="402" t="s">
        <v>2226</v>
      </c>
      <c r="AB838" s="471" t="str">
        <f>IF(COUNT(AB833:AB837)&gt;0,MAX(AB833:AB837)+1,"")</f>
        <v/>
      </c>
      <c r="AC838" s="433" t="str">
        <f>IF(AND(AH838&lt;&gt;"",AG838&lt;&gt;"",AI838&gt;0,AH838&gt;0),MAX(AC$2:AC837)+1,"XX")</f>
        <v>XX</v>
      </c>
      <c r="AD838" s="431" t="str">
        <f>IF('Antal &amp; Längder (vikter)'!$C$98&lt;&gt;"",'Antal &amp; Längder (vikter)'!$C$98,"XX")</f>
        <v>XX</v>
      </c>
      <c r="AE838" s="423" t="str">
        <f>IF(AND('Antal &amp; Längder (vikter)'!L$100&lt;&gt;"",ISNUMBER($AH838)),'Antal &amp; Längder (vikter)'!L$100,"")</f>
        <v/>
      </c>
      <c r="AF838" s="425" t="str">
        <f t="shared" si="28"/>
        <v/>
      </c>
      <c r="AG838" s="426" t="str">
        <f t="shared" si="29"/>
        <v/>
      </c>
      <c r="AH838" s="410" t="str">
        <f>IF('Antal &amp; Längder (vikter)'!M$101="Längd (mm)",IF('Antal &amp; Längder (vikter)'!M107&lt;&gt;"",'Antal &amp; Längder (vikter)'!M107,"XX"),"XX")</f>
        <v>XX</v>
      </c>
      <c r="AI838" s="7">
        <v>-9</v>
      </c>
    </row>
    <row r="839" spans="25:35" x14ac:dyDescent="0.25">
      <c r="Y839" s="402" t="s">
        <v>1950</v>
      </c>
      <c r="Z839" s="402" t="s">
        <v>1949</v>
      </c>
      <c r="AB839" s="474" t="str">
        <f>IF(COUNT(AB833:AB838)&gt;0,MAX(AB833:AB838)+1,"")</f>
        <v/>
      </c>
      <c r="AC839" s="433" t="str">
        <f>IF(AND(AH839&lt;&gt;"",AG839&lt;&gt;"",AI839&gt;0,AH839&gt;0),MAX(AC$2:AC838)+1,"XX")</f>
        <v>XX</v>
      </c>
      <c r="AD839" s="431" t="str">
        <f>IF('Antal &amp; Längder (vikter)'!$C$98&lt;&gt;"",'Antal &amp; Längder (vikter)'!$C$98,"XX")</f>
        <v>XX</v>
      </c>
      <c r="AE839" s="423" t="str">
        <f>IF(AND('Antal &amp; Längder (vikter)'!L$100&lt;&gt;"",ISNUMBER($AH839)),'Antal &amp; Längder (vikter)'!L$100,"")</f>
        <v/>
      </c>
      <c r="AF839" s="425" t="str">
        <f t="shared" si="28"/>
        <v/>
      </c>
      <c r="AG839" s="426" t="str">
        <f t="shared" si="29"/>
        <v/>
      </c>
      <c r="AH839" s="410" t="str">
        <f>IF('Antal &amp; Längder (vikter)'!M$101="Längd (mm)",IF('Antal &amp; Längder (vikter)'!M108&lt;&gt;"",'Antal &amp; Längder (vikter)'!M108,"XX"),"XX")</f>
        <v>XX</v>
      </c>
      <c r="AI839" s="7">
        <v>-9</v>
      </c>
    </row>
    <row r="840" spans="25:35" x14ac:dyDescent="0.25">
      <c r="Y840" s="402" t="s">
        <v>2229</v>
      </c>
      <c r="Z840" s="402" t="s">
        <v>2228</v>
      </c>
      <c r="AB840" s="478" t="str">
        <f>IF(COUNT(AB833:AB839)&gt;0,MAX(AB833:AB839)+1,"")</f>
        <v/>
      </c>
      <c r="AC840" s="433" t="str">
        <f>IF(AND(AH840&lt;&gt;"",AG840&lt;&gt;"",AI840&gt;0,AH840&gt;0),MAX(AC$2:AC839)+1,"XX")</f>
        <v>XX</v>
      </c>
      <c r="AD840" s="431" t="str">
        <f>IF('Antal &amp; Längder (vikter)'!$C$98&lt;&gt;"",'Antal &amp; Längder (vikter)'!$C$98,"XX")</f>
        <v>XX</v>
      </c>
      <c r="AE840" s="423" t="str">
        <f>IF(AND('Antal &amp; Längder (vikter)'!L$100&lt;&gt;"",ISNUMBER($AH840)),'Antal &amp; Längder (vikter)'!L$100,"")</f>
        <v/>
      </c>
      <c r="AF840" s="425" t="str">
        <f t="shared" si="28"/>
        <v/>
      </c>
      <c r="AG840" s="426" t="str">
        <f t="shared" si="29"/>
        <v/>
      </c>
      <c r="AH840" s="410" t="str">
        <f>IF('Antal &amp; Längder (vikter)'!M$101="Längd (mm)",IF('Antal &amp; Längder (vikter)'!M109&lt;&gt;"",'Antal &amp; Längder (vikter)'!M109,"XX"),"XX")</f>
        <v>XX</v>
      </c>
      <c r="AI840" s="7">
        <v>-9</v>
      </c>
    </row>
    <row r="841" spans="25:35" x14ac:dyDescent="0.25">
      <c r="Y841" s="402" t="s">
        <v>1953</v>
      </c>
      <c r="Z841" s="402" t="s">
        <v>2490</v>
      </c>
      <c r="AB841" s="472" t="str">
        <f>IF(COUNT(AB833:AB840)&gt;0,MAX(AB833:AB840)+1,"")</f>
        <v/>
      </c>
      <c r="AC841" s="433" t="str">
        <f>IF(AND(AH841&lt;&gt;"",AG841&lt;&gt;"",AI841&gt;0,AH841&gt;0),MAX(AC$2:AC840)+1,"XX")</f>
        <v>XX</v>
      </c>
      <c r="AD841" s="431" t="str">
        <f>IF('Antal &amp; Längder (vikter)'!$C$98&lt;&gt;"",'Antal &amp; Längder (vikter)'!$C$98,"XX")</f>
        <v>XX</v>
      </c>
      <c r="AE841" s="423" t="str">
        <f>IF(AND('Antal &amp; Längder (vikter)'!L$100&lt;&gt;"",ISNUMBER($AH841)),'Antal &amp; Längder (vikter)'!L$100,"")</f>
        <v/>
      </c>
      <c r="AF841" s="425" t="str">
        <f t="shared" si="28"/>
        <v/>
      </c>
      <c r="AG841" s="426" t="str">
        <f t="shared" si="29"/>
        <v/>
      </c>
      <c r="AH841" s="410" t="str">
        <f>IF('Antal &amp; Längder (vikter)'!M$101="Längd (mm)",IF('Antal &amp; Längder (vikter)'!M110&lt;&gt;"",'Antal &amp; Längder (vikter)'!M110,"XX"),"XX")</f>
        <v>XX</v>
      </c>
      <c r="AI841" s="7">
        <v>-9</v>
      </c>
    </row>
    <row r="842" spans="25:35" x14ac:dyDescent="0.25">
      <c r="Y842" s="402" t="s">
        <v>1955</v>
      </c>
      <c r="Z842" s="402" t="s">
        <v>1954</v>
      </c>
      <c r="AB842" s="479" t="str">
        <f>IF(COUNT(AB833:AB841)&gt;0,MAX(AB833:AB841)+1,"")</f>
        <v/>
      </c>
      <c r="AC842" s="433" t="str">
        <f>IF(AND(AH842&lt;&gt;"",AG842&lt;&gt;"",AI842&gt;0,AH842&gt;0),MAX(AC$2:AC841)+1,"XX")</f>
        <v>XX</v>
      </c>
      <c r="AD842" s="431" t="str">
        <f>IF('Antal &amp; Längder (vikter)'!$C$98&lt;&gt;"",'Antal &amp; Längder (vikter)'!$C$98,"XX")</f>
        <v>XX</v>
      </c>
      <c r="AE842" s="423" t="str">
        <f>IF(AND('Antal &amp; Längder (vikter)'!L$100&lt;&gt;"",ISNUMBER($AH842)),'Antal &amp; Längder (vikter)'!L$100,"")</f>
        <v/>
      </c>
      <c r="AF842" s="425" t="str">
        <f t="shared" si="28"/>
        <v/>
      </c>
      <c r="AG842" s="426" t="str">
        <f t="shared" si="29"/>
        <v/>
      </c>
      <c r="AH842" s="410" t="str">
        <f>IF('Antal &amp; Längder (vikter)'!M$101="Längd (mm)",IF('Antal &amp; Längder (vikter)'!M111&lt;&gt;"",'Antal &amp; Längder (vikter)'!M111,"XX"),"XX")</f>
        <v>XX</v>
      </c>
      <c r="AI842" s="7">
        <v>-9</v>
      </c>
    </row>
    <row r="843" spans="25:35" x14ac:dyDescent="0.25">
      <c r="Y843" s="402" t="s">
        <v>1957</v>
      </c>
      <c r="Z843" s="402" t="s">
        <v>1956</v>
      </c>
      <c r="AB843" s="480" t="str">
        <f>IF(AND(ISNUMBER(AH843),AH843&gt;0),IF(MAX(AB$3:AB842)&gt;0,MAX(AB$3:AB842)+1,10+COUNTIF(F$38:F$49,"&gt;0")*10+1),"")</f>
        <v/>
      </c>
      <c r="AC843" s="433" t="str">
        <f>IF(AND(AH843&lt;&gt;"",AG843&lt;&gt;"",AI843&gt;0,AH843&gt;0),MAX(AC$2:AC842)+1,"XX")</f>
        <v>XX</v>
      </c>
      <c r="AD843" s="429" t="str">
        <f>IF('Antal &amp; Längder (vikter)'!$C$113&lt;&gt;"",'Antal &amp; Längder (vikter)'!$C$113,"XX")</f>
        <v>XX</v>
      </c>
      <c r="AE843" s="421" t="str">
        <f>IF(AND('Antal &amp; Längder (vikter)'!B$115&lt;&gt;"",ISNUMBER($AH843)),'Antal &amp; Längder (vikter)'!B$115,"")</f>
        <v/>
      </c>
      <c r="AF843" s="425" t="str">
        <f t="shared" si="28"/>
        <v/>
      </c>
      <c r="AG843" s="426" t="str">
        <f t="shared" si="29"/>
        <v/>
      </c>
      <c r="AH843" s="407" t="str">
        <f>IF('Antal &amp; Längder (vikter)'!B117&lt;&gt;"",'Antal &amp; Längder (vikter)'!B117,"XX")</f>
        <v>XX</v>
      </c>
      <c r="AI843" s="404">
        <f>IF('Antal &amp; Längder (vikter)'!C$116="Vikt (g)",IF('Antal &amp; Längder (vikter)'!C117&lt;&gt;"",'Antal &amp; Längder (vikter)'!C117,-9),-9)</f>
        <v>-9</v>
      </c>
    </row>
    <row r="844" spans="25:35" x14ac:dyDescent="0.25">
      <c r="Y844" s="402" t="s">
        <v>2231</v>
      </c>
      <c r="Z844" s="402" t="s">
        <v>2230</v>
      </c>
      <c r="AB844" s="476" t="str">
        <f>IF(COUNT(AB843:AB843)&gt;0,MAX(AB843:AB843)+1,"")</f>
        <v/>
      </c>
      <c r="AC844" s="433" t="str">
        <f>IF(AND(AH844&lt;&gt;"",AG844&lt;&gt;"",AI844&gt;0,AH844&gt;0),MAX(AC$2:AC843)+1,"XX")</f>
        <v>XX</v>
      </c>
      <c r="AD844" s="429" t="str">
        <f>IF('Antal &amp; Längder (vikter)'!$C$113&lt;&gt;"",'Antal &amp; Längder (vikter)'!$C$113,"XX")</f>
        <v>XX</v>
      </c>
      <c r="AE844" s="421" t="str">
        <f>IF(AND('Antal &amp; Längder (vikter)'!B$115&lt;&gt;"",ISNUMBER($AH844)),'Antal &amp; Längder (vikter)'!B$115,"")</f>
        <v/>
      </c>
      <c r="AF844" s="425" t="str">
        <f t="shared" si="28"/>
        <v/>
      </c>
      <c r="AG844" s="426" t="str">
        <f t="shared" si="29"/>
        <v/>
      </c>
      <c r="AH844" s="407" t="str">
        <f>IF('Antal &amp; Längder (vikter)'!B118&lt;&gt;"",'Antal &amp; Längder (vikter)'!B118,"XX")</f>
        <v>XX</v>
      </c>
      <c r="AI844" s="404">
        <f>IF('Antal &amp; Längder (vikter)'!C$116="Vikt (g)",IF('Antal &amp; Längder (vikter)'!C118&lt;&gt;"",'Antal &amp; Längder (vikter)'!C118,-9),-9)</f>
        <v>-9</v>
      </c>
    </row>
    <row r="845" spans="25:35" x14ac:dyDescent="0.25">
      <c r="Y845" s="402" t="s">
        <v>2233</v>
      </c>
      <c r="Z845" s="402" t="s">
        <v>2232</v>
      </c>
      <c r="AB845" s="477" t="str">
        <f>IF(COUNT(AB843:AB844)&gt;0,MAX(AB843:AB844)+1,"")</f>
        <v/>
      </c>
      <c r="AC845" s="433" t="str">
        <f>IF(AND(AH845&lt;&gt;"",AG845&lt;&gt;"",AI845&gt;0,AH845&gt;0),MAX(AC$2:AC844)+1,"XX")</f>
        <v>XX</v>
      </c>
      <c r="AD845" s="429" t="str">
        <f>IF('Antal &amp; Längder (vikter)'!$C$113&lt;&gt;"",'Antal &amp; Längder (vikter)'!$C$113,"XX")</f>
        <v>XX</v>
      </c>
      <c r="AE845" s="421" t="str">
        <f>IF(AND('Antal &amp; Längder (vikter)'!B$115&lt;&gt;"",ISNUMBER($AH845)),'Antal &amp; Längder (vikter)'!B$115,"")</f>
        <v/>
      </c>
      <c r="AF845" s="425" t="str">
        <f t="shared" si="28"/>
        <v/>
      </c>
      <c r="AG845" s="426" t="str">
        <f t="shared" si="29"/>
        <v/>
      </c>
      <c r="AH845" s="407" t="str">
        <f>IF('Antal &amp; Längder (vikter)'!B119&lt;&gt;"",'Antal &amp; Längder (vikter)'!B119,"XX")</f>
        <v>XX</v>
      </c>
      <c r="AI845" s="404">
        <f>IF('Antal &amp; Längder (vikter)'!C$116="Vikt (g)",IF('Antal &amp; Längder (vikter)'!C119&lt;&gt;"",'Antal &amp; Längder (vikter)'!C119,-9),-9)</f>
        <v>-9</v>
      </c>
    </row>
    <row r="846" spans="25:35" x14ac:dyDescent="0.25">
      <c r="Y846" s="402" t="s">
        <v>2235</v>
      </c>
      <c r="Z846" s="402" t="s">
        <v>2234</v>
      </c>
      <c r="AB846" s="434" t="str">
        <f>IF(COUNT(AB843:AB845)&gt;0,MAX(AB843:AB845)+1,"")</f>
        <v/>
      </c>
      <c r="AC846" s="433" t="str">
        <f>IF(AND(AH846&lt;&gt;"",AG846&lt;&gt;"",AI846&gt;0,AH846&gt;0),MAX(AC$2:AC845)+1,"XX")</f>
        <v>XX</v>
      </c>
      <c r="AD846" s="429" t="str">
        <f>IF('Antal &amp; Längder (vikter)'!$C$113&lt;&gt;"",'Antal &amp; Längder (vikter)'!$C$113,"XX")</f>
        <v>XX</v>
      </c>
      <c r="AE846" s="421" t="str">
        <f>IF(AND('Antal &amp; Längder (vikter)'!B$115&lt;&gt;"",ISNUMBER($AH846)),'Antal &amp; Längder (vikter)'!B$115,"")</f>
        <v/>
      </c>
      <c r="AF846" s="425" t="str">
        <f t="shared" si="28"/>
        <v/>
      </c>
      <c r="AG846" s="426" t="str">
        <f t="shared" si="29"/>
        <v/>
      </c>
      <c r="AH846" s="407" t="str">
        <f>IF('Antal &amp; Längder (vikter)'!B120&lt;&gt;"",'Antal &amp; Längder (vikter)'!B120,"XX")</f>
        <v>XX</v>
      </c>
      <c r="AI846" s="404">
        <f>IF('Antal &amp; Längder (vikter)'!C$116="Vikt (g)",IF('Antal &amp; Längder (vikter)'!C120&lt;&gt;"",'Antal &amp; Längder (vikter)'!C120,-9),-9)</f>
        <v>-9</v>
      </c>
    </row>
    <row r="847" spans="25:35" x14ac:dyDescent="0.25">
      <c r="Y847" s="402" t="s">
        <v>2237</v>
      </c>
      <c r="Z847" s="402" t="s">
        <v>2236</v>
      </c>
      <c r="AB847" s="475" t="str">
        <f>IF(COUNT(AB843:AB846)&gt;0,MAX(AB843:AB846)+1,"")</f>
        <v/>
      </c>
      <c r="AC847" s="433" t="str">
        <f>IF(AND(AH847&lt;&gt;"",AG847&lt;&gt;"",AI847&gt;0,AH847&gt;0),MAX(AC$2:AC846)+1,"XX")</f>
        <v>XX</v>
      </c>
      <c r="AD847" s="429" t="str">
        <f>IF('Antal &amp; Längder (vikter)'!$C$113&lt;&gt;"",'Antal &amp; Längder (vikter)'!$C$113,"XX")</f>
        <v>XX</v>
      </c>
      <c r="AE847" s="421" t="str">
        <f>IF(AND('Antal &amp; Längder (vikter)'!B$115&lt;&gt;"",ISNUMBER($AH847)),'Antal &amp; Längder (vikter)'!B$115,"")</f>
        <v/>
      </c>
      <c r="AF847" s="425" t="str">
        <f t="shared" si="28"/>
        <v/>
      </c>
      <c r="AG847" s="426" t="str">
        <f t="shared" si="29"/>
        <v/>
      </c>
      <c r="AH847" s="407" t="str">
        <f>IF('Antal &amp; Längder (vikter)'!B121&lt;&gt;"",'Antal &amp; Längder (vikter)'!B121,"XX")</f>
        <v>XX</v>
      </c>
      <c r="AI847" s="404">
        <f>IF('Antal &amp; Längder (vikter)'!C$116="Vikt (g)",IF('Antal &amp; Längder (vikter)'!C121&lt;&gt;"",'Antal &amp; Längder (vikter)'!C121,-9),-9)</f>
        <v>-9</v>
      </c>
    </row>
    <row r="848" spans="25:35" x14ac:dyDescent="0.25">
      <c r="Y848" s="402" t="s">
        <v>2239</v>
      </c>
      <c r="Z848" s="402" t="s">
        <v>2238</v>
      </c>
      <c r="AB848" s="471" t="str">
        <f>IF(COUNT(AB843:AB847)&gt;0,MAX(AB843:AB847)+1,"")</f>
        <v/>
      </c>
      <c r="AC848" s="433" t="str">
        <f>IF(AND(AH848&lt;&gt;"",AG848&lt;&gt;"",AI848&gt;0,AH848&gt;0),MAX(AC$2:AC847)+1,"XX")</f>
        <v>XX</v>
      </c>
      <c r="AD848" s="429" t="str">
        <f>IF('Antal &amp; Längder (vikter)'!$C$113&lt;&gt;"",'Antal &amp; Längder (vikter)'!$C$113,"XX")</f>
        <v>XX</v>
      </c>
      <c r="AE848" s="421" t="str">
        <f>IF(AND('Antal &amp; Längder (vikter)'!B$115&lt;&gt;"",ISNUMBER($AH848)),'Antal &amp; Längder (vikter)'!B$115,"")</f>
        <v/>
      </c>
      <c r="AF848" s="425" t="str">
        <f t="shared" si="28"/>
        <v/>
      </c>
      <c r="AG848" s="426" t="str">
        <f t="shared" si="29"/>
        <v/>
      </c>
      <c r="AH848" s="407" t="str">
        <f>IF('Antal &amp; Längder (vikter)'!B122&lt;&gt;"",'Antal &amp; Längder (vikter)'!B122,"XX")</f>
        <v>XX</v>
      </c>
      <c r="AI848" s="404">
        <f>IF('Antal &amp; Längder (vikter)'!C$116="Vikt (g)",IF('Antal &amp; Längder (vikter)'!C122&lt;&gt;"",'Antal &amp; Längder (vikter)'!C122,-9),-9)</f>
        <v>-9</v>
      </c>
    </row>
    <row r="849" spans="25:35" x14ac:dyDescent="0.25">
      <c r="Y849" s="402" t="s">
        <v>2411</v>
      </c>
      <c r="Z849" s="402" t="s">
        <v>2410</v>
      </c>
      <c r="AB849" s="474" t="str">
        <f>IF(COUNT(AB843:AB848)&gt;0,MAX(AB843:AB848)+1,"")</f>
        <v/>
      </c>
      <c r="AC849" s="433" t="str">
        <f>IF(AND(AH849&lt;&gt;"",AG849&lt;&gt;"",AI849&gt;0,AH849&gt;0),MAX(AC$2:AC848)+1,"XX")</f>
        <v>XX</v>
      </c>
      <c r="AD849" s="429" t="str">
        <f>IF('Antal &amp; Längder (vikter)'!$C$113&lt;&gt;"",'Antal &amp; Längder (vikter)'!$C$113,"XX")</f>
        <v>XX</v>
      </c>
      <c r="AE849" s="421" t="str">
        <f>IF(AND('Antal &amp; Längder (vikter)'!B$115&lt;&gt;"",ISNUMBER($AH849)),'Antal &amp; Längder (vikter)'!B$115,"")</f>
        <v/>
      </c>
      <c r="AF849" s="425" t="str">
        <f t="shared" si="28"/>
        <v/>
      </c>
      <c r="AG849" s="426" t="str">
        <f t="shared" si="29"/>
        <v/>
      </c>
      <c r="AH849" s="407" t="str">
        <f>IF('Antal &amp; Längder (vikter)'!B123&lt;&gt;"",'Antal &amp; Längder (vikter)'!B123,"XX")</f>
        <v>XX</v>
      </c>
      <c r="AI849" s="404">
        <f>IF('Antal &amp; Längder (vikter)'!C$116="Vikt (g)",IF('Antal &amp; Längder (vikter)'!C123&lt;&gt;"",'Antal &amp; Längder (vikter)'!C123,-9),-9)</f>
        <v>-9</v>
      </c>
    </row>
    <row r="850" spans="25:35" x14ac:dyDescent="0.25">
      <c r="Y850" s="402" t="s">
        <v>2433</v>
      </c>
      <c r="Z850" s="402" t="s">
        <v>2432</v>
      </c>
      <c r="AB850" s="478" t="str">
        <f>IF(COUNT(AB843:AB849)&gt;0,MAX(AB843:AB849)+1,"")</f>
        <v/>
      </c>
      <c r="AC850" s="433" t="str">
        <f>IF(AND(AH850&lt;&gt;"",AG850&lt;&gt;"",AI850&gt;0,AH850&gt;0),MAX(AC$2:AC849)+1,"XX")</f>
        <v>XX</v>
      </c>
      <c r="AD850" s="429" t="str">
        <f>IF('Antal &amp; Längder (vikter)'!$C$113&lt;&gt;"",'Antal &amp; Längder (vikter)'!$C$113,"XX")</f>
        <v>XX</v>
      </c>
      <c r="AE850" s="421" t="str">
        <f>IF(AND('Antal &amp; Längder (vikter)'!B$115&lt;&gt;"",ISNUMBER($AH850)),'Antal &amp; Längder (vikter)'!B$115,"")</f>
        <v/>
      </c>
      <c r="AF850" s="425" t="str">
        <f t="shared" si="28"/>
        <v/>
      </c>
      <c r="AG850" s="426" t="str">
        <f t="shared" si="29"/>
        <v/>
      </c>
      <c r="AH850" s="407" t="str">
        <f>IF('Antal &amp; Längder (vikter)'!B124&lt;&gt;"",'Antal &amp; Längder (vikter)'!B124,"XX")</f>
        <v>XX</v>
      </c>
      <c r="AI850" s="404">
        <f>IF('Antal &amp; Längder (vikter)'!C$116="Vikt (g)",IF('Antal &amp; Längder (vikter)'!C124&lt;&gt;"",'Antal &amp; Längder (vikter)'!C124,-9),-9)</f>
        <v>-9</v>
      </c>
    </row>
    <row r="851" spans="25:35" x14ac:dyDescent="0.25">
      <c r="Y851" s="402" t="s">
        <v>2241</v>
      </c>
      <c r="Z851" s="402" t="s">
        <v>2240</v>
      </c>
      <c r="AB851" s="472" t="str">
        <f>IF(COUNT(AB843:AB850)&gt;0,MAX(AB843:AB850)+1,"")</f>
        <v/>
      </c>
      <c r="AC851" s="433" t="str">
        <f>IF(AND(AH851&lt;&gt;"",AG851&lt;&gt;"",AI851&gt;0,AH851&gt;0),MAX(AC$2:AC850)+1,"XX")</f>
        <v>XX</v>
      </c>
      <c r="AD851" s="429" t="str">
        <f>IF('Antal &amp; Längder (vikter)'!$C$113&lt;&gt;"",'Antal &amp; Längder (vikter)'!$C$113,"XX")</f>
        <v>XX</v>
      </c>
      <c r="AE851" s="421" t="str">
        <f>IF(AND('Antal &amp; Längder (vikter)'!B$115&lt;&gt;"",ISNUMBER($AH851)),'Antal &amp; Längder (vikter)'!B$115,"")</f>
        <v/>
      </c>
      <c r="AF851" s="425" t="str">
        <f t="shared" si="28"/>
        <v/>
      </c>
      <c r="AG851" s="426" t="str">
        <f t="shared" si="29"/>
        <v/>
      </c>
      <c r="AH851" s="407" t="str">
        <f>IF('Antal &amp; Längder (vikter)'!B125&lt;&gt;"",'Antal &amp; Längder (vikter)'!B125,"XX")</f>
        <v>XX</v>
      </c>
      <c r="AI851" s="404">
        <f>IF('Antal &amp; Längder (vikter)'!C$116="Vikt (g)",IF('Antal &amp; Längder (vikter)'!C125&lt;&gt;"",'Antal &amp; Längder (vikter)'!C125,-9),-9)</f>
        <v>-9</v>
      </c>
    </row>
    <row r="852" spans="25:35" x14ac:dyDescent="0.25">
      <c r="Y852" s="402" t="s">
        <v>1979</v>
      </c>
      <c r="Z852" s="402" t="s">
        <v>1978</v>
      </c>
      <c r="AB852" s="479" t="str">
        <f>IF(COUNT(AB843:AB851)&gt;0,MAX(AB843:AB851)+1,"")</f>
        <v/>
      </c>
      <c r="AC852" s="433" t="str">
        <f>IF(AND(AH852&lt;&gt;"",AG852&lt;&gt;"",AI852&gt;0,AH852&gt;0),MAX(AC$2:AC851)+1,"XX")</f>
        <v>XX</v>
      </c>
      <c r="AD852" s="429" t="str">
        <f>IF('Antal &amp; Längder (vikter)'!$C$113&lt;&gt;"",'Antal &amp; Längder (vikter)'!$C$113,"XX")</f>
        <v>XX</v>
      </c>
      <c r="AE852" s="421" t="str">
        <f>IF(AND('Antal &amp; Längder (vikter)'!B$115&lt;&gt;"",ISNUMBER($AH852)),'Antal &amp; Längder (vikter)'!B$115,"")</f>
        <v/>
      </c>
      <c r="AF852" s="425" t="str">
        <f t="shared" si="28"/>
        <v/>
      </c>
      <c r="AG852" s="426" t="str">
        <f t="shared" si="29"/>
        <v/>
      </c>
      <c r="AH852" s="407" t="str">
        <f>IF('Antal &amp; Längder (vikter)'!B126&lt;&gt;"",'Antal &amp; Längder (vikter)'!B126,"XX")</f>
        <v>XX</v>
      </c>
      <c r="AI852" s="404">
        <f>IF('Antal &amp; Längder (vikter)'!C$116="Vikt (g)",IF('Antal &amp; Längder (vikter)'!C126&lt;&gt;"",'Antal &amp; Längder (vikter)'!C126,-9),-9)</f>
        <v>-9</v>
      </c>
    </row>
    <row r="853" spans="25:35" x14ac:dyDescent="0.25">
      <c r="Y853" s="402" t="s">
        <v>2242</v>
      </c>
      <c r="Z853" s="402" t="s">
        <v>2491</v>
      </c>
      <c r="AB853" s="480" t="str">
        <f>IF(AND(ISNUMBER(AH853),AH853&gt;0),IF(MAX(AB$3:AB852)&gt;0,MAX(AB$3:AB852)+1,10+COUNTIF(F$38:F$49,"&gt;0")*10+1),"")</f>
        <v/>
      </c>
      <c r="AC853" s="433" t="str">
        <f>IF(AND(AH853&lt;&gt;"",AG853&lt;&gt;"",AI853&gt;0,AH853&gt;0),MAX(AC$2:AC852)+1,"XX")</f>
        <v>XX</v>
      </c>
      <c r="AD853" s="429" t="str">
        <f>IF('Antal &amp; Längder (vikter)'!$C$113&lt;&gt;"",'Antal &amp; Längder (vikter)'!$C$113,"XX")</f>
        <v>XX</v>
      </c>
      <c r="AE853" s="421" t="str">
        <f>IF(AND('Antal &amp; Längder (vikter)'!B$115&lt;&gt;"",ISNUMBER($AH853)),'Antal &amp; Längder (vikter)'!B$115,"")</f>
        <v/>
      </c>
      <c r="AF853" s="425" t="str">
        <f t="shared" si="28"/>
        <v/>
      </c>
      <c r="AG853" s="426" t="str">
        <f t="shared" si="29"/>
        <v/>
      </c>
      <c r="AH853" s="409" t="str">
        <f>IF('Antal &amp; Längder (vikter)'!C$116="Längd (mm)",IF('Antal &amp; Längder (vikter)'!C117&lt;&gt;"",'Antal &amp; Längder (vikter)'!C117,"XX"),"XX")</f>
        <v>XX</v>
      </c>
      <c r="AI853" s="7">
        <v>-9</v>
      </c>
    </row>
    <row r="854" spans="25:35" x14ac:dyDescent="0.25">
      <c r="Y854" s="402" t="s">
        <v>2244</v>
      </c>
      <c r="Z854" s="402" t="s">
        <v>2243</v>
      </c>
      <c r="AB854" s="476" t="str">
        <f>IF(COUNT(AB853:AB853)&gt;0,MAX(AB853:AB853)+1,"")</f>
        <v/>
      </c>
      <c r="AC854" s="433" t="str">
        <f>IF(AND(AH854&lt;&gt;"",AG854&lt;&gt;"",AI854&gt;0,AH854&gt;0),MAX(AC$2:AC853)+1,"XX")</f>
        <v>XX</v>
      </c>
      <c r="AD854" s="429" t="str">
        <f>IF('Antal &amp; Längder (vikter)'!$C$113&lt;&gt;"",'Antal &amp; Längder (vikter)'!$C$113,"XX")</f>
        <v>XX</v>
      </c>
      <c r="AE854" s="421" t="str">
        <f>IF(AND('Antal &amp; Längder (vikter)'!B$115&lt;&gt;"",ISNUMBER($AH854)),'Antal &amp; Längder (vikter)'!B$115,"")</f>
        <v/>
      </c>
      <c r="AF854" s="425" t="str">
        <f t="shared" si="28"/>
        <v/>
      </c>
      <c r="AG854" s="426" t="str">
        <f t="shared" si="29"/>
        <v/>
      </c>
      <c r="AH854" s="409" t="str">
        <f>IF('Antal &amp; Längder (vikter)'!C$116="Längd (mm)",IF('Antal &amp; Längder (vikter)'!C118&lt;&gt;"",'Antal &amp; Längder (vikter)'!C118,"XX"),"XX")</f>
        <v>XX</v>
      </c>
      <c r="AI854" s="7">
        <v>-9</v>
      </c>
    </row>
    <row r="855" spans="25:35" x14ac:dyDescent="0.25">
      <c r="Y855" s="402" t="s">
        <v>1959</v>
      </c>
      <c r="Z855" s="402" t="s">
        <v>1958</v>
      </c>
      <c r="AB855" s="477" t="str">
        <f>IF(COUNT(AB853:AB854)&gt;0,MAX(AB853:AB854)+1,"")</f>
        <v/>
      </c>
      <c r="AC855" s="433" t="str">
        <f>IF(AND(AH855&lt;&gt;"",AG855&lt;&gt;"",AI855&gt;0,AH855&gt;0),MAX(AC$2:AC854)+1,"XX")</f>
        <v>XX</v>
      </c>
      <c r="AD855" s="429" t="str">
        <f>IF('Antal &amp; Längder (vikter)'!$C$113&lt;&gt;"",'Antal &amp; Längder (vikter)'!$C$113,"XX")</f>
        <v>XX</v>
      </c>
      <c r="AE855" s="421" t="str">
        <f>IF(AND('Antal &amp; Längder (vikter)'!B$115&lt;&gt;"",ISNUMBER($AH855)),'Antal &amp; Längder (vikter)'!B$115,"")</f>
        <v/>
      </c>
      <c r="AF855" s="425" t="str">
        <f t="shared" si="28"/>
        <v/>
      </c>
      <c r="AG855" s="426" t="str">
        <f t="shared" si="29"/>
        <v/>
      </c>
      <c r="AH855" s="409" t="str">
        <f>IF('Antal &amp; Längder (vikter)'!C$116="Längd (mm)",IF('Antal &amp; Längder (vikter)'!C119&lt;&gt;"",'Antal &amp; Längder (vikter)'!C119,"XX"),"XX")</f>
        <v>XX</v>
      </c>
      <c r="AI855" s="7">
        <v>-9</v>
      </c>
    </row>
    <row r="856" spans="25:35" x14ac:dyDescent="0.25">
      <c r="Y856" s="402" t="s">
        <v>2389</v>
      </c>
      <c r="Z856" s="402" t="s">
        <v>2388</v>
      </c>
      <c r="AB856" s="434" t="str">
        <f>IF(COUNT(AB853:AB855)&gt;0,MAX(AB853:AB855)+1,"")</f>
        <v/>
      </c>
      <c r="AC856" s="433" t="str">
        <f>IF(AND(AH856&lt;&gt;"",AG856&lt;&gt;"",AI856&gt;0,AH856&gt;0),MAX(AC$2:AC855)+1,"XX")</f>
        <v>XX</v>
      </c>
      <c r="AD856" s="429" t="str">
        <f>IF('Antal &amp; Längder (vikter)'!$C$113&lt;&gt;"",'Antal &amp; Längder (vikter)'!$C$113,"XX")</f>
        <v>XX</v>
      </c>
      <c r="AE856" s="421" t="str">
        <f>IF(AND('Antal &amp; Längder (vikter)'!B$115&lt;&gt;"",ISNUMBER($AH856)),'Antal &amp; Längder (vikter)'!B$115,"")</f>
        <v/>
      </c>
      <c r="AF856" s="425" t="str">
        <f t="shared" si="28"/>
        <v/>
      </c>
      <c r="AG856" s="426" t="str">
        <f t="shared" si="29"/>
        <v/>
      </c>
      <c r="AH856" s="409" t="str">
        <f>IF('Antal &amp; Längder (vikter)'!C$116="Längd (mm)",IF('Antal &amp; Längder (vikter)'!C120&lt;&gt;"",'Antal &amp; Längder (vikter)'!C120,"XX"),"XX")</f>
        <v>XX</v>
      </c>
      <c r="AI856" s="7">
        <v>-9</v>
      </c>
    </row>
    <row r="857" spans="25:35" x14ac:dyDescent="0.25">
      <c r="Y857" s="402" t="s">
        <v>2246</v>
      </c>
      <c r="Z857" s="402" t="s">
        <v>2245</v>
      </c>
      <c r="AB857" s="475" t="str">
        <f>IF(COUNT(AB853:AB856)&gt;0,MAX(AB853:AB856)+1,"")</f>
        <v/>
      </c>
      <c r="AC857" s="433" t="str">
        <f>IF(AND(AH857&lt;&gt;"",AG857&lt;&gt;"",AI857&gt;0,AH857&gt;0),MAX(AC$2:AC856)+1,"XX")</f>
        <v>XX</v>
      </c>
      <c r="AD857" s="429" t="str">
        <f>IF('Antal &amp; Längder (vikter)'!$C$113&lt;&gt;"",'Antal &amp; Längder (vikter)'!$C$113,"XX")</f>
        <v>XX</v>
      </c>
      <c r="AE857" s="421" t="str">
        <f>IF(AND('Antal &amp; Längder (vikter)'!B$115&lt;&gt;"",ISNUMBER($AH857)),'Antal &amp; Längder (vikter)'!B$115,"")</f>
        <v/>
      </c>
      <c r="AF857" s="425" t="str">
        <f t="shared" si="28"/>
        <v/>
      </c>
      <c r="AG857" s="426" t="str">
        <f t="shared" si="29"/>
        <v/>
      </c>
      <c r="AH857" s="409" t="str">
        <f>IF('Antal &amp; Längder (vikter)'!C$116="Längd (mm)",IF('Antal &amp; Längder (vikter)'!C121&lt;&gt;"",'Antal &amp; Längder (vikter)'!C121,"XX"),"XX")</f>
        <v>XX</v>
      </c>
      <c r="AI857" s="7">
        <v>-9</v>
      </c>
    </row>
    <row r="858" spans="25:35" x14ac:dyDescent="0.25">
      <c r="Y858" s="402" t="s">
        <v>2367</v>
      </c>
      <c r="Z858" s="402" t="s">
        <v>2366</v>
      </c>
      <c r="AB858" s="471" t="str">
        <f>IF(COUNT(AB853:AB857)&gt;0,MAX(AB853:AB857)+1,"")</f>
        <v/>
      </c>
      <c r="AC858" s="433" t="str">
        <f>IF(AND(AH858&lt;&gt;"",AG858&lt;&gt;"",AI858&gt;0,AH858&gt;0),MAX(AC$2:AC857)+1,"XX")</f>
        <v>XX</v>
      </c>
      <c r="AD858" s="429" t="str">
        <f>IF('Antal &amp; Längder (vikter)'!$C$113&lt;&gt;"",'Antal &amp; Längder (vikter)'!$C$113,"XX")</f>
        <v>XX</v>
      </c>
      <c r="AE858" s="421" t="str">
        <f>IF(AND('Antal &amp; Längder (vikter)'!B$115&lt;&gt;"",ISNUMBER($AH858)),'Antal &amp; Längder (vikter)'!B$115,"")</f>
        <v/>
      </c>
      <c r="AF858" s="425" t="str">
        <f t="shared" si="28"/>
        <v/>
      </c>
      <c r="AG858" s="426" t="str">
        <f t="shared" si="29"/>
        <v/>
      </c>
      <c r="AH858" s="409" t="str">
        <f>IF('Antal &amp; Längder (vikter)'!C$116="Längd (mm)",IF('Antal &amp; Längder (vikter)'!C122&lt;&gt;"",'Antal &amp; Längder (vikter)'!C122,"XX"),"XX")</f>
        <v>XX</v>
      </c>
      <c r="AI858" s="7">
        <v>-9</v>
      </c>
    </row>
    <row r="859" spans="25:35" x14ac:dyDescent="0.25">
      <c r="Y859" s="402" t="s">
        <v>2483</v>
      </c>
      <c r="Z859" s="402" t="s">
        <v>2482</v>
      </c>
      <c r="AB859" s="474" t="str">
        <f>IF(COUNT(AB853:AB858)&gt;0,MAX(AB853:AB858)+1,"")</f>
        <v/>
      </c>
      <c r="AC859" s="433" t="str">
        <f>IF(AND(AH859&lt;&gt;"",AG859&lt;&gt;"",AI859&gt;0,AH859&gt;0),MAX(AC$2:AC858)+1,"XX")</f>
        <v>XX</v>
      </c>
      <c r="AD859" s="429" t="str">
        <f>IF('Antal &amp; Längder (vikter)'!$C$113&lt;&gt;"",'Antal &amp; Längder (vikter)'!$C$113,"XX")</f>
        <v>XX</v>
      </c>
      <c r="AE859" s="421" t="str">
        <f>IF(AND('Antal &amp; Längder (vikter)'!B$115&lt;&gt;"",ISNUMBER($AH859)),'Antal &amp; Längder (vikter)'!B$115,"")</f>
        <v/>
      </c>
      <c r="AF859" s="425" t="str">
        <f t="shared" si="28"/>
        <v/>
      </c>
      <c r="AG859" s="426" t="str">
        <f t="shared" si="29"/>
        <v/>
      </c>
      <c r="AH859" s="409" t="str">
        <f>IF('Antal &amp; Längder (vikter)'!C$116="Längd (mm)",IF('Antal &amp; Längder (vikter)'!C123&lt;&gt;"",'Antal &amp; Längder (vikter)'!C123,"XX"),"XX")</f>
        <v>XX</v>
      </c>
      <c r="AI859" s="7">
        <v>-9</v>
      </c>
    </row>
    <row r="860" spans="25:35" x14ac:dyDescent="0.25">
      <c r="Y860" s="402" t="s">
        <v>2481</v>
      </c>
      <c r="Z860" s="402" t="s">
        <v>2480</v>
      </c>
      <c r="AB860" s="478" t="str">
        <f>IF(COUNT(AB853:AB859)&gt;0,MAX(AB853:AB859)+1,"")</f>
        <v/>
      </c>
      <c r="AC860" s="433" t="str">
        <f>IF(AND(AH860&lt;&gt;"",AG860&lt;&gt;"",AI860&gt;0,AH860&gt;0),MAX(AC$2:AC859)+1,"XX")</f>
        <v>XX</v>
      </c>
      <c r="AD860" s="429" t="str">
        <f>IF('Antal &amp; Längder (vikter)'!$C$113&lt;&gt;"",'Antal &amp; Längder (vikter)'!$C$113,"XX")</f>
        <v>XX</v>
      </c>
      <c r="AE860" s="421" t="str">
        <f>IF(AND('Antal &amp; Längder (vikter)'!B$115&lt;&gt;"",ISNUMBER($AH860)),'Antal &amp; Längder (vikter)'!B$115,"")</f>
        <v/>
      </c>
      <c r="AF860" s="425" t="str">
        <f t="shared" si="28"/>
        <v/>
      </c>
      <c r="AG860" s="426" t="str">
        <f t="shared" si="29"/>
        <v/>
      </c>
      <c r="AH860" s="409" t="str">
        <f>IF('Antal &amp; Längder (vikter)'!C$116="Längd (mm)",IF('Antal &amp; Längder (vikter)'!C124&lt;&gt;"",'Antal &amp; Längder (vikter)'!C124,"XX"),"XX")</f>
        <v>XX</v>
      </c>
      <c r="AI860" s="7">
        <v>-9</v>
      </c>
    </row>
    <row r="861" spans="25:35" x14ac:dyDescent="0.25">
      <c r="Y861" s="402" t="s">
        <v>1961</v>
      </c>
      <c r="Z861" s="402" t="s">
        <v>1960</v>
      </c>
      <c r="AB861" s="472" t="str">
        <f>IF(COUNT(AB853:AB860)&gt;0,MAX(AB853:AB860)+1,"")</f>
        <v/>
      </c>
      <c r="AC861" s="433" t="str">
        <f>IF(AND(AH861&lt;&gt;"",AG861&lt;&gt;"",AI861&gt;0,AH861&gt;0),MAX(AC$2:AC860)+1,"XX")</f>
        <v>XX</v>
      </c>
      <c r="AD861" s="429" t="str">
        <f>IF('Antal &amp; Längder (vikter)'!$C$113&lt;&gt;"",'Antal &amp; Längder (vikter)'!$C$113,"XX")</f>
        <v>XX</v>
      </c>
      <c r="AE861" s="421" t="str">
        <f>IF(AND('Antal &amp; Längder (vikter)'!B$115&lt;&gt;"",ISNUMBER($AH861)),'Antal &amp; Längder (vikter)'!B$115,"")</f>
        <v/>
      </c>
      <c r="AF861" s="425" t="str">
        <f t="shared" si="28"/>
        <v/>
      </c>
      <c r="AG861" s="426" t="str">
        <f t="shared" si="29"/>
        <v/>
      </c>
      <c r="AH861" s="409" t="str">
        <f>IF('Antal &amp; Längder (vikter)'!C$116="Längd (mm)",IF('Antal &amp; Längder (vikter)'!C125&lt;&gt;"",'Antal &amp; Längder (vikter)'!C125,"XX"),"XX")</f>
        <v>XX</v>
      </c>
      <c r="AI861" s="7">
        <v>-9</v>
      </c>
    </row>
    <row r="862" spans="25:35" x14ac:dyDescent="0.25">
      <c r="Y862" s="402" t="s">
        <v>1963</v>
      </c>
      <c r="Z862" s="402" t="s">
        <v>1962</v>
      </c>
      <c r="AB862" s="479" t="str">
        <f>IF(COUNT(AB853:AB861)&gt;0,MAX(AB853:AB861)+1,"")</f>
        <v/>
      </c>
      <c r="AC862" s="433" t="str">
        <f>IF(AND(AH862&lt;&gt;"",AG862&lt;&gt;"",AI862&gt;0,AH862&gt;0),MAX(AC$2:AC861)+1,"XX")</f>
        <v>XX</v>
      </c>
      <c r="AD862" s="429" t="str">
        <f>IF('Antal &amp; Längder (vikter)'!$C$113&lt;&gt;"",'Antal &amp; Längder (vikter)'!$C$113,"XX")</f>
        <v>XX</v>
      </c>
      <c r="AE862" s="421" t="str">
        <f>IF(AND('Antal &amp; Längder (vikter)'!B$115&lt;&gt;"",ISNUMBER($AH862)),'Antal &amp; Längder (vikter)'!B$115,"")</f>
        <v/>
      </c>
      <c r="AF862" s="425" t="str">
        <f t="shared" si="28"/>
        <v/>
      </c>
      <c r="AG862" s="426" t="str">
        <f t="shared" si="29"/>
        <v/>
      </c>
      <c r="AH862" s="409" t="str">
        <f>IF('Antal &amp; Längder (vikter)'!C$116="Längd (mm)",IF('Antal &amp; Längder (vikter)'!C126&lt;&gt;"",'Antal &amp; Längder (vikter)'!C126,"XX"),"XX")</f>
        <v>XX</v>
      </c>
      <c r="AI862" s="7">
        <v>-9</v>
      </c>
    </row>
    <row r="863" spans="25:35" x14ac:dyDescent="0.25">
      <c r="Y863" s="402" t="s">
        <v>1965</v>
      </c>
      <c r="Z863" s="402" t="s">
        <v>1964</v>
      </c>
      <c r="AB863" s="480" t="str">
        <f>IF(AND(ISNUMBER(AH863),AH863&gt;0),IF(MAX(AB$3:AB862)&gt;0,MAX(AB$3:AB862)+1,10+COUNTIF(F$38:F$49,"&gt;0")*10+1),"")</f>
        <v/>
      </c>
      <c r="AC863" s="433" t="str">
        <f>IF(AND(AH863&lt;&gt;"",AG863&lt;&gt;"",AI863&gt;0,AH863&gt;0),MAX(AC$2:AC862)+1,"XX")</f>
        <v>XX</v>
      </c>
      <c r="AD863" s="429" t="str">
        <f>IF('Antal &amp; Längder (vikter)'!$C$113&lt;&gt;"",'Antal &amp; Längder (vikter)'!$C$113,"XX")</f>
        <v>XX</v>
      </c>
      <c r="AE863" s="424" t="str">
        <f>IF(AND('Antal &amp; Längder (vikter)'!D$115&lt;&gt;"",ISNUMBER($AH863)),'Antal &amp; Längder (vikter)'!D$115,"")</f>
        <v/>
      </c>
      <c r="AF863" s="425" t="str">
        <f t="shared" si="28"/>
        <v/>
      </c>
      <c r="AG863" s="426" t="str">
        <f t="shared" si="29"/>
        <v/>
      </c>
      <c r="AH863" s="407" t="str">
        <f>IF('Antal &amp; Längder (vikter)'!D117&lt;&gt;"",'Antal &amp; Längder (vikter)'!D117,"XX")</f>
        <v>XX</v>
      </c>
      <c r="AI863" s="404">
        <f>IF('Antal &amp; Längder (vikter)'!E$116="Vikt (g)",IF('Antal &amp; Längder (vikter)'!E117&lt;&gt;"",'Antal &amp; Längder (vikter)'!E117,-9),-9)</f>
        <v>-9</v>
      </c>
    </row>
    <row r="864" spans="25:35" x14ac:dyDescent="0.25">
      <c r="Y864" s="402" t="s">
        <v>1967</v>
      </c>
      <c r="Z864" s="402" t="s">
        <v>1966</v>
      </c>
      <c r="AB864" s="476" t="str">
        <f>IF(COUNT(AB863:AB863)&gt;0,MAX(AB863:AB863)+1,"")</f>
        <v/>
      </c>
      <c r="AC864" s="433" t="str">
        <f>IF(AND(AH864&lt;&gt;"",AG864&lt;&gt;"",AI864&gt;0,AH864&gt;0),MAX(AC$2:AC863)+1,"XX")</f>
        <v>XX</v>
      </c>
      <c r="AD864" s="429" t="str">
        <f>IF('Antal &amp; Längder (vikter)'!$C$113&lt;&gt;"",'Antal &amp; Längder (vikter)'!$C$113,"XX")</f>
        <v>XX</v>
      </c>
      <c r="AE864" s="424" t="str">
        <f>IF(AND('Antal &amp; Längder (vikter)'!D$115&lt;&gt;"",ISNUMBER($AH864)),'Antal &amp; Längder (vikter)'!D$115,"")</f>
        <v/>
      </c>
      <c r="AF864" s="425" t="str">
        <f t="shared" si="28"/>
        <v/>
      </c>
      <c r="AG864" s="426" t="str">
        <f t="shared" si="29"/>
        <v/>
      </c>
      <c r="AH864" s="407" t="str">
        <f>IF('Antal &amp; Längder (vikter)'!D118&lt;&gt;"",'Antal &amp; Längder (vikter)'!D118,"XX")</f>
        <v>XX</v>
      </c>
      <c r="AI864" s="404">
        <f>IF('Antal &amp; Längder (vikter)'!E$116="Vikt (g)",IF('Antal &amp; Längder (vikter)'!E118&lt;&gt;"",'Antal &amp; Längder (vikter)'!E118,-9),-9)</f>
        <v>-9</v>
      </c>
    </row>
    <row r="865" spans="25:35" x14ac:dyDescent="0.25">
      <c r="Y865" s="402" t="s">
        <v>1969</v>
      </c>
      <c r="Z865" s="402" t="s">
        <v>1968</v>
      </c>
      <c r="AB865" s="477" t="str">
        <f>IF(COUNT(AB863:AB864)&gt;0,MAX(AB863:AB864)+1,"")</f>
        <v/>
      </c>
      <c r="AC865" s="433" t="str">
        <f>IF(AND(AH865&lt;&gt;"",AG865&lt;&gt;"",AI865&gt;0,AH865&gt;0),MAX(AC$2:AC864)+1,"XX")</f>
        <v>XX</v>
      </c>
      <c r="AD865" s="429" t="str">
        <f>IF('Antal &amp; Längder (vikter)'!$C$113&lt;&gt;"",'Antal &amp; Längder (vikter)'!$C$113,"XX")</f>
        <v>XX</v>
      </c>
      <c r="AE865" s="424" t="str">
        <f>IF(AND('Antal &amp; Längder (vikter)'!D$115&lt;&gt;"",ISNUMBER($AH865)),'Antal &amp; Längder (vikter)'!D$115,"")</f>
        <v/>
      </c>
      <c r="AF865" s="425" t="str">
        <f t="shared" si="28"/>
        <v/>
      </c>
      <c r="AG865" s="426" t="str">
        <f t="shared" si="29"/>
        <v/>
      </c>
      <c r="AH865" s="407" t="str">
        <f>IF('Antal &amp; Längder (vikter)'!D119&lt;&gt;"",'Antal &amp; Längder (vikter)'!D119,"XX")</f>
        <v>XX</v>
      </c>
      <c r="AI865" s="404">
        <f>IF('Antal &amp; Längder (vikter)'!E$116="Vikt (g)",IF('Antal &amp; Längder (vikter)'!E119&lt;&gt;"",'Antal &amp; Längder (vikter)'!E119,-9),-9)</f>
        <v>-9</v>
      </c>
    </row>
    <row r="866" spans="25:35" x14ac:dyDescent="0.25">
      <c r="Y866" s="402" t="s">
        <v>1971</v>
      </c>
      <c r="Z866" s="402" t="s">
        <v>1970</v>
      </c>
      <c r="AB866" s="434" t="str">
        <f>IF(COUNT(AB863:AB865)&gt;0,MAX(AB863:AB865)+1,"")</f>
        <v/>
      </c>
      <c r="AC866" s="433" t="str">
        <f>IF(AND(AH866&lt;&gt;"",AG866&lt;&gt;"",AI866&gt;0,AH866&gt;0),MAX(AC$2:AC865)+1,"XX")</f>
        <v>XX</v>
      </c>
      <c r="AD866" s="429" t="str">
        <f>IF('Antal &amp; Längder (vikter)'!$C$113&lt;&gt;"",'Antal &amp; Längder (vikter)'!$C$113,"XX")</f>
        <v>XX</v>
      </c>
      <c r="AE866" s="424" t="str">
        <f>IF(AND('Antal &amp; Längder (vikter)'!D$115&lt;&gt;"",ISNUMBER($AH866)),'Antal &amp; Längder (vikter)'!D$115,"")</f>
        <v/>
      </c>
      <c r="AF866" s="425" t="str">
        <f t="shared" si="28"/>
        <v/>
      </c>
      <c r="AG866" s="426" t="str">
        <f t="shared" si="29"/>
        <v/>
      </c>
      <c r="AH866" s="407" t="str">
        <f>IF('Antal &amp; Längder (vikter)'!D120&lt;&gt;"",'Antal &amp; Längder (vikter)'!D120,"XX")</f>
        <v>XX</v>
      </c>
      <c r="AI866" s="404">
        <f>IF('Antal &amp; Längder (vikter)'!E$116="Vikt (g)",IF('Antal &amp; Längder (vikter)'!E120&lt;&gt;"",'Antal &amp; Längder (vikter)'!E120,-9),-9)</f>
        <v>-9</v>
      </c>
    </row>
    <row r="867" spans="25:35" x14ac:dyDescent="0.25">
      <c r="Y867" s="402" t="s">
        <v>2248</v>
      </c>
      <c r="Z867" s="402" t="s">
        <v>2247</v>
      </c>
      <c r="AB867" s="475" t="str">
        <f>IF(COUNT(AB863:AB866)&gt;0,MAX(AB863:AB866)+1,"")</f>
        <v/>
      </c>
      <c r="AC867" s="433" t="str">
        <f>IF(AND(AH867&lt;&gt;"",AG867&lt;&gt;"",AI867&gt;0,AH867&gt;0),MAX(AC$2:AC866)+1,"XX")</f>
        <v>XX</v>
      </c>
      <c r="AD867" s="429" t="str">
        <f>IF('Antal &amp; Längder (vikter)'!$C$113&lt;&gt;"",'Antal &amp; Längder (vikter)'!$C$113,"XX")</f>
        <v>XX</v>
      </c>
      <c r="AE867" s="424" t="str">
        <f>IF(AND('Antal &amp; Längder (vikter)'!D$115&lt;&gt;"",ISNUMBER($AH867)),'Antal &amp; Längder (vikter)'!D$115,"")</f>
        <v/>
      </c>
      <c r="AF867" s="425" t="str">
        <f t="shared" si="28"/>
        <v/>
      </c>
      <c r="AG867" s="426" t="str">
        <f t="shared" si="29"/>
        <v/>
      </c>
      <c r="AH867" s="407" t="str">
        <f>IF('Antal &amp; Längder (vikter)'!D121&lt;&gt;"",'Antal &amp; Längder (vikter)'!D121,"XX")</f>
        <v>XX</v>
      </c>
      <c r="AI867" s="404">
        <f>IF('Antal &amp; Längder (vikter)'!E$116="Vikt (g)",IF('Antal &amp; Längder (vikter)'!E121&lt;&gt;"",'Antal &amp; Längder (vikter)'!E121,-9),-9)</f>
        <v>-9</v>
      </c>
    </row>
    <row r="868" spans="25:35" x14ac:dyDescent="0.25">
      <c r="Y868" s="402" t="s">
        <v>2250</v>
      </c>
      <c r="Z868" s="402" t="s">
        <v>2249</v>
      </c>
      <c r="AB868" s="471" t="str">
        <f>IF(COUNT(AB863:AB867)&gt;0,MAX(AB863:AB867)+1,"")</f>
        <v/>
      </c>
      <c r="AC868" s="433" t="str">
        <f>IF(AND(AH868&lt;&gt;"",AG868&lt;&gt;"",AI868&gt;0,AH868&gt;0),MAX(AC$2:AC867)+1,"XX")</f>
        <v>XX</v>
      </c>
      <c r="AD868" s="429" t="str">
        <f>IF('Antal &amp; Längder (vikter)'!$C$113&lt;&gt;"",'Antal &amp; Längder (vikter)'!$C$113,"XX")</f>
        <v>XX</v>
      </c>
      <c r="AE868" s="424" t="str">
        <f>IF(AND('Antal &amp; Längder (vikter)'!D$115&lt;&gt;"",ISNUMBER($AH868)),'Antal &amp; Längder (vikter)'!D$115,"")</f>
        <v/>
      </c>
      <c r="AF868" s="425" t="str">
        <f t="shared" si="28"/>
        <v/>
      </c>
      <c r="AG868" s="426" t="str">
        <f t="shared" si="29"/>
        <v/>
      </c>
      <c r="AH868" s="407" t="str">
        <f>IF('Antal &amp; Längder (vikter)'!D122&lt;&gt;"",'Antal &amp; Längder (vikter)'!D122,"XX")</f>
        <v>XX</v>
      </c>
      <c r="AI868" s="404">
        <f>IF('Antal &amp; Längder (vikter)'!E$116="Vikt (g)",IF('Antal &amp; Längder (vikter)'!E122&lt;&gt;"",'Antal &amp; Längder (vikter)'!E122,-9),-9)</f>
        <v>-9</v>
      </c>
    </row>
    <row r="869" spans="25:35" x14ac:dyDescent="0.25">
      <c r="Y869" s="402" t="s">
        <v>2252</v>
      </c>
      <c r="Z869" s="402" t="s">
        <v>2251</v>
      </c>
      <c r="AB869" s="474" t="str">
        <f>IF(COUNT(AB863:AB868)&gt;0,MAX(AB863:AB868)+1,"")</f>
        <v/>
      </c>
      <c r="AC869" s="433" t="str">
        <f>IF(AND(AH869&lt;&gt;"",AG869&lt;&gt;"",AI869&gt;0,AH869&gt;0),MAX(AC$2:AC868)+1,"XX")</f>
        <v>XX</v>
      </c>
      <c r="AD869" s="429" t="str">
        <f>IF('Antal &amp; Längder (vikter)'!$C$113&lt;&gt;"",'Antal &amp; Längder (vikter)'!$C$113,"XX")</f>
        <v>XX</v>
      </c>
      <c r="AE869" s="424" t="str">
        <f>IF(AND('Antal &amp; Längder (vikter)'!D$115&lt;&gt;"",ISNUMBER($AH869)),'Antal &amp; Längder (vikter)'!D$115,"")</f>
        <v/>
      </c>
      <c r="AF869" s="425" t="str">
        <f t="shared" si="28"/>
        <v/>
      </c>
      <c r="AG869" s="426" t="str">
        <f t="shared" si="29"/>
        <v/>
      </c>
      <c r="AH869" s="407" t="str">
        <f>IF('Antal &amp; Längder (vikter)'!D123&lt;&gt;"",'Antal &amp; Längder (vikter)'!D123,"XX")</f>
        <v>XX</v>
      </c>
      <c r="AI869" s="404">
        <f>IF('Antal &amp; Längder (vikter)'!E$116="Vikt (g)",IF('Antal &amp; Längder (vikter)'!E123&lt;&gt;"",'Antal &amp; Längder (vikter)'!E123,-9),-9)</f>
        <v>-9</v>
      </c>
    </row>
    <row r="870" spans="25:35" x14ac:dyDescent="0.25">
      <c r="Y870" s="402" t="s">
        <v>2254</v>
      </c>
      <c r="Z870" s="402" t="s">
        <v>2253</v>
      </c>
      <c r="AB870" s="478" t="str">
        <f>IF(COUNT(AB863:AB869)&gt;0,MAX(AB863:AB869)+1,"")</f>
        <v/>
      </c>
      <c r="AC870" s="433" t="str">
        <f>IF(AND(AH870&lt;&gt;"",AG870&lt;&gt;"",AI870&gt;0,AH870&gt;0),MAX(AC$2:AC869)+1,"XX")</f>
        <v>XX</v>
      </c>
      <c r="AD870" s="429" t="str">
        <f>IF('Antal &amp; Längder (vikter)'!$C$113&lt;&gt;"",'Antal &amp; Längder (vikter)'!$C$113,"XX")</f>
        <v>XX</v>
      </c>
      <c r="AE870" s="424" t="str">
        <f>IF(AND('Antal &amp; Längder (vikter)'!D$115&lt;&gt;"",ISNUMBER($AH870)),'Antal &amp; Längder (vikter)'!D$115,"")</f>
        <v/>
      </c>
      <c r="AF870" s="425" t="str">
        <f t="shared" si="28"/>
        <v/>
      </c>
      <c r="AG870" s="426" t="str">
        <f t="shared" si="29"/>
        <v/>
      </c>
      <c r="AH870" s="407" t="str">
        <f>IF('Antal &amp; Längder (vikter)'!D124&lt;&gt;"",'Antal &amp; Längder (vikter)'!D124,"XX")</f>
        <v>XX</v>
      </c>
      <c r="AI870" s="404">
        <f>IF('Antal &amp; Längder (vikter)'!E$116="Vikt (g)",IF('Antal &amp; Längder (vikter)'!E124&lt;&gt;"",'Antal &amp; Längder (vikter)'!E124,-9),-9)</f>
        <v>-9</v>
      </c>
    </row>
    <row r="871" spans="25:35" x14ac:dyDescent="0.25">
      <c r="Y871" s="402" t="s">
        <v>2255</v>
      </c>
      <c r="Z871" s="402" t="s">
        <v>2462</v>
      </c>
      <c r="AB871" s="472" t="str">
        <f>IF(COUNT(AB863:AB870)&gt;0,MAX(AB863:AB870)+1,"")</f>
        <v/>
      </c>
      <c r="AC871" s="433" t="str">
        <f>IF(AND(AH871&lt;&gt;"",AG871&lt;&gt;"",AI871&gt;0,AH871&gt;0),MAX(AC$2:AC870)+1,"XX")</f>
        <v>XX</v>
      </c>
      <c r="AD871" s="429" t="str">
        <f>IF('Antal &amp; Längder (vikter)'!$C$113&lt;&gt;"",'Antal &amp; Längder (vikter)'!$C$113,"XX")</f>
        <v>XX</v>
      </c>
      <c r="AE871" s="424" t="str">
        <f>IF(AND('Antal &amp; Längder (vikter)'!D$115&lt;&gt;"",ISNUMBER($AH871)),'Antal &amp; Längder (vikter)'!D$115,"")</f>
        <v/>
      </c>
      <c r="AF871" s="425" t="str">
        <f t="shared" si="28"/>
        <v/>
      </c>
      <c r="AG871" s="426" t="str">
        <f t="shared" si="29"/>
        <v/>
      </c>
      <c r="AH871" s="407" t="str">
        <f>IF('Antal &amp; Längder (vikter)'!D125&lt;&gt;"",'Antal &amp; Längder (vikter)'!D125,"XX")</f>
        <v>XX</v>
      </c>
      <c r="AI871" s="404">
        <f>IF('Antal &amp; Längder (vikter)'!E$116="Vikt (g)",IF('Antal &amp; Längder (vikter)'!E125&lt;&gt;"",'Antal &amp; Längder (vikter)'!E125,-9),-9)</f>
        <v>-9</v>
      </c>
    </row>
    <row r="872" spans="25:35" x14ac:dyDescent="0.25">
      <c r="Y872" s="402" t="s">
        <v>2257</v>
      </c>
      <c r="Z872" s="402" t="s">
        <v>2256</v>
      </c>
      <c r="AB872" s="479" t="str">
        <f>IF(COUNT(AB863:AB871)&gt;0,MAX(AB863:AB871)+1,"")</f>
        <v/>
      </c>
      <c r="AC872" s="433" t="str">
        <f>IF(AND(AH872&lt;&gt;"",AG872&lt;&gt;"",AI872&gt;0,AH872&gt;0),MAX(AC$2:AC871)+1,"XX")</f>
        <v>XX</v>
      </c>
      <c r="AD872" s="429" t="str">
        <f>IF('Antal &amp; Längder (vikter)'!$C$113&lt;&gt;"",'Antal &amp; Längder (vikter)'!$C$113,"XX")</f>
        <v>XX</v>
      </c>
      <c r="AE872" s="424" t="str">
        <f>IF(AND('Antal &amp; Längder (vikter)'!D$115&lt;&gt;"",ISNUMBER($AH872)),'Antal &amp; Längder (vikter)'!D$115,"")</f>
        <v/>
      </c>
      <c r="AF872" s="425" t="str">
        <f t="shared" si="28"/>
        <v/>
      </c>
      <c r="AG872" s="426" t="str">
        <f t="shared" si="29"/>
        <v/>
      </c>
      <c r="AH872" s="407" t="str">
        <f>IF('Antal &amp; Längder (vikter)'!D126&lt;&gt;"",'Antal &amp; Längder (vikter)'!D126,"XX")</f>
        <v>XX</v>
      </c>
      <c r="AI872" s="404">
        <f>IF('Antal &amp; Längder (vikter)'!E$116="Vikt (g)",IF('Antal &amp; Längder (vikter)'!E126&lt;&gt;"",'Antal &amp; Längder (vikter)'!E126,-9),-9)</f>
        <v>-9</v>
      </c>
    </row>
    <row r="873" spans="25:35" x14ac:dyDescent="0.25">
      <c r="Y873" s="402" t="s">
        <v>2259</v>
      </c>
      <c r="Z873" s="402" t="s">
        <v>2258</v>
      </c>
      <c r="AB873" s="480" t="str">
        <f>IF(AND(ISNUMBER(AH873),AH873&gt;0),IF(MAX(AB$3:AB872)&gt;0,MAX(AB$3:AB872)+1,10+COUNTIF(F$38:F$49,"&gt;0")*10+1),"")</f>
        <v/>
      </c>
      <c r="AC873" s="433" t="str">
        <f>IF(AND(AH873&lt;&gt;"",AG873&lt;&gt;"",AI873&gt;0,AH873&gt;0),MAX(AC$2:AC872)+1,"XX")</f>
        <v>XX</v>
      </c>
      <c r="AD873" s="429" t="str">
        <f>IF('Antal &amp; Längder (vikter)'!$C$113&lt;&gt;"",'Antal &amp; Längder (vikter)'!$C$113,"XX")</f>
        <v>XX</v>
      </c>
      <c r="AE873" s="424" t="str">
        <f>IF(AND('Antal &amp; Längder (vikter)'!D$115&lt;&gt;"",ISNUMBER($AH873)),'Antal &amp; Längder (vikter)'!D$115,"")</f>
        <v/>
      </c>
      <c r="AF873" s="425" t="str">
        <f t="shared" si="28"/>
        <v/>
      </c>
      <c r="AG873" s="426" t="str">
        <f t="shared" si="29"/>
        <v/>
      </c>
      <c r="AH873" s="409" t="str">
        <f>IF('Antal &amp; Längder (vikter)'!E$116="Längd (mm)",IF('Antal &amp; Längder (vikter)'!E117&lt;&gt;"",'Antal &amp; Längder (vikter)'!E117,"XX"),"XX")</f>
        <v>XX</v>
      </c>
      <c r="AI873" s="7">
        <v>-9</v>
      </c>
    </row>
    <row r="874" spans="25:35" x14ac:dyDescent="0.25">
      <c r="Y874" s="402" t="s">
        <v>2261</v>
      </c>
      <c r="Z874" s="402" t="s">
        <v>2260</v>
      </c>
      <c r="AB874" s="476" t="str">
        <f>IF(COUNT(AB873:AB873)&gt;0,MAX(AB873:AB873)+1,"")</f>
        <v/>
      </c>
      <c r="AC874" s="433" t="str">
        <f>IF(AND(AH874&lt;&gt;"",AG874&lt;&gt;"",AI874&gt;0,AH874&gt;0),MAX(AC$2:AC873)+1,"XX")</f>
        <v>XX</v>
      </c>
      <c r="AD874" s="429" t="str">
        <f>IF('Antal &amp; Längder (vikter)'!$C$113&lt;&gt;"",'Antal &amp; Längder (vikter)'!$C$113,"XX")</f>
        <v>XX</v>
      </c>
      <c r="AE874" s="424" t="str">
        <f>IF(AND('Antal &amp; Längder (vikter)'!D$115&lt;&gt;"",ISNUMBER($AH874)),'Antal &amp; Längder (vikter)'!D$115,"")</f>
        <v/>
      </c>
      <c r="AF874" s="425" t="str">
        <f t="shared" si="28"/>
        <v/>
      </c>
      <c r="AG874" s="426" t="str">
        <f t="shared" si="29"/>
        <v/>
      </c>
      <c r="AH874" s="409" t="str">
        <f>IF('Antal &amp; Längder (vikter)'!E$116="Längd (mm)",IF('Antal &amp; Längder (vikter)'!E118&lt;&gt;"",'Antal &amp; Längder (vikter)'!E118,"XX"),"XX")</f>
        <v>XX</v>
      </c>
      <c r="AI874" s="7">
        <v>-9</v>
      </c>
    </row>
    <row r="875" spans="25:35" x14ac:dyDescent="0.25">
      <c r="Y875" s="402" t="s">
        <v>2263</v>
      </c>
      <c r="Z875" s="402" t="s">
        <v>2262</v>
      </c>
      <c r="AB875" s="477" t="str">
        <f>IF(COUNT(AB873:AB874)&gt;0,MAX(AB873:AB874)+1,"")</f>
        <v/>
      </c>
      <c r="AC875" s="433" t="str">
        <f>IF(AND(AH875&lt;&gt;"",AG875&lt;&gt;"",AI875&gt;0,AH875&gt;0),MAX(AC$2:AC874)+1,"XX")</f>
        <v>XX</v>
      </c>
      <c r="AD875" s="429" t="str">
        <f>IF('Antal &amp; Längder (vikter)'!$C$113&lt;&gt;"",'Antal &amp; Längder (vikter)'!$C$113,"XX")</f>
        <v>XX</v>
      </c>
      <c r="AE875" s="424" t="str">
        <f>IF(AND('Antal &amp; Längder (vikter)'!D$115&lt;&gt;"",ISNUMBER($AH875)),'Antal &amp; Längder (vikter)'!D$115,"")</f>
        <v/>
      </c>
      <c r="AF875" s="425" t="str">
        <f t="shared" si="28"/>
        <v/>
      </c>
      <c r="AG875" s="426" t="str">
        <f t="shared" si="29"/>
        <v/>
      </c>
      <c r="AH875" s="409" t="str">
        <f>IF('Antal &amp; Längder (vikter)'!E$116="Längd (mm)",IF('Antal &amp; Längder (vikter)'!E119&lt;&gt;"",'Antal &amp; Längder (vikter)'!E119,"XX"),"XX")</f>
        <v>XX</v>
      </c>
      <c r="AI875" s="7">
        <v>-9</v>
      </c>
    </row>
    <row r="876" spans="25:35" x14ac:dyDescent="0.25">
      <c r="Y876" s="402" t="s">
        <v>2265</v>
      </c>
      <c r="Z876" s="402" t="s">
        <v>2264</v>
      </c>
      <c r="AB876" s="434" t="str">
        <f>IF(COUNT(AB873:AB875)&gt;0,MAX(AB873:AB875)+1,"")</f>
        <v/>
      </c>
      <c r="AC876" s="433" t="str">
        <f>IF(AND(AH876&lt;&gt;"",AG876&lt;&gt;"",AI876&gt;0,AH876&gt;0),MAX(AC$2:AC875)+1,"XX")</f>
        <v>XX</v>
      </c>
      <c r="AD876" s="429" t="str">
        <f>IF('Antal &amp; Längder (vikter)'!$C$113&lt;&gt;"",'Antal &amp; Längder (vikter)'!$C$113,"XX")</f>
        <v>XX</v>
      </c>
      <c r="AE876" s="424" t="str">
        <f>IF(AND('Antal &amp; Längder (vikter)'!D$115&lt;&gt;"",ISNUMBER($AH876)),'Antal &amp; Längder (vikter)'!D$115,"")</f>
        <v/>
      </c>
      <c r="AF876" s="425" t="str">
        <f t="shared" si="28"/>
        <v/>
      </c>
      <c r="AG876" s="426" t="str">
        <f t="shared" si="29"/>
        <v/>
      </c>
      <c r="AH876" s="409" t="str">
        <f>IF('Antal &amp; Längder (vikter)'!E$116="Längd (mm)",IF('Antal &amp; Längder (vikter)'!E120&lt;&gt;"",'Antal &amp; Längder (vikter)'!E120,"XX"),"XX")</f>
        <v>XX</v>
      </c>
      <c r="AI876" s="7">
        <v>-9</v>
      </c>
    </row>
    <row r="877" spans="25:35" x14ac:dyDescent="0.25">
      <c r="Y877" s="402" t="s">
        <v>1973</v>
      </c>
      <c r="Z877" s="402" t="s">
        <v>1972</v>
      </c>
      <c r="AB877" s="475" t="str">
        <f>IF(COUNT(AB873:AB876)&gt;0,MAX(AB873:AB876)+1,"")</f>
        <v/>
      </c>
      <c r="AC877" s="433" t="str">
        <f>IF(AND(AH877&lt;&gt;"",AG877&lt;&gt;"",AI877&gt;0,AH877&gt;0),MAX(AC$2:AC876)+1,"XX")</f>
        <v>XX</v>
      </c>
      <c r="AD877" s="429" t="str">
        <f>IF('Antal &amp; Längder (vikter)'!$C$113&lt;&gt;"",'Antal &amp; Längder (vikter)'!$C$113,"XX")</f>
        <v>XX</v>
      </c>
      <c r="AE877" s="424" t="str">
        <f>IF(AND('Antal &amp; Längder (vikter)'!D$115&lt;&gt;"",ISNUMBER($AH877)),'Antal &amp; Längder (vikter)'!D$115,"")</f>
        <v/>
      </c>
      <c r="AF877" s="425" t="str">
        <f t="shared" si="28"/>
        <v/>
      </c>
      <c r="AG877" s="426" t="str">
        <f t="shared" si="29"/>
        <v/>
      </c>
      <c r="AH877" s="409" t="str">
        <f>IF('Antal &amp; Längder (vikter)'!E$116="Längd (mm)",IF('Antal &amp; Längder (vikter)'!E121&lt;&gt;"",'Antal &amp; Längder (vikter)'!E121,"XX"),"XX")</f>
        <v>XX</v>
      </c>
      <c r="AI877" s="7">
        <v>-9</v>
      </c>
    </row>
    <row r="878" spans="25:35" x14ac:dyDescent="0.25">
      <c r="Y878" s="402" t="s">
        <v>1975</v>
      </c>
      <c r="Z878" s="402" t="s">
        <v>1974</v>
      </c>
      <c r="AB878" s="471" t="str">
        <f>IF(COUNT(AB873:AB877)&gt;0,MAX(AB873:AB877)+1,"")</f>
        <v/>
      </c>
      <c r="AC878" s="433" t="str">
        <f>IF(AND(AH878&lt;&gt;"",AG878&lt;&gt;"",AI878&gt;0,AH878&gt;0),MAX(AC$2:AC877)+1,"XX")</f>
        <v>XX</v>
      </c>
      <c r="AD878" s="429" t="str">
        <f>IF('Antal &amp; Längder (vikter)'!$C$113&lt;&gt;"",'Antal &amp; Längder (vikter)'!$C$113,"XX")</f>
        <v>XX</v>
      </c>
      <c r="AE878" s="424" t="str">
        <f>IF(AND('Antal &amp; Längder (vikter)'!D$115&lt;&gt;"",ISNUMBER($AH878)),'Antal &amp; Längder (vikter)'!D$115,"")</f>
        <v/>
      </c>
      <c r="AF878" s="425" t="str">
        <f t="shared" si="28"/>
        <v/>
      </c>
      <c r="AG878" s="426" t="str">
        <f t="shared" si="29"/>
        <v/>
      </c>
      <c r="AH878" s="409" t="str">
        <f>IF('Antal &amp; Längder (vikter)'!E$116="Längd (mm)",IF('Antal &amp; Längder (vikter)'!E122&lt;&gt;"",'Antal &amp; Längder (vikter)'!E122,"XX"),"XX")</f>
        <v>XX</v>
      </c>
      <c r="AI878" s="7">
        <v>-9</v>
      </c>
    </row>
    <row r="879" spans="25:35" x14ac:dyDescent="0.25">
      <c r="Y879" s="402" t="s">
        <v>2267</v>
      </c>
      <c r="Z879" s="402" t="s">
        <v>2266</v>
      </c>
      <c r="AB879" s="474" t="str">
        <f>IF(COUNT(AB873:AB878)&gt;0,MAX(AB873:AB878)+1,"")</f>
        <v/>
      </c>
      <c r="AC879" s="433" t="str">
        <f>IF(AND(AH879&lt;&gt;"",AG879&lt;&gt;"",AI879&gt;0,AH879&gt;0),MAX(AC$2:AC878)+1,"XX")</f>
        <v>XX</v>
      </c>
      <c r="AD879" s="429" t="str">
        <f>IF('Antal &amp; Längder (vikter)'!$C$113&lt;&gt;"",'Antal &amp; Längder (vikter)'!$C$113,"XX")</f>
        <v>XX</v>
      </c>
      <c r="AE879" s="424" t="str">
        <f>IF(AND('Antal &amp; Längder (vikter)'!D$115&lt;&gt;"",ISNUMBER($AH879)),'Antal &amp; Längder (vikter)'!D$115,"")</f>
        <v/>
      </c>
      <c r="AF879" s="425" t="str">
        <f t="shared" si="28"/>
        <v/>
      </c>
      <c r="AG879" s="426" t="str">
        <f t="shared" si="29"/>
        <v/>
      </c>
      <c r="AH879" s="409" t="str">
        <f>IF('Antal &amp; Längder (vikter)'!E$116="Längd (mm)",IF('Antal &amp; Längder (vikter)'!E123&lt;&gt;"",'Antal &amp; Längder (vikter)'!E123,"XX"),"XX")</f>
        <v>XX</v>
      </c>
      <c r="AI879" s="7">
        <v>-9</v>
      </c>
    </row>
    <row r="880" spans="25:35" x14ac:dyDescent="0.25">
      <c r="Y880" s="402" t="s">
        <v>1977</v>
      </c>
      <c r="Z880" s="402" t="s">
        <v>1976</v>
      </c>
      <c r="AB880" s="478" t="str">
        <f>IF(COUNT(AB873:AB879)&gt;0,MAX(AB873:AB879)+1,"")</f>
        <v/>
      </c>
      <c r="AC880" s="433" t="str">
        <f>IF(AND(AH880&lt;&gt;"",AG880&lt;&gt;"",AI880&gt;0,AH880&gt;0),MAX(AC$2:AC879)+1,"XX")</f>
        <v>XX</v>
      </c>
      <c r="AD880" s="429" t="str">
        <f>IF('Antal &amp; Längder (vikter)'!$C$113&lt;&gt;"",'Antal &amp; Längder (vikter)'!$C$113,"XX")</f>
        <v>XX</v>
      </c>
      <c r="AE880" s="424" t="str">
        <f>IF(AND('Antal &amp; Längder (vikter)'!D$115&lt;&gt;"",ISNUMBER($AH880)),'Antal &amp; Längder (vikter)'!D$115,"")</f>
        <v/>
      </c>
      <c r="AF880" s="425" t="str">
        <f t="shared" si="28"/>
        <v/>
      </c>
      <c r="AG880" s="426" t="str">
        <f t="shared" si="29"/>
        <v/>
      </c>
      <c r="AH880" s="409" t="str">
        <f>IF('Antal &amp; Längder (vikter)'!E$116="Längd (mm)",IF('Antal &amp; Längder (vikter)'!E124&lt;&gt;"",'Antal &amp; Längder (vikter)'!E124,"XX"),"XX")</f>
        <v>XX</v>
      </c>
      <c r="AI880" s="7">
        <v>-9</v>
      </c>
    </row>
    <row r="881" spans="25:35" x14ac:dyDescent="0.25">
      <c r="Y881" s="402" t="s">
        <v>1952</v>
      </c>
      <c r="Z881" s="402" t="s">
        <v>1951</v>
      </c>
      <c r="AB881" s="472" t="str">
        <f>IF(COUNT(AB873:AB880)&gt;0,MAX(AB873:AB880)+1,"")</f>
        <v/>
      </c>
      <c r="AC881" s="433" t="str">
        <f>IF(AND(AH881&lt;&gt;"",AG881&lt;&gt;"",AI881&gt;0,AH881&gt;0),MAX(AC$2:AC880)+1,"XX")</f>
        <v>XX</v>
      </c>
      <c r="AD881" s="429" t="str">
        <f>IF('Antal &amp; Längder (vikter)'!$C$113&lt;&gt;"",'Antal &amp; Längder (vikter)'!$C$113,"XX")</f>
        <v>XX</v>
      </c>
      <c r="AE881" s="424" t="str">
        <f>IF(AND('Antal &amp; Längder (vikter)'!D$115&lt;&gt;"",ISNUMBER($AH881)),'Antal &amp; Längder (vikter)'!D$115,"")</f>
        <v/>
      </c>
      <c r="AF881" s="425" t="str">
        <f t="shared" si="28"/>
        <v/>
      </c>
      <c r="AG881" s="426" t="str">
        <f t="shared" si="29"/>
        <v/>
      </c>
      <c r="AH881" s="409" t="str">
        <f>IF('Antal &amp; Längder (vikter)'!E$116="Längd (mm)",IF('Antal &amp; Längder (vikter)'!E125&lt;&gt;"",'Antal &amp; Längder (vikter)'!E125,"XX"),"XX")</f>
        <v>XX</v>
      </c>
      <c r="AI881" s="7">
        <v>-9</v>
      </c>
    </row>
    <row r="882" spans="25:35" x14ac:dyDescent="0.25">
      <c r="Y882" s="402" t="s">
        <v>2493</v>
      </c>
      <c r="Z882" s="402" t="s">
        <v>2492</v>
      </c>
      <c r="AB882" s="479" t="str">
        <f>IF(COUNT(AB873:AB881)&gt;0,MAX(AB873:AB881)+1,"")</f>
        <v/>
      </c>
      <c r="AC882" s="433" t="str">
        <f>IF(AND(AH882&lt;&gt;"",AG882&lt;&gt;"",AI882&gt;0,AH882&gt;0),MAX(AC$2:AC881)+1,"XX")</f>
        <v>XX</v>
      </c>
      <c r="AD882" s="429" t="str">
        <f>IF('Antal &amp; Längder (vikter)'!$C$113&lt;&gt;"",'Antal &amp; Längder (vikter)'!$C$113,"XX")</f>
        <v>XX</v>
      </c>
      <c r="AE882" s="424" t="str">
        <f>IF(AND('Antal &amp; Längder (vikter)'!D$115&lt;&gt;"",ISNUMBER($AH882)),'Antal &amp; Längder (vikter)'!D$115,"")</f>
        <v/>
      </c>
      <c r="AF882" s="425" t="str">
        <f t="shared" si="28"/>
        <v/>
      </c>
      <c r="AG882" s="426" t="str">
        <f t="shared" si="29"/>
        <v/>
      </c>
      <c r="AH882" s="409" t="str">
        <f>IF('Antal &amp; Längder (vikter)'!E$116="Längd (mm)",IF('Antal &amp; Längder (vikter)'!E126&lt;&gt;"",'Antal &amp; Längder (vikter)'!E126,"XX"),"XX")</f>
        <v>XX</v>
      </c>
      <c r="AI882" s="7">
        <v>-9</v>
      </c>
    </row>
    <row r="883" spans="25:35" x14ac:dyDescent="0.25">
      <c r="Y883" s="402" t="s">
        <v>2269</v>
      </c>
      <c r="Z883" s="402" t="s">
        <v>2268</v>
      </c>
      <c r="AB883" s="480" t="str">
        <f>IF(AND(ISNUMBER(AH883),AH883&gt;0),IF(MAX(AB$3:AB882)&gt;0,MAX(AB$3:AB882)+1,10+COUNTIF(F$38:F$49,"&gt;0")*10+1),"")</f>
        <v/>
      </c>
      <c r="AC883" s="433" t="str">
        <f>IF(AND(AH883&lt;&gt;"",AG883&lt;&gt;"",AI883&gt;0,AH883&gt;0),MAX(AC$2:AC882)+1,"XX")</f>
        <v>XX</v>
      </c>
      <c r="AD883" s="429" t="str">
        <f>IF('Antal &amp; Längder (vikter)'!$C$113&lt;&gt;"",'Antal &amp; Längder (vikter)'!$C$113,"XX")</f>
        <v>XX</v>
      </c>
      <c r="AE883" s="421" t="str">
        <f>IF(AND('Antal &amp; Längder (vikter)'!F$115&lt;&gt;"",ISNUMBER($AH883)),'Antal &amp; Längder (vikter)'!F$115,"")</f>
        <v/>
      </c>
      <c r="AF883" s="425" t="str">
        <f t="shared" si="28"/>
        <v/>
      </c>
      <c r="AG883" s="426" t="str">
        <f t="shared" si="29"/>
        <v/>
      </c>
      <c r="AH883" s="407" t="str">
        <f>IF('Antal &amp; Längder (vikter)'!F117&lt;&gt;"",'Antal &amp; Längder (vikter)'!F117,"XX")</f>
        <v>XX</v>
      </c>
      <c r="AI883" s="404">
        <f>IF('Antal &amp; Längder (vikter)'!G$116="Vikt (g)",IF('Antal &amp; Längder (vikter)'!G117&lt;&gt;"",'Antal &amp; Längder (vikter)'!G117,-9),-9)</f>
        <v>-9</v>
      </c>
    </row>
    <row r="884" spans="25:35" x14ac:dyDescent="0.25">
      <c r="Y884" s="402" t="s">
        <v>2271</v>
      </c>
      <c r="Z884" s="402" t="s">
        <v>2270</v>
      </c>
      <c r="AB884" s="476" t="str">
        <f>IF(COUNT(AB883:AB883)&gt;0,MAX(AB883:AB883)+1,"")</f>
        <v/>
      </c>
      <c r="AC884" s="433" t="str">
        <f>IF(AND(AH884&lt;&gt;"",AG884&lt;&gt;"",AI884&gt;0,AH884&gt;0),MAX(AC$2:AC883)+1,"XX")</f>
        <v>XX</v>
      </c>
      <c r="AD884" s="429" t="str">
        <f>IF('Antal &amp; Längder (vikter)'!$C$113&lt;&gt;"",'Antal &amp; Längder (vikter)'!$C$113,"XX")</f>
        <v>XX</v>
      </c>
      <c r="AE884" s="421" t="str">
        <f>IF(AND('Antal &amp; Längder (vikter)'!F$115&lt;&gt;"",ISNUMBER($AH884)),'Antal &amp; Längder (vikter)'!F$115,"")</f>
        <v/>
      </c>
      <c r="AF884" s="425" t="str">
        <f t="shared" si="28"/>
        <v/>
      </c>
      <c r="AG884" s="426" t="str">
        <f t="shared" si="29"/>
        <v/>
      </c>
      <c r="AH884" s="407" t="str">
        <f>IF('Antal &amp; Längder (vikter)'!F118&lt;&gt;"",'Antal &amp; Längder (vikter)'!F118,"XX")</f>
        <v>XX</v>
      </c>
      <c r="AI884" s="404">
        <f>IF('Antal &amp; Längder (vikter)'!G$116="Vikt (g)",IF('Antal &amp; Längder (vikter)'!G118&lt;&gt;"",'Antal &amp; Längder (vikter)'!G118,-9),-9)</f>
        <v>-9</v>
      </c>
    </row>
    <row r="885" spans="25:35" x14ac:dyDescent="0.25">
      <c r="Y885" s="402" t="s">
        <v>1548</v>
      </c>
      <c r="Z885" s="402" t="s">
        <v>1547</v>
      </c>
      <c r="AB885" s="477" t="str">
        <f>IF(COUNT(AB883:AB884)&gt;0,MAX(AB883:AB884)+1,"")</f>
        <v/>
      </c>
      <c r="AC885" s="433" t="str">
        <f>IF(AND(AH885&lt;&gt;"",AG885&lt;&gt;"",AI885&gt;0,AH885&gt;0),MAX(AC$2:AC884)+1,"XX")</f>
        <v>XX</v>
      </c>
      <c r="AD885" s="429" t="str">
        <f>IF('Antal &amp; Längder (vikter)'!$C$113&lt;&gt;"",'Antal &amp; Längder (vikter)'!$C$113,"XX")</f>
        <v>XX</v>
      </c>
      <c r="AE885" s="421" t="str">
        <f>IF(AND('Antal &amp; Längder (vikter)'!F$115&lt;&gt;"",ISNUMBER($AH885)),'Antal &amp; Längder (vikter)'!F$115,"")</f>
        <v/>
      </c>
      <c r="AF885" s="425" t="str">
        <f t="shared" si="28"/>
        <v/>
      </c>
      <c r="AG885" s="426" t="str">
        <f t="shared" si="29"/>
        <v/>
      </c>
      <c r="AH885" s="407" t="str">
        <f>IF('Antal &amp; Längder (vikter)'!F119&lt;&gt;"",'Antal &amp; Längder (vikter)'!F119,"XX")</f>
        <v>XX</v>
      </c>
      <c r="AI885" s="404">
        <f>IF('Antal &amp; Längder (vikter)'!G$116="Vikt (g)",IF('Antal &amp; Längder (vikter)'!G119&lt;&gt;"",'Antal &amp; Längder (vikter)'!G119,-9),-9)</f>
        <v>-9</v>
      </c>
    </row>
    <row r="886" spans="25:35" x14ac:dyDescent="0.25">
      <c r="Y886" s="402" t="s">
        <v>1538</v>
      </c>
      <c r="Z886" s="402" t="s">
        <v>1537</v>
      </c>
      <c r="AB886" s="434" t="str">
        <f>IF(COUNT(AB883:AB885)&gt;0,MAX(AB883:AB885)+1,"")</f>
        <v/>
      </c>
      <c r="AC886" s="433" t="str">
        <f>IF(AND(AH886&lt;&gt;"",AG886&lt;&gt;"",AI886&gt;0,AH886&gt;0),MAX(AC$2:AC885)+1,"XX")</f>
        <v>XX</v>
      </c>
      <c r="AD886" s="429" t="str">
        <f>IF('Antal &amp; Längder (vikter)'!$C$113&lt;&gt;"",'Antal &amp; Längder (vikter)'!$C$113,"XX")</f>
        <v>XX</v>
      </c>
      <c r="AE886" s="421" t="str">
        <f>IF(AND('Antal &amp; Längder (vikter)'!F$115&lt;&gt;"",ISNUMBER($AH886)),'Antal &amp; Längder (vikter)'!F$115,"")</f>
        <v/>
      </c>
      <c r="AF886" s="425" t="str">
        <f t="shared" si="28"/>
        <v/>
      </c>
      <c r="AG886" s="426" t="str">
        <f t="shared" si="29"/>
        <v/>
      </c>
      <c r="AH886" s="407" t="str">
        <f>IF('Antal &amp; Längder (vikter)'!F120&lt;&gt;"",'Antal &amp; Längder (vikter)'!F120,"XX")</f>
        <v>XX</v>
      </c>
      <c r="AI886" s="404">
        <f>IF('Antal &amp; Längder (vikter)'!G$116="Vikt (g)",IF('Antal &amp; Längder (vikter)'!G120&lt;&gt;"",'Antal &amp; Längder (vikter)'!G120,-9),-9)</f>
        <v>-9</v>
      </c>
    </row>
    <row r="887" spans="25:35" x14ac:dyDescent="0.25">
      <c r="Y887" s="402" t="s">
        <v>1531</v>
      </c>
      <c r="Z887" s="402" t="s">
        <v>1530</v>
      </c>
      <c r="AB887" s="475" t="str">
        <f>IF(COUNT(AB883:AB886)&gt;0,MAX(AB883:AB886)+1,"")</f>
        <v/>
      </c>
      <c r="AC887" s="433" t="str">
        <f>IF(AND(AH887&lt;&gt;"",AG887&lt;&gt;"",AI887&gt;0,AH887&gt;0),MAX(AC$2:AC886)+1,"XX")</f>
        <v>XX</v>
      </c>
      <c r="AD887" s="429" t="str">
        <f>IF('Antal &amp; Längder (vikter)'!$C$113&lt;&gt;"",'Antal &amp; Längder (vikter)'!$C$113,"XX")</f>
        <v>XX</v>
      </c>
      <c r="AE887" s="421" t="str">
        <f>IF(AND('Antal &amp; Längder (vikter)'!F$115&lt;&gt;"",ISNUMBER($AH887)),'Antal &amp; Längder (vikter)'!F$115,"")</f>
        <v/>
      </c>
      <c r="AF887" s="425" t="str">
        <f t="shared" si="28"/>
        <v/>
      </c>
      <c r="AG887" s="426" t="str">
        <f t="shared" si="29"/>
        <v/>
      </c>
      <c r="AH887" s="407" t="str">
        <f>IF('Antal &amp; Längder (vikter)'!F121&lt;&gt;"",'Antal &amp; Längder (vikter)'!F121,"XX")</f>
        <v>XX</v>
      </c>
      <c r="AI887" s="404">
        <f>IF('Antal &amp; Längder (vikter)'!G$116="Vikt (g)",IF('Antal &amp; Längder (vikter)'!G121&lt;&gt;"",'Antal &amp; Längder (vikter)'!G121,-9),-9)</f>
        <v>-9</v>
      </c>
    </row>
    <row r="888" spans="25:35" x14ac:dyDescent="0.25">
      <c r="Y888" s="402" t="s">
        <v>2499</v>
      </c>
      <c r="Z888" s="402" t="s">
        <v>2498</v>
      </c>
      <c r="AB888" s="471" t="str">
        <f>IF(COUNT(AB883:AB887)&gt;0,MAX(AB883:AB887)+1,"")</f>
        <v/>
      </c>
      <c r="AC888" s="433" t="str">
        <f>IF(AND(AH888&lt;&gt;"",AG888&lt;&gt;"",AI888&gt;0,AH888&gt;0),MAX(AC$2:AC887)+1,"XX")</f>
        <v>XX</v>
      </c>
      <c r="AD888" s="429" t="str">
        <f>IF('Antal &amp; Längder (vikter)'!$C$113&lt;&gt;"",'Antal &amp; Längder (vikter)'!$C$113,"XX")</f>
        <v>XX</v>
      </c>
      <c r="AE888" s="421" t="str">
        <f>IF(AND('Antal &amp; Längder (vikter)'!F$115&lt;&gt;"",ISNUMBER($AH888)),'Antal &amp; Längder (vikter)'!F$115,"")</f>
        <v/>
      </c>
      <c r="AF888" s="425" t="str">
        <f t="shared" si="28"/>
        <v/>
      </c>
      <c r="AG888" s="426" t="str">
        <f t="shared" si="29"/>
        <v/>
      </c>
      <c r="AH888" s="407" t="str">
        <f>IF('Antal &amp; Längder (vikter)'!F122&lt;&gt;"",'Antal &amp; Längder (vikter)'!F122,"XX")</f>
        <v>XX</v>
      </c>
      <c r="AI888" s="404">
        <f>IF('Antal &amp; Längder (vikter)'!G$116="Vikt (g)",IF('Antal &amp; Längder (vikter)'!G122&lt;&gt;"",'Antal &amp; Längder (vikter)'!G122,-9),-9)</f>
        <v>-9</v>
      </c>
    </row>
    <row r="889" spans="25:35" x14ac:dyDescent="0.25">
      <c r="Y889" s="397"/>
      <c r="Z889" s="397"/>
      <c r="AB889" s="474" t="str">
        <f>IF(COUNT(AB883:AB888)&gt;0,MAX(AB883:AB888)+1,"")</f>
        <v/>
      </c>
      <c r="AC889" s="433" t="str">
        <f>IF(AND(AH889&lt;&gt;"",AG889&lt;&gt;"",AI889&gt;0,AH889&gt;0),MAX(AC$2:AC888)+1,"XX")</f>
        <v>XX</v>
      </c>
      <c r="AD889" s="429" t="str">
        <f>IF('Antal &amp; Längder (vikter)'!$C$113&lt;&gt;"",'Antal &amp; Längder (vikter)'!$C$113,"XX")</f>
        <v>XX</v>
      </c>
      <c r="AE889" s="421" t="str">
        <f>IF(AND('Antal &amp; Längder (vikter)'!F$115&lt;&gt;"",ISNUMBER($AH889)),'Antal &amp; Längder (vikter)'!F$115,"")</f>
        <v/>
      </c>
      <c r="AF889" s="425" t="str">
        <f t="shared" si="28"/>
        <v/>
      </c>
      <c r="AG889" s="426" t="str">
        <f t="shared" si="29"/>
        <v/>
      </c>
      <c r="AH889" s="407" t="str">
        <f>IF('Antal &amp; Längder (vikter)'!F123&lt;&gt;"",'Antal &amp; Längder (vikter)'!F123,"XX")</f>
        <v>XX</v>
      </c>
      <c r="AI889" s="404">
        <f>IF('Antal &amp; Längder (vikter)'!G$116="Vikt (g)",IF('Antal &amp; Längder (vikter)'!G123&lt;&gt;"",'Antal &amp; Längder (vikter)'!G123,-9),-9)</f>
        <v>-9</v>
      </c>
    </row>
    <row r="890" spans="25:35" x14ac:dyDescent="0.25">
      <c r="Y890" s="397"/>
      <c r="Z890" s="397"/>
      <c r="AB890" s="478" t="str">
        <f>IF(COUNT(AB883:AB889)&gt;0,MAX(AB883:AB889)+1,"")</f>
        <v/>
      </c>
      <c r="AC890" s="433" t="str">
        <f>IF(AND(AH890&lt;&gt;"",AG890&lt;&gt;"",AI890&gt;0,AH890&gt;0),MAX(AC$2:AC889)+1,"XX")</f>
        <v>XX</v>
      </c>
      <c r="AD890" s="429" t="str">
        <f>IF('Antal &amp; Längder (vikter)'!$C$113&lt;&gt;"",'Antal &amp; Längder (vikter)'!$C$113,"XX")</f>
        <v>XX</v>
      </c>
      <c r="AE890" s="421" t="str">
        <f>IF(AND('Antal &amp; Längder (vikter)'!F$115&lt;&gt;"",ISNUMBER($AH890)),'Antal &amp; Längder (vikter)'!F$115,"")</f>
        <v/>
      </c>
      <c r="AF890" s="425" t="str">
        <f t="shared" si="28"/>
        <v/>
      </c>
      <c r="AG890" s="426" t="str">
        <f t="shared" si="29"/>
        <v/>
      </c>
      <c r="AH890" s="407" t="str">
        <f>IF('Antal &amp; Längder (vikter)'!F124&lt;&gt;"",'Antal &amp; Längder (vikter)'!F124,"XX")</f>
        <v>XX</v>
      </c>
      <c r="AI890" s="404">
        <f>IF('Antal &amp; Längder (vikter)'!G$116="Vikt (g)",IF('Antal &amp; Längder (vikter)'!G124&lt;&gt;"",'Antal &amp; Längder (vikter)'!G124,-9),-9)</f>
        <v>-9</v>
      </c>
    </row>
    <row r="891" spans="25:35" x14ac:dyDescent="0.25">
      <c r="Y891" s="397"/>
      <c r="Z891" s="397"/>
      <c r="AB891" s="472" t="str">
        <f>IF(COUNT(AB883:AB890)&gt;0,MAX(AB883:AB890)+1,"")</f>
        <v/>
      </c>
      <c r="AC891" s="433" t="str">
        <f>IF(AND(AH891&lt;&gt;"",AG891&lt;&gt;"",AI891&gt;0,AH891&gt;0),MAX(AC$2:AC890)+1,"XX")</f>
        <v>XX</v>
      </c>
      <c r="AD891" s="429" t="str">
        <f>IF('Antal &amp; Längder (vikter)'!$C$113&lt;&gt;"",'Antal &amp; Längder (vikter)'!$C$113,"XX")</f>
        <v>XX</v>
      </c>
      <c r="AE891" s="421" t="str">
        <f>IF(AND('Antal &amp; Längder (vikter)'!F$115&lt;&gt;"",ISNUMBER($AH891)),'Antal &amp; Längder (vikter)'!F$115,"")</f>
        <v/>
      </c>
      <c r="AF891" s="425" t="str">
        <f t="shared" si="28"/>
        <v/>
      </c>
      <c r="AG891" s="426" t="str">
        <f t="shared" si="29"/>
        <v/>
      </c>
      <c r="AH891" s="407" t="str">
        <f>IF('Antal &amp; Längder (vikter)'!F125&lt;&gt;"",'Antal &amp; Längder (vikter)'!F125,"XX")</f>
        <v>XX</v>
      </c>
      <c r="AI891" s="404">
        <f>IF('Antal &amp; Längder (vikter)'!G$116="Vikt (g)",IF('Antal &amp; Längder (vikter)'!G125&lt;&gt;"",'Antal &amp; Längder (vikter)'!G125,-9),-9)</f>
        <v>-9</v>
      </c>
    </row>
    <row r="892" spans="25:35" x14ac:dyDescent="0.25">
      <c r="Y892" s="397"/>
      <c r="Z892" s="397"/>
      <c r="AB892" s="479" t="str">
        <f>IF(COUNT(AB883:AB891)&gt;0,MAX(AB883:AB891)+1,"")</f>
        <v/>
      </c>
      <c r="AC892" s="433" t="str">
        <f>IF(AND(AH892&lt;&gt;"",AG892&lt;&gt;"",AI892&gt;0,AH892&gt;0),MAX(AC$2:AC891)+1,"XX")</f>
        <v>XX</v>
      </c>
      <c r="AD892" s="429" t="str">
        <f>IF('Antal &amp; Längder (vikter)'!$C$113&lt;&gt;"",'Antal &amp; Längder (vikter)'!$C$113,"XX")</f>
        <v>XX</v>
      </c>
      <c r="AE892" s="421" t="str">
        <f>IF(AND('Antal &amp; Längder (vikter)'!F$115&lt;&gt;"",ISNUMBER($AH892)),'Antal &amp; Längder (vikter)'!F$115,"")</f>
        <v/>
      </c>
      <c r="AF892" s="425" t="str">
        <f t="shared" si="28"/>
        <v/>
      </c>
      <c r="AG892" s="426" t="str">
        <f t="shared" si="29"/>
        <v/>
      </c>
      <c r="AH892" s="407" t="str">
        <f>IF('Antal &amp; Längder (vikter)'!F126&lt;&gt;"",'Antal &amp; Längder (vikter)'!F126,"XX")</f>
        <v>XX</v>
      </c>
      <c r="AI892" s="404">
        <f>IF('Antal &amp; Längder (vikter)'!G$116="Vikt (g)",IF('Antal &amp; Längder (vikter)'!G126&lt;&gt;"",'Antal &amp; Längder (vikter)'!G126,-9),-9)</f>
        <v>-9</v>
      </c>
    </row>
    <row r="893" spans="25:35" x14ac:dyDescent="0.25">
      <c r="Y893" s="397"/>
      <c r="Z893" s="397"/>
      <c r="AB893" s="480" t="str">
        <f>IF(AND(ISNUMBER(AH893),AH893&gt;0),IF(MAX(AB$3:AB892)&gt;0,MAX(AB$3:AB892)+1,10+COUNTIF(F$38:F$49,"&gt;0")*10+1),"")</f>
        <v/>
      </c>
      <c r="AC893" s="433" t="str">
        <f>IF(AND(AH893&lt;&gt;"",AG893&lt;&gt;"",AI893&gt;0,AH893&gt;0),MAX(AC$2:AC892)+1,"XX")</f>
        <v>XX</v>
      </c>
      <c r="AD893" s="429" t="str">
        <f>IF('Antal &amp; Längder (vikter)'!$C$113&lt;&gt;"",'Antal &amp; Längder (vikter)'!$C$113,"XX")</f>
        <v>XX</v>
      </c>
      <c r="AE893" s="421" t="str">
        <f>IF(AND('Antal &amp; Längder (vikter)'!F$115&lt;&gt;"",ISNUMBER($AH893)),'Antal &amp; Längder (vikter)'!F$115,"")</f>
        <v/>
      </c>
      <c r="AF893" s="425" t="str">
        <f t="shared" si="28"/>
        <v/>
      </c>
      <c r="AG893" s="426" t="str">
        <f t="shared" si="29"/>
        <v/>
      </c>
      <c r="AH893" s="409" t="str">
        <f>IF('Antal &amp; Längder (vikter)'!G$116="Längd (mm)",IF('Antal &amp; Längder (vikter)'!G117&lt;&gt;"",'Antal &amp; Längder (vikter)'!G117,"XX"),"XX")</f>
        <v>XX</v>
      </c>
      <c r="AI893" s="7">
        <v>-9</v>
      </c>
    </row>
    <row r="894" spans="25:35" x14ac:dyDescent="0.25">
      <c r="Y894" s="397"/>
      <c r="Z894" s="397"/>
      <c r="AB894" s="476" t="str">
        <f>IF(COUNT(AB893:AB893)&gt;0,MAX(AB893:AB893)+1,"")</f>
        <v/>
      </c>
      <c r="AC894" s="433" t="str">
        <f>IF(AND(AH894&lt;&gt;"",AG894&lt;&gt;"",AI894&gt;0,AH894&gt;0),MAX(AC$2:AC893)+1,"XX")</f>
        <v>XX</v>
      </c>
      <c r="AD894" s="429" t="str">
        <f>IF('Antal &amp; Längder (vikter)'!$C$113&lt;&gt;"",'Antal &amp; Längder (vikter)'!$C$113,"XX")</f>
        <v>XX</v>
      </c>
      <c r="AE894" s="421" t="str">
        <f>IF(AND('Antal &amp; Längder (vikter)'!F$115&lt;&gt;"",ISNUMBER($AH894)),'Antal &amp; Längder (vikter)'!F$115,"")</f>
        <v/>
      </c>
      <c r="AF894" s="425" t="str">
        <f t="shared" si="28"/>
        <v/>
      </c>
      <c r="AG894" s="426" t="str">
        <f t="shared" si="29"/>
        <v/>
      </c>
      <c r="AH894" s="409" t="str">
        <f>IF('Antal &amp; Längder (vikter)'!G$116="Längd (mm)",IF('Antal &amp; Längder (vikter)'!G118&lt;&gt;"",'Antal &amp; Längder (vikter)'!G118,"XX"),"XX")</f>
        <v>XX</v>
      </c>
      <c r="AI894" s="7">
        <v>-9</v>
      </c>
    </row>
    <row r="895" spans="25:35" x14ac:dyDescent="0.25">
      <c r="Y895" s="397"/>
      <c r="Z895" s="397"/>
      <c r="AB895" s="477" t="str">
        <f>IF(COUNT(AB893:AB894)&gt;0,MAX(AB893:AB894)+1,"")</f>
        <v/>
      </c>
      <c r="AC895" s="433" t="str">
        <f>IF(AND(AH895&lt;&gt;"",AG895&lt;&gt;"",AI895&gt;0,AH895&gt;0),MAX(AC$2:AC894)+1,"XX")</f>
        <v>XX</v>
      </c>
      <c r="AD895" s="429" t="str">
        <f>IF('Antal &amp; Längder (vikter)'!$C$113&lt;&gt;"",'Antal &amp; Längder (vikter)'!$C$113,"XX")</f>
        <v>XX</v>
      </c>
      <c r="AE895" s="421" t="str">
        <f>IF(AND('Antal &amp; Längder (vikter)'!F$115&lt;&gt;"",ISNUMBER($AH895)),'Antal &amp; Längder (vikter)'!F$115,"")</f>
        <v/>
      </c>
      <c r="AF895" s="425" t="str">
        <f t="shared" si="28"/>
        <v/>
      </c>
      <c r="AG895" s="426" t="str">
        <f t="shared" si="29"/>
        <v/>
      </c>
      <c r="AH895" s="409" t="str">
        <f>IF('Antal &amp; Längder (vikter)'!G$116="Längd (mm)",IF('Antal &amp; Längder (vikter)'!G119&lt;&gt;"",'Antal &amp; Längder (vikter)'!G119,"XX"),"XX")</f>
        <v>XX</v>
      </c>
      <c r="AI895" s="7">
        <v>-9</v>
      </c>
    </row>
    <row r="896" spans="25:35" x14ac:dyDescent="0.25">
      <c r="Y896" s="397"/>
      <c r="Z896" s="397"/>
      <c r="AB896" s="434" t="str">
        <f>IF(COUNT(AB893:AB895)&gt;0,MAX(AB893:AB895)+1,"")</f>
        <v/>
      </c>
      <c r="AC896" s="433" t="str">
        <f>IF(AND(AH896&lt;&gt;"",AG896&lt;&gt;"",AI896&gt;0,AH896&gt;0),MAX(AC$2:AC895)+1,"XX")</f>
        <v>XX</v>
      </c>
      <c r="AD896" s="429" t="str">
        <f>IF('Antal &amp; Längder (vikter)'!$C$113&lt;&gt;"",'Antal &amp; Längder (vikter)'!$C$113,"XX")</f>
        <v>XX</v>
      </c>
      <c r="AE896" s="421" t="str">
        <f>IF(AND('Antal &amp; Längder (vikter)'!F$115&lt;&gt;"",ISNUMBER($AH896)),'Antal &amp; Längder (vikter)'!F$115,"")</f>
        <v/>
      </c>
      <c r="AF896" s="425" t="str">
        <f t="shared" si="28"/>
        <v/>
      </c>
      <c r="AG896" s="426" t="str">
        <f t="shared" si="29"/>
        <v/>
      </c>
      <c r="AH896" s="409" t="str">
        <f>IF('Antal &amp; Längder (vikter)'!G$116="Längd (mm)",IF('Antal &amp; Längder (vikter)'!G120&lt;&gt;"",'Antal &amp; Längder (vikter)'!G120,"XX"),"XX")</f>
        <v>XX</v>
      </c>
      <c r="AI896" s="7">
        <v>-9</v>
      </c>
    </row>
    <row r="897" spans="25:35" x14ac:dyDescent="0.25">
      <c r="Y897" s="397"/>
      <c r="Z897" s="397"/>
      <c r="AB897" s="475" t="str">
        <f>IF(COUNT(AB893:AB896)&gt;0,MAX(AB893:AB896)+1,"")</f>
        <v/>
      </c>
      <c r="AC897" s="433" t="str">
        <f>IF(AND(AH897&lt;&gt;"",AG897&lt;&gt;"",AI897&gt;0,AH897&gt;0),MAX(AC$2:AC896)+1,"XX")</f>
        <v>XX</v>
      </c>
      <c r="AD897" s="429" t="str">
        <f>IF('Antal &amp; Längder (vikter)'!$C$113&lt;&gt;"",'Antal &amp; Längder (vikter)'!$C$113,"XX")</f>
        <v>XX</v>
      </c>
      <c r="AE897" s="421" t="str">
        <f>IF(AND('Antal &amp; Längder (vikter)'!F$115&lt;&gt;"",ISNUMBER($AH897)),'Antal &amp; Längder (vikter)'!F$115,"")</f>
        <v/>
      </c>
      <c r="AF897" s="425" t="str">
        <f t="shared" si="28"/>
        <v/>
      </c>
      <c r="AG897" s="426" t="str">
        <f t="shared" si="29"/>
        <v/>
      </c>
      <c r="AH897" s="409" t="str">
        <f>IF('Antal &amp; Längder (vikter)'!G$116="Längd (mm)",IF('Antal &amp; Längder (vikter)'!G121&lt;&gt;"",'Antal &amp; Längder (vikter)'!G121,"XX"),"XX")</f>
        <v>XX</v>
      </c>
      <c r="AI897" s="7">
        <v>-9</v>
      </c>
    </row>
    <row r="898" spans="25:35" x14ac:dyDescent="0.25">
      <c r="Y898" s="397"/>
      <c r="Z898" s="397"/>
      <c r="AB898" s="471" t="str">
        <f>IF(COUNT(AB893:AB897)&gt;0,MAX(AB893:AB897)+1,"")</f>
        <v/>
      </c>
      <c r="AC898" s="433" t="str">
        <f>IF(AND(AH898&lt;&gt;"",AG898&lt;&gt;"",AI898&gt;0,AH898&gt;0),MAX(AC$2:AC897)+1,"XX")</f>
        <v>XX</v>
      </c>
      <c r="AD898" s="429" t="str">
        <f>IF('Antal &amp; Längder (vikter)'!$C$113&lt;&gt;"",'Antal &amp; Längder (vikter)'!$C$113,"XX")</f>
        <v>XX</v>
      </c>
      <c r="AE898" s="421" t="str">
        <f>IF(AND('Antal &amp; Längder (vikter)'!F$115&lt;&gt;"",ISNUMBER($AH898)),'Antal &amp; Längder (vikter)'!F$115,"")</f>
        <v/>
      </c>
      <c r="AF898" s="425" t="str">
        <f t="shared" si="28"/>
        <v/>
      </c>
      <c r="AG898" s="426" t="str">
        <f t="shared" si="29"/>
        <v/>
      </c>
      <c r="AH898" s="409" t="str">
        <f>IF('Antal &amp; Längder (vikter)'!G$116="Längd (mm)",IF('Antal &amp; Längder (vikter)'!G122&lt;&gt;"",'Antal &amp; Längder (vikter)'!G122,"XX"),"XX")</f>
        <v>XX</v>
      </c>
      <c r="AI898" s="7">
        <v>-9</v>
      </c>
    </row>
    <row r="899" spans="25:35" x14ac:dyDescent="0.25">
      <c r="Y899" s="397"/>
      <c r="Z899" s="397"/>
      <c r="AB899" s="474" t="str">
        <f>IF(COUNT(AB893:AB898)&gt;0,MAX(AB893:AB898)+1,"")</f>
        <v/>
      </c>
      <c r="AC899" s="433" t="str">
        <f>IF(AND(AH899&lt;&gt;"",AG899&lt;&gt;"",AI899&gt;0,AH899&gt;0),MAX(AC$2:AC898)+1,"XX")</f>
        <v>XX</v>
      </c>
      <c r="AD899" s="429" t="str">
        <f>IF('Antal &amp; Längder (vikter)'!$C$113&lt;&gt;"",'Antal &amp; Längder (vikter)'!$C$113,"XX")</f>
        <v>XX</v>
      </c>
      <c r="AE899" s="421" t="str">
        <f>IF(AND('Antal &amp; Längder (vikter)'!F$115&lt;&gt;"",ISNUMBER($AH899)),'Antal &amp; Längder (vikter)'!F$115,"")</f>
        <v/>
      </c>
      <c r="AF899" s="425" t="str">
        <f t="shared" ref="AF899:AF962" si="30">IF(AND(ISNUMBER(AH899),AE899&lt;&gt;""),VLOOKUP(AE899,$N$2:$O$60,2,FALSE),"")</f>
        <v/>
      </c>
      <c r="AG899" s="426" t="str">
        <f t="shared" ref="AG899:AG962" si="31">IF(AF899&lt;&gt;"",VLOOKUP(AF899,O$2:U$60,7,FALSE),"")</f>
        <v/>
      </c>
      <c r="AH899" s="409" t="str">
        <f>IF('Antal &amp; Längder (vikter)'!G$116="Längd (mm)",IF('Antal &amp; Längder (vikter)'!G123&lt;&gt;"",'Antal &amp; Längder (vikter)'!G123,"XX"),"XX")</f>
        <v>XX</v>
      </c>
      <c r="AI899" s="7">
        <v>-9</v>
      </c>
    </row>
    <row r="900" spans="25:35" x14ac:dyDescent="0.25">
      <c r="Y900" s="397"/>
      <c r="Z900" s="397"/>
      <c r="AB900" s="478" t="str">
        <f>IF(COUNT(AB893:AB899)&gt;0,MAX(AB893:AB899)+1,"")</f>
        <v/>
      </c>
      <c r="AC900" s="433" t="str">
        <f>IF(AND(AH900&lt;&gt;"",AG900&lt;&gt;"",AI900&gt;0,AH900&gt;0),MAX(AC$2:AC899)+1,"XX")</f>
        <v>XX</v>
      </c>
      <c r="AD900" s="429" t="str">
        <f>IF('Antal &amp; Längder (vikter)'!$C$113&lt;&gt;"",'Antal &amp; Längder (vikter)'!$C$113,"XX")</f>
        <v>XX</v>
      </c>
      <c r="AE900" s="421" t="str">
        <f>IF(AND('Antal &amp; Längder (vikter)'!F$115&lt;&gt;"",ISNUMBER($AH900)),'Antal &amp; Längder (vikter)'!F$115,"")</f>
        <v/>
      </c>
      <c r="AF900" s="425" t="str">
        <f t="shared" si="30"/>
        <v/>
      </c>
      <c r="AG900" s="426" t="str">
        <f t="shared" si="31"/>
        <v/>
      </c>
      <c r="AH900" s="409" t="str">
        <f>IF('Antal &amp; Längder (vikter)'!G$116="Längd (mm)",IF('Antal &amp; Längder (vikter)'!G124&lt;&gt;"",'Antal &amp; Längder (vikter)'!G124,"XX"),"XX")</f>
        <v>XX</v>
      </c>
      <c r="AI900" s="7">
        <v>-9</v>
      </c>
    </row>
    <row r="901" spans="25:35" x14ac:dyDescent="0.25">
      <c r="Y901" s="397"/>
      <c r="Z901" s="397"/>
      <c r="AB901" s="472" t="str">
        <f>IF(COUNT(AB893:AB900)&gt;0,MAX(AB893:AB900)+1,"")</f>
        <v/>
      </c>
      <c r="AC901" s="433" t="str">
        <f>IF(AND(AH901&lt;&gt;"",AG901&lt;&gt;"",AI901&gt;0,AH901&gt;0),MAX(AC$2:AC900)+1,"XX")</f>
        <v>XX</v>
      </c>
      <c r="AD901" s="429" t="str">
        <f>IF('Antal &amp; Längder (vikter)'!$C$113&lt;&gt;"",'Antal &amp; Längder (vikter)'!$C$113,"XX")</f>
        <v>XX</v>
      </c>
      <c r="AE901" s="421" t="str">
        <f>IF(AND('Antal &amp; Längder (vikter)'!F$115&lt;&gt;"",ISNUMBER($AH901)),'Antal &amp; Längder (vikter)'!F$115,"")</f>
        <v/>
      </c>
      <c r="AF901" s="425" t="str">
        <f t="shared" si="30"/>
        <v/>
      </c>
      <c r="AG901" s="426" t="str">
        <f t="shared" si="31"/>
        <v/>
      </c>
      <c r="AH901" s="409" t="str">
        <f>IF('Antal &amp; Längder (vikter)'!G$116="Längd (mm)",IF('Antal &amp; Längder (vikter)'!G125&lt;&gt;"",'Antal &amp; Längder (vikter)'!G125,"XX"),"XX")</f>
        <v>XX</v>
      </c>
      <c r="AI901" s="7">
        <v>-9</v>
      </c>
    </row>
    <row r="902" spans="25:35" x14ac:dyDescent="0.25">
      <c r="Y902" s="397"/>
      <c r="Z902" s="397"/>
      <c r="AB902" s="479" t="str">
        <f>IF(COUNT(AB893:AB901)&gt;0,MAX(AB893:AB901)+1,"")</f>
        <v/>
      </c>
      <c r="AC902" s="433" t="str">
        <f>IF(AND(AH902&lt;&gt;"",AG902&lt;&gt;"",AI902&gt;0,AH902&gt;0),MAX(AC$2:AC901)+1,"XX")</f>
        <v>XX</v>
      </c>
      <c r="AD902" s="429" t="str">
        <f>IF('Antal &amp; Längder (vikter)'!$C$113&lt;&gt;"",'Antal &amp; Längder (vikter)'!$C$113,"XX")</f>
        <v>XX</v>
      </c>
      <c r="AE902" s="421" t="str">
        <f>IF(AND('Antal &amp; Längder (vikter)'!F$115&lt;&gt;"",ISNUMBER($AH902)),'Antal &amp; Längder (vikter)'!F$115,"")</f>
        <v/>
      </c>
      <c r="AF902" s="425" t="str">
        <f t="shared" si="30"/>
        <v/>
      </c>
      <c r="AG902" s="426" t="str">
        <f t="shared" si="31"/>
        <v/>
      </c>
      <c r="AH902" s="409" t="str">
        <f>IF('Antal &amp; Längder (vikter)'!G$116="Längd (mm)",IF('Antal &amp; Längder (vikter)'!G126&lt;&gt;"",'Antal &amp; Längder (vikter)'!G126,"XX"),"XX")</f>
        <v>XX</v>
      </c>
      <c r="AI902" s="7">
        <v>-9</v>
      </c>
    </row>
    <row r="903" spans="25:35" x14ac:dyDescent="0.25">
      <c r="Y903" s="397"/>
      <c r="Z903" s="397"/>
      <c r="AB903" s="480" t="str">
        <f>IF(AND(ISNUMBER(AH903),AH903&gt;0),IF(MAX(AB$3:AB902)&gt;0,MAX(AB$3:AB902)+1,10+COUNTIF(F$38:F$49,"&gt;0")*10+1),"")</f>
        <v/>
      </c>
      <c r="AC903" s="433" t="str">
        <f>IF(AND(AH903&lt;&gt;"",AG903&lt;&gt;"",AI903&gt;0,AH903&gt;0),MAX(AC$2:AC902)+1,"XX")</f>
        <v>XX</v>
      </c>
      <c r="AD903" s="429" t="str">
        <f>IF('Antal &amp; Längder (vikter)'!$C$113&lt;&gt;"",'Antal &amp; Längder (vikter)'!$C$113,"XX")</f>
        <v>XX</v>
      </c>
      <c r="AE903" s="424" t="str">
        <f>IF(AND('Antal &amp; Längder (vikter)'!H$115&lt;&gt;"",ISNUMBER($AH903)),'Antal &amp; Längder (vikter)'!H$115,"")</f>
        <v/>
      </c>
      <c r="AF903" s="425" t="str">
        <f t="shared" si="30"/>
        <v/>
      </c>
      <c r="AG903" s="426" t="str">
        <f t="shared" si="31"/>
        <v/>
      </c>
      <c r="AH903" s="407" t="str">
        <f>IF('Antal &amp; Längder (vikter)'!H117&lt;&gt;"",'Antal &amp; Längder (vikter)'!H117,"XX")</f>
        <v>XX</v>
      </c>
      <c r="AI903" s="404">
        <f>IF('Antal &amp; Längder (vikter)'!I$116="Vikt (g)",IF('Antal &amp; Längder (vikter)'!I117&lt;&gt;"",'Antal &amp; Längder (vikter)'!I117,-9),-9)</f>
        <v>-9</v>
      </c>
    </row>
    <row r="904" spans="25:35" x14ac:dyDescent="0.25">
      <c r="Y904" s="397"/>
      <c r="Z904" s="397"/>
      <c r="AB904" s="476" t="str">
        <f>IF(COUNT(AB903:AB903)&gt;0,MAX(AB903:AB903)+1,"")</f>
        <v/>
      </c>
      <c r="AC904" s="433" t="str">
        <f>IF(AND(AH904&lt;&gt;"",AG904&lt;&gt;"",AI904&gt;0,AH904&gt;0),MAX(AC$2:AC903)+1,"XX")</f>
        <v>XX</v>
      </c>
      <c r="AD904" s="429" t="str">
        <f>IF('Antal &amp; Längder (vikter)'!$C$113&lt;&gt;"",'Antal &amp; Längder (vikter)'!$C$113,"XX")</f>
        <v>XX</v>
      </c>
      <c r="AE904" s="424" t="str">
        <f>IF(AND('Antal &amp; Längder (vikter)'!H$115&lt;&gt;"",ISNUMBER($AH904)),'Antal &amp; Längder (vikter)'!H$115,"")</f>
        <v/>
      </c>
      <c r="AF904" s="425" t="str">
        <f t="shared" si="30"/>
        <v/>
      </c>
      <c r="AG904" s="426" t="str">
        <f t="shared" si="31"/>
        <v/>
      </c>
      <c r="AH904" s="407" t="str">
        <f>IF('Antal &amp; Längder (vikter)'!H118&lt;&gt;"",'Antal &amp; Längder (vikter)'!H118,"XX")</f>
        <v>XX</v>
      </c>
      <c r="AI904" s="404">
        <f>IF('Antal &amp; Längder (vikter)'!I$116="Vikt (g)",IF('Antal &amp; Längder (vikter)'!I118&lt;&gt;"",'Antal &amp; Längder (vikter)'!I118,-9),-9)</f>
        <v>-9</v>
      </c>
    </row>
    <row r="905" spans="25:35" x14ac:dyDescent="0.25">
      <c r="Y905" s="397"/>
      <c r="Z905" s="397"/>
      <c r="AB905" s="477" t="str">
        <f>IF(COUNT(AB903:AB904)&gt;0,MAX(AB903:AB904)+1,"")</f>
        <v/>
      </c>
      <c r="AC905" s="433" t="str">
        <f>IF(AND(AH905&lt;&gt;"",AG905&lt;&gt;"",AI905&gt;0,AH905&gt;0),MAX(AC$2:AC904)+1,"XX")</f>
        <v>XX</v>
      </c>
      <c r="AD905" s="429" t="str">
        <f>IF('Antal &amp; Längder (vikter)'!$C$113&lt;&gt;"",'Antal &amp; Längder (vikter)'!$C$113,"XX")</f>
        <v>XX</v>
      </c>
      <c r="AE905" s="424" t="str">
        <f>IF(AND('Antal &amp; Längder (vikter)'!H$115&lt;&gt;"",ISNUMBER($AH905)),'Antal &amp; Längder (vikter)'!H$115,"")</f>
        <v/>
      </c>
      <c r="AF905" s="425" t="str">
        <f t="shared" si="30"/>
        <v/>
      </c>
      <c r="AG905" s="426" t="str">
        <f t="shared" si="31"/>
        <v/>
      </c>
      <c r="AH905" s="407" t="str">
        <f>IF('Antal &amp; Längder (vikter)'!H119&lt;&gt;"",'Antal &amp; Längder (vikter)'!H119,"XX")</f>
        <v>XX</v>
      </c>
      <c r="AI905" s="404">
        <f>IF('Antal &amp; Längder (vikter)'!I$116="Vikt (g)",IF('Antal &amp; Längder (vikter)'!I119&lt;&gt;"",'Antal &amp; Längder (vikter)'!I119,-9),-9)</f>
        <v>-9</v>
      </c>
    </row>
    <row r="906" spans="25:35" x14ac:dyDescent="0.25">
      <c r="Y906" s="397"/>
      <c r="Z906" s="397"/>
      <c r="AB906" s="434" t="str">
        <f>IF(COUNT(AB903:AB905)&gt;0,MAX(AB903:AB905)+1,"")</f>
        <v/>
      </c>
      <c r="AC906" s="433" t="str">
        <f>IF(AND(AH906&lt;&gt;"",AG906&lt;&gt;"",AI906&gt;0,AH906&gt;0),MAX(AC$2:AC905)+1,"XX")</f>
        <v>XX</v>
      </c>
      <c r="AD906" s="429" t="str">
        <f>IF('Antal &amp; Längder (vikter)'!$C$113&lt;&gt;"",'Antal &amp; Längder (vikter)'!$C$113,"XX")</f>
        <v>XX</v>
      </c>
      <c r="AE906" s="424" t="str">
        <f>IF(AND('Antal &amp; Längder (vikter)'!H$115&lt;&gt;"",ISNUMBER($AH906)),'Antal &amp; Längder (vikter)'!H$115,"")</f>
        <v/>
      </c>
      <c r="AF906" s="425" t="str">
        <f t="shared" si="30"/>
        <v/>
      </c>
      <c r="AG906" s="426" t="str">
        <f t="shared" si="31"/>
        <v/>
      </c>
      <c r="AH906" s="407" t="str">
        <f>IF('Antal &amp; Längder (vikter)'!H120&lt;&gt;"",'Antal &amp; Längder (vikter)'!H120,"XX")</f>
        <v>XX</v>
      </c>
      <c r="AI906" s="404">
        <f>IF('Antal &amp; Längder (vikter)'!I$116="Vikt (g)",IF('Antal &amp; Längder (vikter)'!I120&lt;&gt;"",'Antal &amp; Längder (vikter)'!I120,-9),-9)</f>
        <v>-9</v>
      </c>
    </row>
    <row r="907" spans="25:35" x14ac:dyDescent="0.25">
      <c r="Y907" s="397"/>
      <c r="Z907" s="397"/>
      <c r="AB907" s="475" t="str">
        <f>IF(COUNT(AB903:AB906)&gt;0,MAX(AB903:AB906)+1,"")</f>
        <v/>
      </c>
      <c r="AC907" s="433" t="str">
        <f>IF(AND(AH907&lt;&gt;"",AG907&lt;&gt;"",AI907&gt;0,AH907&gt;0),MAX(AC$2:AC906)+1,"XX")</f>
        <v>XX</v>
      </c>
      <c r="AD907" s="429" t="str">
        <f>IF('Antal &amp; Längder (vikter)'!$C$113&lt;&gt;"",'Antal &amp; Längder (vikter)'!$C$113,"XX")</f>
        <v>XX</v>
      </c>
      <c r="AE907" s="424" t="str">
        <f>IF(AND('Antal &amp; Längder (vikter)'!H$115&lt;&gt;"",ISNUMBER($AH907)),'Antal &amp; Längder (vikter)'!H$115,"")</f>
        <v/>
      </c>
      <c r="AF907" s="425" t="str">
        <f t="shared" si="30"/>
        <v/>
      </c>
      <c r="AG907" s="426" t="str">
        <f t="shared" si="31"/>
        <v/>
      </c>
      <c r="AH907" s="407" t="str">
        <f>IF('Antal &amp; Längder (vikter)'!H121&lt;&gt;"",'Antal &amp; Längder (vikter)'!H121,"XX")</f>
        <v>XX</v>
      </c>
      <c r="AI907" s="404">
        <f>IF('Antal &amp; Längder (vikter)'!I$116="Vikt (g)",IF('Antal &amp; Längder (vikter)'!I121&lt;&gt;"",'Antal &amp; Längder (vikter)'!I121,-9),-9)</f>
        <v>-9</v>
      </c>
    </row>
    <row r="908" spans="25:35" x14ac:dyDescent="0.25">
      <c r="Y908" s="397"/>
      <c r="Z908" s="397"/>
      <c r="AB908" s="471" t="str">
        <f>IF(COUNT(AB903:AB907)&gt;0,MAX(AB903:AB907)+1,"")</f>
        <v/>
      </c>
      <c r="AC908" s="433" t="str">
        <f>IF(AND(AH908&lt;&gt;"",AG908&lt;&gt;"",AI908&gt;0,AH908&gt;0),MAX(AC$2:AC907)+1,"XX")</f>
        <v>XX</v>
      </c>
      <c r="AD908" s="429" t="str">
        <f>IF('Antal &amp; Längder (vikter)'!$C$113&lt;&gt;"",'Antal &amp; Längder (vikter)'!$C$113,"XX")</f>
        <v>XX</v>
      </c>
      <c r="AE908" s="424" t="str">
        <f>IF(AND('Antal &amp; Längder (vikter)'!H$115&lt;&gt;"",ISNUMBER($AH908)),'Antal &amp; Längder (vikter)'!H$115,"")</f>
        <v/>
      </c>
      <c r="AF908" s="425" t="str">
        <f t="shared" si="30"/>
        <v/>
      </c>
      <c r="AG908" s="426" t="str">
        <f t="shared" si="31"/>
        <v/>
      </c>
      <c r="AH908" s="407" t="str">
        <f>IF('Antal &amp; Längder (vikter)'!H122&lt;&gt;"",'Antal &amp; Längder (vikter)'!H122,"XX")</f>
        <v>XX</v>
      </c>
      <c r="AI908" s="404">
        <f>IF('Antal &amp; Längder (vikter)'!I$116="Vikt (g)",IF('Antal &amp; Längder (vikter)'!I122&lt;&gt;"",'Antal &amp; Längder (vikter)'!I122,-9),-9)</f>
        <v>-9</v>
      </c>
    </row>
    <row r="909" spans="25:35" x14ac:dyDescent="0.25">
      <c r="Y909" s="397"/>
      <c r="Z909" s="397"/>
      <c r="AB909" s="474" t="str">
        <f>IF(COUNT(AB903:AB908)&gt;0,MAX(AB903:AB908)+1,"")</f>
        <v/>
      </c>
      <c r="AC909" s="433" t="str">
        <f>IF(AND(AH909&lt;&gt;"",AG909&lt;&gt;"",AI909&gt;0,AH909&gt;0),MAX(AC$2:AC908)+1,"XX")</f>
        <v>XX</v>
      </c>
      <c r="AD909" s="429" t="str">
        <f>IF('Antal &amp; Längder (vikter)'!$C$113&lt;&gt;"",'Antal &amp; Längder (vikter)'!$C$113,"XX")</f>
        <v>XX</v>
      </c>
      <c r="AE909" s="424" t="str">
        <f>IF(AND('Antal &amp; Längder (vikter)'!H$115&lt;&gt;"",ISNUMBER($AH909)),'Antal &amp; Längder (vikter)'!H$115,"")</f>
        <v/>
      </c>
      <c r="AF909" s="425" t="str">
        <f t="shared" si="30"/>
        <v/>
      </c>
      <c r="AG909" s="426" t="str">
        <f t="shared" si="31"/>
        <v/>
      </c>
      <c r="AH909" s="407" t="str">
        <f>IF('Antal &amp; Längder (vikter)'!H123&lt;&gt;"",'Antal &amp; Längder (vikter)'!H123,"XX")</f>
        <v>XX</v>
      </c>
      <c r="AI909" s="404">
        <f>IF('Antal &amp; Längder (vikter)'!I$116="Vikt (g)",IF('Antal &amp; Längder (vikter)'!I123&lt;&gt;"",'Antal &amp; Längder (vikter)'!I123,-9),-9)</f>
        <v>-9</v>
      </c>
    </row>
    <row r="910" spans="25:35" x14ac:dyDescent="0.25">
      <c r="Y910" s="397"/>
      <c r="Z910" s="397"/>
      <c r="AB910" s="478" t="str">
        <f>IF(COUNT(AB903:AB909)&gt;0,MAX(AB903:AB909)+1,"")</f>
        <v/>
      </c>
      <c r="AC910" s="433" t="str">
        <f>IF(AND(AH910&lt;&gt;"",AG910&lt;&gt;"",AI910&gt;0,AH910&gt;0),MAX(AC$2:AC909)+1,"XX")</f>
        <v>XX</v>
      </c>
      <c r="AD910" s="429" t="str">
        <f>IF('Antal &amp; Längder (vikter)'!$C$113&lt;&gt;"",'Antal &amp; Längder (vikter)'!$C$113,"XX")</f>
        <v>XX</v>
      </c>
      <c r="AE910" s="424" t="str">
        <f>IF(AND('Antal &amp; Längder (vikter)'!H$115&lt;&gt;"",ISNUMBER($AH910)),'Antal &amp; Längder (vikter)'!H$115,"")</f>
        <v/>
      </c>
      <c r="AF910" s="425" t="str">
        <f t="shared" si="30"/>
        <v/>
      </c>
      <c r="AG910" s="426" t="str">
        <f t="shared" si="31"/>
        <v/>
      </c>
      <c r="AH910" s="407" t="str">
        <f>IF('Antal &amp; Längder (vikter)'!H124&lt;&gt;"",'Antal &amp; Längder (vikter)'!H124,"XX")</f>
        <v>XX</v>
      </c>
      <c r="AI910" s="404">
        <f>IF('Antal &amp; Längder (vikter)'!I$116="Vikt (g)",IF('Antal &amp; Längder (vikter)'!I124&lt;&gt;"",'Antal &amp; Längder (vikter)'!I124,-9),-9)</f>
        <v>-9</v>
      </c>
    </row>
    <row r="911" spans="25:35" x14ac:dyDescent="0.25">
      <c r="Y911" s="397"/>
      <c r="Z911" s="397"/>
      <c r="AB911" s="472" t="str">
        <f>IF(COUNT(AB903:AB910)&gt;0,MAX(AB903:AB910)+1,"")</f>
        <v/>
      </c>
      <c r="AC911" s="433" t="str">
        <f>IF(AND(AH911&lt;&gt;"",AG911&lt;&gt;"",AI911&gt;0,AH911&gt;0),MAX(AC$2:AC910)+1,"XX")</f>
        <v>XX</v>
      </c>
      <c r="AD911" s="429" t="str">
        <f>IF('Antal &amp; Längder (vikter)'!$C$113&lt;&gt;"",'Antal &amp; Längder (vikter)'!$C$113,"XX")</f>
        <v>XX</v>
      </c>
      <c r="AE911" s="424" t="str">
        <f>IF(AND('Antal &amp; Längder (vikter)'!H$115&lt;&gt;"",ISNUMBER($AH911)),'Antal &amp; Längder (vikter)'!H$115,"")</f>
        <v/>
      </c>
      <c r="AF911" s="425" t="str">
        <f t="shared" si="30"/>
        <v/>
      </c>
      <c r="AG911" s="426" t="str">
        <f t="shared" si="31"/>
        <v/>
      </c>
      <c r="AH911" s="407" t="str">
        <f>IF('Antal &amp; Längder (vikter)'!H125&lt;&gt;"",'Antal &amp; Längder (vikter)'!H125,"XX")</f>
        <v>XX</v>
      </c>
      <c r="AI911" s="404">
        <f>IF('Antal &amp; Längder (vikter)'!I$116="Vikt (g)",IF('Antal &amp; Längder (vikter)'!I125&lt;&gt;"",'Antal &amp; Längder (vikter)'!I125,-9),-9)</f>
        <v>-9</v>
      </c>
    </row>
    <row r="912" spans="25:35" x14ac:dyDescent="0.25">
      <c r="Y912" s="397"/>
      <c r="Z912" s="397"/>
      <c r="AB912" s="479" t="str">
        <f>IF(COUNT(AB903:AB911)&gt;0,MAX(AB903:AB911)+1,"")</f>
        <v/>
      </c>
      <c r="AC912" s="433" t="str">
        <f>IF(AND(AH912&lt;&gt;"",AG912&lt;&gt;"",AI912&gt;0,AH912&gt;0),MAX(AC$2:AC911)+1,"XX")</f>
        <v>XX</v>
      </c>
      <c r="AD912" s="429" t="str">
        <f>IF('Antal &amp; Längder (vikter)'!$C$113&lt;&gt;"",'Antal &amp; Längder (vikter)'!$C$113,"XX")</f>
        <v>XX</v>
      </c>
      <c r="AE912" s="424" t="str">
        <f>IF(AND('Antal &amp; Längder (vikter)'!H$115&lt;&gt;"",ISNUMBER($AH912)),'Antal &amp; Längder (vikter)'!H$115,"")</f>
        <v/>
      </c>
      <c r="AF912" s="425" t="str">
        <f t="shared" si="30"/>
        <v/>
      </c>
      <c r="AG912" s="426" t="str">
        <f t="shared" si="31"/>
        <v/>
      </c>
      <c r="AH912" s="407" t="str">
        <f>IF('Antal &amp; Längder (vikter)'!H126&lt;&gt;"",'Antal &amp; Längder (vikter)'!H126,"XX")</f>
        <v>XX</v>
      </c>
      <c r="AI912" s="404">
        <f>IF('Antal &amp; Längder (vikter)'!I$116="Vikt (g)",IF('Antal &amp; Längder (vikter)'!I126&lt;&gt;"",'Antal &amp; Längder (vikter)'!I126,-9),-9)</f>
        <v>-9</v>
      </c>
    </row>
    <row r="913" spans="25:35" x14ac:dyDescent="0.25">
      <c r="Y913" s="397"/>
      <c r="Z913" s="397"/>
      <c r="AB913" s="480" t="str">
        <f>IF(AND(ISNUMBER(AH913),AH913&gt;0),IF(MAX(AB$3:AB912)&gt;0,MAX(AB$3:AB912)+1,10+COUNTIF(F$38:F$49,"&gt;0")*10+1),"")</f>
        <v/>
      </c>
      <c r="AC913" s="433" t="str">
        <f>IF(AND(AH913&lt;&gt;"",AG913&lt;&gt;"",AI913&gt;0,AH913&gt;0),MAX(AC$2:AC912)+1,"XX")</f>
        <v>XX</v>
      </c>
      <c r="AD913" s="429" t="str">
        <f>IF('Antal &amp; Längder (vikter)'!$C$113&lt;&gt;"",'Antal &amp; Längder (vikter)'!$C$113,"XX")</f>
        <v>XX</v>
      </c>
      <c r="AE913" s="424" t="str">
        <f>IF(AND('Antal &amp; Längder (vikter)'!H$115&lt;&gt;"",ISNUMBER($AH913)),'Antal &amp; Längder (vikter)'!H$115,"")</f>
        <v/>
      </c>
      <c r="AF913" s="425" t="str">
        <f t="shared" si="30"/>
        <v/>
      </c>
      <c r="AG913" s="426" t="str">
        <f t="shared" si="31"/>
        <v/>
      </c>
      <c r="AH913" s="409" t="str">
        <f>IF('Antal &amp; Längder (vikter)'!I$116="Längd (mm)",IF('Antal &amp; Längder (vikter)'!I117&lt;&gt;"",'Antal &amp; Längder (vikter)'!I117,"XX"),"XX")</f>
        <v>XX</v>
      </c>
      <c r="AI913" s="7">
        <v>-9</v>
      </c>
    </row>
    <row r="914" spans="25:35" x14ac:dyDescent="0.25">
      <c r="Y914" s="397"/>
      <c r="Z914" s="397"/>
      <c r="AB914" s="476" t="str">
        <f>IF(COUNT(AB913:AB913)&gt;0,MAX(AB913:AB913)+1,"")</f>
        <v/>
      </c>
      <c r="AC914" s="433" t="str">
        <f>IF(AND(AH914&lt;&gt;"",AG914&lt;&gt;"",AI914&gt;0,AH914&gt;0),MAX(AC$2:AC913)+1,"XX")</f>
        <v>XX</v>
      </c>
      <c r="AD914" s="429" t="str">
        <f>IF('Antal &amp; Längder (vikter)'!$C$113&lt;&gt;"",'Antal &amp; Längder (vikter)'!$C$113,"XX")</f>
        <v>XX</v>
      </c>
      <c r="AE914" s="424" t="str">
        <f>IF(AND('Antal &amp; Längder (vikter)'!H$115&lt;&gt;"",ISNUMBER($AH914)),'Antal &amp; Längder (vikter)'!H$115,"")</f>
        <v/>
      </c>
      <c r="AF914" s="425" t="str">
        <f t="shared" si="30"/>
        <v/>
      </c>
      <c r="AG914" s="426" t="str">
        <f t="shared" si="31"/>
        <v/>
      </c>
      <c r="AH914" s="409" t="str">
        <f>IF('Antal &amp; Längder (vikter)'!I$116="Längd (mm)",IF('Antal &amp; Längder (vikter)'!I118&lt;&gt;"",'Antal &amp; Längder (vikter)'!I118,"XX"),"XX")</f>
        <v>XX</v>
      </c>
      <c r="AI914" s="7">
        <v>-9</v>
      </c>
    </row>
    <row r="915" spans="25:35" x14ac:dyDescent="0.25">
      <c r="Y915" s="397"/>
      <c r="Z915" s="397"/>
      <c r="AB915" s="477" t="str">
        <f>IF(COUNT(AB913:AB914)&gt;0,MAX(AB913:AB914)+1,"")</f>
        <v/>
      </c>
      <c r="AC915" s="433" t="str">
        <f>IF(AND(AH915&lt;&gt;"",AG915&lt;&gt;"",AI915&gt;0,AH915&gt;0),MAX(AC$2:AC914)+1,"XX")</f>
        <v>XX</v>
      </c>
      <c r="AD915" s="429" t="str">
        <f>IF('Antal &amp; Längder (vikter)'!$C$113&lt;&gt;"",'Antal &amp; Längder (vikter)'!$C$113,"XX")</f>
        <v>XX</v>
      </c>
      <c r="AE915" s="424" t="str">
        <f>IF(AND('Antal &amp; Längder (vikter)'!H$115&lt;&gt;"",ISNUMBER($AH915)),'Antal &amp; Längder (vikter)'!H$115,"")</f>
        <v/>
      </c>
      <c r="AF915" s="425" t="str">
        <f t="shared" si="30"/>
        <v/>
      </c>
      <c r="AG915" s="426" t="str">
        <f t="shared" si="31"/>
        <v/>
      </c>
      <c r="AH915" s="409" t="str">
        <f>IF('Antal &amp; Längder (vikter)'!I$116="Längd (mm)",IF('Antal &amp; Längder (vikter)'!I119&lt;&gt;"",'Antal &amp; Längder (vikter)'!I119,"XX"),"XX")</f>
        <v>XX</v>
      </c>
      <c r="AI915" s="7">
        <v>-9</v>
      </c>
    </row>
    <row r="916" spans="25:35" x14ac:dyDescent="0.25">
      <c r="Y916" s="397"/>
      <c r="Z916" s="397"/>
      <c r="AB916" s="434" t="str">
        <f>IF(COUNT(AB913:AB915)&gt;0,MAX(AB913:AB915)+1,"")</f>
        <v/>
      </c>
      <c r="AC916" s="433" t="str">
        <f>IF(AND(AH916&lt;&gt;"",AG916&lt;&gt;"",AI916&gt;0,AH916&gt;0),MAX(AC$2:AC915)+1,"XX")</f>
        <v>XX</v>
      </c>
      <c r="AD916" s="429" t="str">
        <f>IF('Antal &amp; Längder (vikter)'!$C$113&lt;&gt;"",'Antal &amp; Längder (vikter)'!$C$113,"XX")</f>
        <v>XX</v>
      </c>
      <c r="AE916" s="424" t="str">
        <f>IF(AND('Antal &amp; Längder (vikter)'!H$115&lt;&gt;"",ISNUMBER($AH916)),'Antal &amp; Längder (vikter)'!H$115,"")</f>
        <v/>
      </c>
      <c r="AF916" s="425" t="str">
        <f t="shared" si="30"/>
        <v/>
      </c>
      <c r="AG916" s="426" t="str">
        <f t="shared" si="31"/>
        <v/>
      </c>
      <c r="AH916" s="409" t="str">
        <f>IF('Antal &amp; Längder (vikter)'!I$116="Längd (mm)",IF('Antal &amp; Längder (vikter)'!I120&lt;&gt;"",'Antal &amp; Längder (vikter)'!I120,"XX"),"XX")</f>
        <v>XX</v>
      </c>
      <c r="AI916" s="7">
        <v>-9</v>
      </c>
    </row>
    <row r="917" spans="25:35" x14ac:dyDescent="0.25">
      <c r="Y917" s="397"/>
      <c r="Z917" s="397"/>
      <c r="AB917" s="475" t="str">
        <f>IF(COUNT(AB913:AB916)&gt;0,MAX(AB913:AB916)+1,"")</f>
        <v/>
      </c>
      <c r="AC917" s="433" t="str">
        <f>IF(AND(AH917&lt;&gt;"",AG917&lt;&gt;"",AI917&gt;0,AH917&gt;0),MAX(AC$2:AC916)+1,"XX")</f>
        <v>XX</v>
      </c>
      <c r="AD917" s="429" t="str">
        <f>IF('Antal &amp; Längder (vikter)'!$C$113&lt;&gt;"",'Antal &amp; Längder (vikter)'!$C$113,"XX")</f>
        <v>XX</v>
      </c>
      <c r="AE917" s="424" t="str">
        <f>IF(AND('Antal &amp; Längder (vikter)'!H$115&lt;&gt;"",ISNUMBER($AH917)),'Antal &amp; Längder (vikter)'!H$115,"")</f>
        <v/>
      </c>
      <c r="AF917" s="425" t="str">
        <f t="shared" si="30"/>
        <v/>
      </c>
      <c r="AG917" s="426" t="str">
        <f t="shared" si="31"/>
        <v/>
      </c>
      <c r="AH917" s="409" t="str">
        <f>IF('Antal &amp; Längder (vikter)'!I$116="Längd (mm)",IF('Antal &amp; Längder (vikter)'!I121&lt;&gt;"",'Antal &amp; Längder (vikter)'!I121,"XX"),"XX")</f>
        <v>XX</v>
      </c>
      <c r="AI917" s="7">
        <v>-9</v>
      </c>
    </row>
    <row r="918" spans="25:35" x14ac:dyDescent="0.25">
      <c r="Y918" s="397"/>
      <c r="Z918" s="397"/>
      <c r="AB918" s="471" t="str">
        <f>IF(COUNT(AB913:AB917)&gt;0,MAX(AB913:AB917)+1,"")</f>
        <v/>
      </c>
      <c r="AC918" s="433" t="str">
        <f>IF(AND(AH918&lt;&gt;"",AG918&lt;&gt;"",AI918&gt;0,AH918&gt;0),MAX(AC$2:AC917)+1,"XX")</f>
        <v>XX</v>
      </c>
      <c r="AD918" s="429" t="str">
        <f>IF('Antal &amp; Längder (vikter)'!$C$113&lt;&gt;"",'Antal &amp; Längder (vikter)'!$C$113,"XX")</f>
        <v>XX</v>
      </c>
      <c r="AE918" s="424" t="str">
        <f>IF(AND('Antal &amp; Längder (vikter)'!H$115&lt;&gt;"",ISNUMBER($AH918)),'Antal &amp; Längder (vikter)'!H$115,"")</f>
        <v/>
      </c>
      <c r="AF918" s="425" t="str">
        <f t="shared" si="30"/>
        <v/>
      </c>
      <c r="AG918" s="426" t="str">
        <f t="shared" si="31"/>
        <v/>
      </c>
      <c r="AH918" s="409" t="str">
        <f>IF('Antal &amp; Längder (vikter)'!I$116="Längd (mm)",IF('Antal &amp; Längder (vikter)'!I122&lt;&gt;"",'Antal &amp; Längder (vikter)'!I122,"XX"),"XX")</f>
        <v>XX</v>
      </c>
      <c r="AI918" s="7">
        <v>-9</v>
      </c>
    </row>
    <row r="919" spans="25:35" x14ac:dyDescent="0.25">
      <c r="Y919" s="397"/>
      <c r="Z919" s="397"/>
      <c r="AB919" s="474" t="str">
        <f>IF(COUNT(AB913:AB918)&gt;0,MAX(AB913:AB918)+1,"")</f>
        <v/>
      </c>
      <c r="AC919" s="433" t="str">
        <f>IF(AND(AH919&lt;&gt;"",AG919&lt;&gt;"",AI919&gt;0,AH919&gt;0),MAX(AC$2:AC918)+1,"XX")</f>
        <v>XX</v>
      </c>
      <c r="AD919" s="429" t="str">
        <f>IF('Antal &amp; Längder (vikter)'!$C$113&lt;&gt;"",'Antal &amp; Längder (vikter)'!$C$113,"XX")</f>
        <v>XX</v>
      </c>
      <c r="AE919" s="424" t="str">
        <f>IF(AND('Antal &amp; Längder (vikter)'!H$115&lt;&gt;"",ISNUMBER($AH919)),'Antal &amp; Längder (vikter)'!H$115,"")</f>
        <v/>
      </c>
      <c r="AF919" s="425" t="str">
        <f t="shared" si="30"/>
        <v/>
      </c>
      <c r="AG919" s="426" t="str">
        <f t="shared" si="31"/>
        <v/>
      </c>
      <c r="AH919" s="409" t="str">
        <f>IF('Antal &amp; Längder (vikter)'!I$116="Längd (mm)",IF('Antal &amp; Längder (vikter)'!I123&lt;&gt;"",'Antal &amp; Längder (vikter)'!I123,"XX"),"XX")</f>
        <v>XX</v>
      </c>
      <c r="AI919" s="7">
        <v>-9</v>
      </c>
    </row>
    <row r="920" spans="25:35" x14ac:dyDescent="0.25">
      <c r="Y920" s="397"/>
      <c r="Z920" s="397"/>
      <c r="AB920" s="478" t="str">
        <f>IF(COUNT(AB913:AB919)&gt;0,MAX(AB913:AB919)+1,"")</f>
        <v/>
      </c>
      <c r="AC920" s="433" t="str">
        <f>IF(AND(AH920&lt;&gt;"",AG920&lt;&gt;"",AI920&gt;0,AH920&gt;0),MAX(AC$2:AC919)+1,"XX")</f>
        <v>XX</v>
      </c>
      <c r="AD920" s="429" t="str">
        <f>IF('Antal &amp; Längder (vikter)'!$C$113&lt;&gt;"",'Antal &amp; Längder (vikter)'!$C$113,"XX")</f>
        <v>XX</v>
      </c>
      <c r="AE920" s="424" t="str">
        <f>IF(AND('Antal &amp; Längder (vikter)'!H$115&lt;&gt;"",ISNUMBER($AH920)),'Antal &amp; Längder (vikter)'!H$115,"")</f>
        <v/>
      </c>
      <c r="AF920" s="425" t="str">
        <f t="shared" si="30"/>
        <v/>
      </c>
      <c r="AG920" s="426" t="str">
        <f t="shared" si="31"/>
        <v/>
      </c>
      <c r="AH920" s="409" t="str">
        <f>IF('Antal &amp; Längder (vikter)'!I$116="Längd (mm)",IF('Antal &amp; Längder (vikter)'!I124&lt;&gt;"",'Antal &amp; Längder (vikter)'!I124,"XX"),"XX")</f>
        <v>XX</v>
      </c>
      <c r="AI920" s="7">
        <v>-9</v>
      </c>
    </row>
    <row r="921" spans="25:35" x14ac:dyDescent="0.25">
      <c r="Y921" s="397"/>
      <c r="Z921" s="397"/>
      <c r="AB921" s="472" t="str">
        <f>IF(COUNT(AB913:AB920)&gt;0,MAX(AB913:AB920)+1,"")</f>
        <v/>
      </c>
      <c r="AC921" s="433" t="str">
        <f>IF(AND(AH921&lt;&gt;"",AG921&lt;&gt;"",AI921&gt;0,AH921&gt;0),MAX(AC$2:AC920)+1,"XX")</f>
        <v>XX</v>
      </c>
      <c r="AD921" s="429" t="str">
        <f>IF('Antal &amp; Längder (vikter)'!$C$113&lt;&gt;"",'Antal &amp; Längder (vikter)'!$C$113,"XX")</f>
        <v>XX</v>
      </c>
      <c r="AE921" s="424" t="str">
        <f>IF(AND('Antal &amp; Längder (vikter)'!H$115&lt;&gt;"",ISNUMBER($AH921)),'Antal &amp; Längder (vikter)'!H$115,"")</f>
        <v/>
      </c>
      <c r="AF921" s="425" t="str">
        <f t="shared" si="30"/>
        <v/>
      </c>
      <c r="AG921" s="426" t="str">
        <f t="shared" si="31"/>
        <v/>
      </c>
      <c r="AH921" s="409" t="str">
        <f>IF('Antal &amp; Längder (vikter)'!I$116="Längd (mm)",IF('Antal &amp; Längder (vikter)'!I125&lt;&gt;"",'Antal &amp; Längder (vikter)'!I125,"XX"),"XX")</f>
        <v>XX</v>
      </c>
      <c r="AI921" s="7">
        <v>-9</v>
      </c>
    </row>
    <row r="922" spans="25:35" x14ac:dyDescent="0.25">
      <c r="Y922" s="397"/>
      <c r="Z922" s="397"/>
      <c r="AB922" s="479" t="str">
        <f>IF(COUNT(AB913:AB921)&gt;0,MAX(AB913:AB921)+1,"")</f>
        <v/>
      </c>
      <c r="AC922" s="433" t="str">
        <f>IF(AND(AH922&lt;&gt;"",AG922&lt;&gt;"",AI922&gt;0,AH922&gt;0),MAX(AC$2:AC921)+1,"XX")</f>
        <v>XX</v>
      </c>
      <c r="AD922" s="429" t="str">
        <f>IF('Antal &amp; Längder (vikter)'!$C$113&lt;&gt;"",'Antal &amp; Längder (vikter)'!$C$113,"XX")</f>
        <v>XX</v>
      </c>
      <c r="AE922" s="424" t="str">
        <f>IF(AND('Antal &amp; Längder (vikter)'!H$115&lt;&gt;"",ISNUMBER($AH922)),'Antal &amp; Längder (vikter)'!H$115,"")</f>
        <v/>
      </c>
      <c r="AF922" s="425" t="str">
        <f t="shared" si="30"/>
        <v/>
      </c>
      <c r="AG922" s="426" t="str">
        <f t="shared" si="31"/>
        <v/>
      </c>
      <c r="AH922" s="409" t="str">
        <f>IF('Antal &amp; Längder (vikter)'!I$116="Längd (mm)",IF('Antal &amp; Längder (vikter)'!I126&lt;&gt;"",'Antal &amp; Längder (vikter)'!I126,"XX"),"XX")</f>
        <v>XX</v>
      </c>
      <c r="AI922" s="7">
        <v>-9</v>
      </c>
    </row>
    <row r="923" spans="25:35" x14ac:dyDescent="0.25">
      <c r="Y923" s="397"/>
      <c r="Z923" s="397"/>
      <c r="AB923" s="480" t="str">
        <f>IF(AND(ISNUMBER(AH923),AH923&gt;0),IF(MAX(AB$3:AB922)&gt;0,MAX(AB$3:AB922)+1,10+COUNTIF(F$38:F$49,"&gt;0")*10+1),"")</f>
        <v/>
      </c>
      <c r="AC923" s="433" t="str">
        <f>IF(AND(AH923&lt;&gt;"",AG923&lt;&gt;"",AI923&gt;0,AH923&gt;0),MAX(AC$2:AC922)+1,"XX")</f>
        <v>XX</v>
      </c>
      <c r="AD923" s="429" t="str">
        <f>IF('Antal &amp; Längder (vikter)'!$C$113&lt;&gt;"",'Antal &amp; Längder (vikter)'!$C$113,"XX")</f>
        <v>XX</v>
      </c>
      <c r="AE923" s="421" t="str">
        <f>IF(AND('Antal &amp; Längder (vikter)'!J$115&lt;&gt;"",ISNUMBER($AH923)),'Antal &amp; Längder (vikter)'!J$115,"")</f>
        <v/>
      </c>
      <c r="AF923" s="425" t="str">
        <f t="shared" si="30"/>
        <v/>
      </c>
      <c r="AG923" s="426" t="str">
        <f t="shared" si="31"/>
        <v/>
      </c>
      <c r="AH923" s="407" t="str">
        <f>IF('Antal &amp; Längder (vikter)'!J117&lt;&gt;"",'Antal &amp; Längder (vikter)'!J117,"XX")</f>
        <v>XX</v>
      </c>
      <c r="AI923" s="404">
        <f>IF('Antal &amp; Längder (vikter)'!K$116="Vikt (g)",IF('Antal &amp; Längder (vikter)'!K117&lt;&gt;"",'Antal &amp; Längder (vikter)'!K117,-9),-9)</f>
        <v>-9</v>
      </c>
    </row>
    <row r="924" spans="25:35" x14ac:dyDescent="0.25">
      <c r="Y924" s="397"/>
      <c r="Z924" s="397"/>
      <c r="AB924" s="476" t="str">
        <f>IF(COUNT(AB923:AB923)&gt;0,MAX(AB923:AB923)+1,"")</f>
        <v/>
      </c>
      <c r="AC924" s="433" t="str">
        <f>IF(AND(AH924&lt;&gt;"",AG924&lt;&gt;"",AI924&gt;0,AH924&gt;0),MAX(AC$2:AC923)+1,"XX")</f>
        <v>XX</v>
      </c>
      <c r="AD924" s="429" t="str">
        <f>IF('Antal &amp; Längder (vikter)'!$C$113&lt;&gt;"",'Antal &amp; Längder (vikter)'!$C$113,"XX")</f>
        <v>XX</v>
      </c>
      <c r="AE924" s="421" t="str">
        <f>IF(AND('Antal &amp; Längder (vikter)'!J$115&lt;&gt;"",ISNUMBER($AH924)),'Antal &amp; Längder (vikter)'!J$115,"")</f>
        <v/>
      </c>
      <c r="AF924" s="425" t="str">
        <f t="shared" si="30"/>
        <v/>
      </c>
      <c r="AG924" s="426" t="str">
        <f t="shared" si="31"/>
        <v/>
      </c>
      <c r="AH924" s="407" t="str">
        <f>IF('Antal &amp; Längder (vikter)'!J118&lt;&gt;"",'Antal &amp; Längder (vikter)'!J118,"XX")</f>
        <v>XX</v>
      </c>
      <c r="AI924" s="404">
        <f>IF('Antal &amp; Längder (vikter)'!K$116="Vikt (g)",IF('Antal &amp; Längder (vikter)'!K118&lt;&gt;"",'Antal &amp; Längder (vikter)'!K118,-9),-9)</f>
        <v>-9</v>
      </c>
    </row>
    <row r="925" spans="25:35" x14ac:dyDescent="0.25">
      <c r="Y925" s="397"/>
      <c r="Z925" s="397"/>
      <c r="AB925" s="477" t="str">
        <f>IF(COUNT(AB923:AB924)&gt;0,MAX(AB923:AB924)+1,"")</f>
        <v/>
      </c>
      <c r="AC925" s="433" t="str">
        <f>IF(AND(AH925&lt;&gt;"",AG925&lt;&gt;"",AI925&gt;0,AH925&gt;0),MAX(AC$2:AC924)+1,"XX")</f>
        <v>XX</v>
      </c>
      <c r="AD925" s="429" t="str">
        <f>IF('Antal &amp; Längder (vikter)'!$C$113&lt;&gt;"",'Antal &amp; Längder (vikter)'!$C$113,"XX")</f>
        <v>XX</v>
      </c>
      <c r="AE925" s="421" t="str">
        <f>IF(AND('Antal &amp; Längder (vikter)'!J$115&lt;&gt;"",ISNUMBER($AH925)),'Antal &amp; Längder (vikter)'!J$115,"")</f>
        <v/>
      </c>
      <c r="AF925" s="425" t="str">
        <f t="shared" si="30"/>
        <v/>
      </c>
      <c r="AG925" s="426" t="str">
        <f t="shared" si="31"/>
        <v/>
      </c>
      <c r="AH925" s="407" t="str">
        <f>IF('Antal &amp; Längder (vikter)'!J119&lt;&gt;"",'Antal &amp; Längder (vikter)'!J119,"XX")</f>
        <v>XX</v>
      </c>
      <c r="AI925" s="404">
        <f>IF('Antal &amp; Längder (vikter)'!K$116="Vikt (g)",IF('Antal &amp; Längder (vikter)'!K119&lt;&gt;"",'Antal &amp; Längder (vikter)'!K119,-9),-9)</f>
        <v>-9</v>
      </c>
    </row>
    <row r="926" spans="25:35" x14ac:dyDescent="0.25">
      <c r="Y926" s="397"/>
      <c r="Z926" s="397"/>
      <c r="AB926" s="434" t="str">
        <f>IF(COUNT(AB923:AB925)&gt;0,MAX(AB923:AB925)+1,"")</f>
        <v/>
      </c>
      <c r="AC926" s="433" t="str">
        <f>IF(AND(AH926&lt;&gt;"",AG926&lt;&gt;"",AI926&gt;0,AH926&gt;0),MAX(AC$2:AC925)+1,"XX")</f>
        <v>XX</v>
      </c>
      <c r="AD926" s="429" t="str">
        <f>IF('Antal &amp; Längder (vikter)'!$C$113&lt;&gt;"",'Antal &amp; Längder (vikter)'!$C$113,"XX")</f>
        <v>XX</v>
      </c>
      <c r="AE926" s="421" t="str">
        <f>IF(AND('Antal &amp; Längder (vikter)'!J$115&lt;&gt;"",ISNUMBER($AH926)),'Antal &amp; Längder (vikter)'!J$115,"")</f>
        <v/>
      </c>
      <c r="AF926" s="425" t="str">
        <f t="shared" si="30"/>
        <v/>
      </c>
      <c r="AG926" s="426" t="str">
        <f t="shared" si="31"/>
        <v/>
      </c>
      <c r="AH926" s="407" t="str">
        <f>IF('Antal &amp; Längder (vikter)'!J120&lt;&gt;"",'Antal &amp; Längder (vikter)'!J120,"XX")</f>
        <v>XX</v>
      </c>
      <c r="AI926" s="404">
        <f>IF('Antal &amp; Längder (vikter)'!K$116="Vikt (g)",IF('Antal &amp; Längder (vikter)'!K120&lt;&gt;"",'Antal &amp; Längder (vikter)'!K120,-9),-9)</f>
        <v>-9</v>
      </c>
    </row>
    <row r="927" spans="25:35" x14ac:dyDescent="0.25">
      <c r="Y927" s="397"/>
      <c r="Z927" s="397"/>
      <c r="AB927" s="475" t="str">
        <f>IF(COUNT(AB923:AB926)&gt;0,MAX(AB923:AB926)+1,"")</f>
        <v/>
      </c>
      <c r="AC927" s="433" t="str">
        <f>IF(AND(AH927&lt;&gt;"",AG927&lt;&gt;"",AI927&gt;0,AH927&gt;0),MAX(AC$2:AC926)+1,"XX")</f>
        <v>XX</v>
      </c>
      <c r="AD927" s="429" t="str">
        <f>IF('Antal &amp; Längder (vikter)'!$C$113&lt;&gt;"",'Antal &amp; Längder (vikter)'!$C$113,"XX")</f>
        <v>XX</v>
      </c>
      <c r="AE927" s="421" t="str">
        <f>IF(AND('Antal &amp; Längder (vikter)'!J$115&lt;&gt;"",ISNUMBER($AH927)),'Antal &amp; Längder (vikter)'!J$115,"")</f>
        <v/>
      </c>
      <c r="AF927" s="425" t="str">
        <f t="shared" si="30"/>
        <v/>
      </c>
      <c r="AG927" s="426" t="str">
        <f t="shared" si="31"/>
        <v/>
      </c>
      <c r="AH927" s="407" t="str">
        <f>IF('Antal &amp; Längder (vikter)'!J121&lt;&gt;"",'Antal &amp; Längder (vikter)'!J121,"XX")</f>
        <v>XX</v>
      </c>
      <c r="AI927" s="404">
        <f>IF('Antal &amp; Längder (vikter)'!K$116="Vikt (g)",IF('Antal &amp; Längder (vikter)'!K121&lt;&gt;"",'Antal &amp; Längder (vikter)'!K121,-9),-9)</f>
        <v>-9</v>
      </c>
    </row>
    <row r="928" spans="25:35" x14ac:dyDescent="0.25">
      <c r="Y928" s="397"/>
      <c r="Z928" s="397"/>
      <c r="AB928" s="471" t="str">
        <f>IF(COUNT(AB923:AB927)&gt;0,MAX(AB923:AB927)+1,"")</f>
        <v/>
      </c>
      <c r="AC928" s="433" t="str">
        <f>IF(AND(AH928&lt;&gt;"",AG928&lt;&gt;"",AI928&gt;0,AH928&gt;0),MAX(AC$2:AC927)+1,"XX")</f>
        <v>XX</v>
      </c>
      <c r="AD928" s="429" t="str">
        <f>IF('Antal &amp; Längder (vikter)'!$C$113&lt;&gt;"",'Antal &amp; Längder (vikter)'!$C$113,"XX")</f>
        <v>XX</v>
      </c>
      <c r="AE928" s="421" t="str">
        <f>IF(AND('Antal &amp; Längder (vikter)'!J$115&lt;&gt;"",ISNUMBER($AH928)),'Antal &amp; Längder (vikter)'!J$115,"")</f>
        <v/>
      </c>
      <c r="AF928" s="425" t="str">
        <f t="shared" si="30"/>
        <v/>
      </c>
      <c r="AG928" s="426" t="str">
        <f t="shared" si="31"/>
        <v/>
      </c>
      <c r="AH928" s="407" t="str">
        <f>IF('Antal &amp; Längder (vikter)'!J122&lt;&gt;"",'Antal &amp; Längder (vikter)'!J122,"XX")</f>
        <v>XX</v>
      </c>
      <c r="AI928" s="404">
        <f>IF('Antal &amp; Längder (vikter)'!K$116="Vikt (g)",IF('Antal &amp; Längder (vikter)'!K122&lt;&gt;"",'Antal &amp; Längder (vikter)'!K122,-9),-9)</f>
        <v>-9</v>
      </c>
    </row>
    <row r="929" spans="25:35" x14ac:dyDescent="0.25">
      <c r="Y929" s="397"/>
      <c r="Z929" s="397"/>
      <c r="AB929" s="474" t="str">
        <f>IF(COUNT(AB923:AB928)&gt;0,MAX(AB923:AB928)+1,"")</f>
        <v/>
      </c>
      <c r="AC929" s="433" t="str">
        <f>IF(AND(AH929&lt;&gt;"",AG929&lt;&gt;"",AI929&gt;0,AH929&gt;0),MAX(AC$2:AC928)+1,"XX")</f>
        <v>XX</v>
      </c>
      <c r="AD929" s="429" t="str">
        <f>IF('Antal &amp; Längder (vikter)'!$C$113&lt;&gt;"",'Antal &amp; Längder (vikter)'!$C$113,"XX")</f>
        <v>XX</v>
      </c>
      <c r="AE929" s="421" t="str">
        <f>IF(AND('Antal &amp; Längder (vikter)'!J$115&lt;&gt;"",ISNUMBER($AH929)),'Antal &amp; Längder (vikter)'!J$115,"")</f>
        <v/>
      </c>
      <c r="AF929" s="425" t="str">
        <f t="shared" si="30"/>
        <v/>
      </c>
      <c r="AG929" s="426" t="str">
        <f t="shared" si="31"/>
        <v/>
      </c>
      <c r="AH929" s="407" t="str">
        <f>IF('Antal &amp; Längder (vikter)'!J123&lt;&gt;"",'Antal &amp; Längder (vikter)'!J123,"XX")</f>
        <v>XX</v>
      </c>
      <c r="AI929" s="404">
        <f>IF('Antal &amp; Längder (vikter)'!K$116="Vikt (g)",IF('Antal &amp; Längder (vikter)'!K123&lt;&gt;"",'Antal &amp; Längder (vikter)'!K123,-9),-9)</f>
        <v>-9</v>
      </c>
    </row>
    <row r="930" spans="25:35" x14ac:dyDescent="0.25">
      <c r="Y930" s="397"/>
      <c r="Z930" s="397"/>
      <c r="AB930" s="478" t="str">
        <f>IF(COUNT(AB923:AB929)&gt;0,MAX(AB923:AB929)+1,"")</f>
        <v/>
      </c>
      <c r="AC930" s="433" t="str">
        <f>IF(AND(AH930&lt;&gt;"",AG930&lt;&gt;"",AI930&gt;0,AH930&gt;0),MAX(AC$2:AC929)+1,"XX")</f>
        <v>XX</v>
      </c>
      <c r="AD930" s="429" t="str">
        <f>IF('Antal &amp; Längder (vikter)'!$C$113&lt;&gt;"",'Antal &amp; Längder (vikter)'!$C$113,"XX")</f>
        <v>XX</v>
      </c>
      <c r="AE930" s="421" t="str">
        <f>IF(AND('Antal &amp; Längder (vikter)'!J$115&lt;&gt;"",ISNUMBER($AH930)),'Antal &amp; Längder (vikter)'!J$115,"")</f>
        <v/>
      </c>
      <c r="AF930" s="425" t="str">
        <f t="shared" si="30"/>
        <v/>
      </c>
      <c r="AG930" s="426" t="str">
        <f t="shared" si="31"/>
        <v/>
      </c>
      <c r="AH930" s="407" t="str">
        <f>IF('Antal &amp; Längder (vikter)'!J124&lt;&gt;"",'Antal &amp; Längder (vikter)'!J124,"XX")</f>
        <v>XX</v>
      </c>
      <c r="AI930" s="404">
        <f>IF('Antal &amp; Längder (vikter)'!K$116="Vikt (g)",IF('Antal &amp; Längder (vikter)'!K124&lt;&gt;"",'Antal &amp; Längder (vikter)'!K124,-9),-9)</f>
        <v>-9</v>
      </c>
    </row>
    <row r="931" spans="25:35" x14ac:dyDescent="0.25">
      <c r="Y931" s="397"/>
      <c r="Z931" s="397"/>
      <c r="AB931" s="472" t="str">
        <f>IF(COUNT(AB923:AB930)&gt;0,MAX(AB923:AB930)+1,"")</f>
        <v/>
      </c>
      <c r="AC931" s="433" t="str">
        <f>IF(AND(AH931&lt;&gt;"",AG931&lt;&gt;"",AI931&gt;0,AH931&gt;0),MAX(AC$2:AC930)+1,"XX")</f>
        <v>XX</v>
      </c>
      <c r="AD931" s="429" t="str">
        <f>IF('Antal &amp; Längder (vikter)'!$C$113&lt;&gt;"",'Antal &amp; Längder (vikter)'!$C$113,"XX")</f>
        <v>XX</v>
      </c>
      <c r="AE931" s="421" t="str">
        <f>IF(AND('Antal &amp; Längder (vikter)'!J$115&lt;&gt;"",ISNUMBER($AH931)),'Antal &amp; Längder (vikter)'!J$115,"")</f>
        <v/>
      </c>
      <c r="AF931" s="425" t="str">
        <f t="shared" si="30"/>
        <v/>
      </c>
      <c r="AG931" s="426" t="str">
        <f t="shared" si="31"/>
        <v/>
      </c>
      <c r="AH931" s="407" t="str">
        <f>IF('Antal &amp; Längder (vikter)'!J125&lt;&gt;"",'Antal &amp; Längder (vikter)'!J125,"XX")</f>
        <v>XX</v>
      </c>
      <c r="AI931" s="404">
        <f>IF('Antal &amp; Längder (vikter)'!K$116="Vikt (g)",IF('Antal &amp; Längder (vikter)'!K125&lt;&gt;"",'Antal &amp; Längder (vikter)'!K125,-9),-9)</f>
        <v>-9</v>
      </c>
    </row>
    <row r="932" spans="25:35" x14ac:dyDescent="0.25">
      <c r="Y932" s="397"/>
      <c r="Z932" s="397"/>
      <c r="AB932" s="479" t="str">
        <f>IF(COUNT(AB923:AB931)&gt;0,MAX(AB923:AB931)+1,"")</f>
        <v/>
      </c>
      <c r="AC932" s="433" t="str">
        <f>IF(AND(AH932&lt;&gt;"",AG932&lt;&gt;"",AI932&gt;0,AH932&gt;0),MAX(AC$2:AC931)+1,"XX")</f>
        <v>XX</v>
      </c>
      <c r="AD932" s="429" t="str">
        <f>IF('Antal &amp; Längder (vikter)'!$C$113&lt;&gt;"",'Antal &amp; Längder (vikter)'!$C$113,"XX")</f>
        <v>XX</v>
      </c>
      <c r="AE932" s="421" t="str">
        <f>IF(AND('Antal &amp; Längder (vikter)'!J$115&lt;&gt;"",ISNUMBER($AH932)),'Antal &amp; Längder (vikter)'!J$115,"")</f>
        <v/>
      </c>
      <c r="AF932" s="425" t="str">
        <f t="shared" si="30"/>
        <v/>
      </c>
      <c r="AG932" s="426" t="str">
        <f t="shared" si="31"/>
        <v/>
      </c>
      <c r="AH932" s="407" t="str">
        <f>IF('Antal &amp; Längder (vikter)'!J126&lt;&gt;"",'Antal &amp; Längder (vikter)'!J126,"XX")</f>
        <v>XX</v>
      </c>
      <c r="AI932" s="404">
        <f>IF('Antal &amp; Längder (vikter)'!K$116="Vikt (g)",IF('Antal &amp; Längder (vikter)'!K126&lt;&gt;"",'Antal &amp; Längder (vikter)'!K126,-9),-9)</f>
        <v>-9</v>
      </c>
    </row>
    <row r="933" spans="25:35" x14ac:dyDescent="0.25">
      <c r="Y933" s="397"/>
      <c r="Z933" s="397"/>
      <c r="AB933" s="480" t="str">
        <f>IF(AND(ISNUMBER(AH933),AH933&gt;0),IF(MAX(AB$3:AB932)&gt;0,MAX(AB$3:AB932)+1,10+COUNTIF(F$38:F$49,"&gt;0")*10+1),"")</f>
        <v/>
      </c>
      <c r="AC933" s="433" t="str">
        <f>IF(AND(AH933&lt;&gt;"",AG933&lt;&gt;"",AI933&gt;0,AH933&gt;0),MAX(AC$2:AC932)+1,"XX")</f>
        <v>XX</v>
      </c>
      <c r="AD933" s="429" t="str">
        <f>IF('Antal &amp; Längder (vikter)'!$C$113&lt;&gt;"",'Antal &amp; Längder (vikter)'!$C$113,"XX")</f>
        <v>XX</v>
      </c>
      <c r="AE933" s="421" t="str">
        <f>IF(AND('Antal &amp; Längder (vikter)'!J$115&lt;&gt;"",ISNUMBER($AH933)),'Antal &amp; Längder (vikter)'!J$115,"")</f>
        <v/>
      </c>
      <c r="AF933" s="425" t="str">
        <f t="shared" si="30"/>
        <v/>
      </c>
      <c r="AG933" s="426" t="str">
        <f t="shared" si="31"/>
        <v/>
      </c>
      <c r="AH933" s="409" t="str">
        <f>IF('Antal &amp; Längder (vikter)'!K$116="Längd (mm)",IF('Antal &amp; Längder (vikter)'!K117&lt;&gt;"",'Antal &amp; Längder (vikter)'!K117,"XX"),"XX")</f>
        <v>XX</v>
      </c>
      <c r="AI933" s="7">
        <v>-9</v>
      </c>
    </row>
    <row r="934" spans="25:35" x14ac:dyDescent="0.25">
      <c r="Y934" s="397"/>
      <c r="Z934" s="397"/>
      <c r="AB934" s="476" t="str">
        <f>IF(COUNT(AB933:AB933)&gt;0,MAX(AB933:AB933)+1,"")</f>
        <v/>
      </c>
      <c r="AC934" s="433" t="str">
        <f>IF(AND(AH934&lt;&gt;"",AG934&lt;&gt;"",AI934&gt;0,AH934&gt;0),MAX(AC$2:AC933)+1,"XX")</f>
        <v>XX</v>
      </c>
      <c r="AD934" s="429" t="str">
        <f>IF('Antal &amp; Längder (vikter)'!$C$113&lt;&gt;"",'Antal &amp; Längder (vikter)'!$C$113,"XX")</f>
        <v>XX</v>
      </c>
      <c r="AE934" s="421" t="str">
        <f>IF(AND('Antal &amp; Längder (vikter)'!J$115&lt;&gt;"",ISNUMBER($AH934)),'Antal &amp; Längder (vikter)'!J$115,"")</f>
        <v/>
      </c>
      <c r="AF934" s="425" t="str">
        <f t="shared" si="30"/>
        <v/>
      </c>
      <c r="AG934" s="426" t="str">
        <f t="shared" si="31"/>
        <v/>
      </c>
      <c r="AH934" s="409" t="str">
        <f>IF('Antal &amp; Längder (vikter)'!K$116="Längd (mm)",IF('Antal &amp; Längder (vikter)'!K118&lt;&gt;"",'Antal &amp; Längder (vikter)'!K118,"XX"),"XX")</f>
        <v>XX</v>
      </c>
      <c r="AI934" s="7">
        <v>-9</v>
      </c>
    </row>
    <row r="935" spans="25:35" x14ac:dyDescent="0.25">
      <c r="Y935" s="397"/>
      <c r="Z935" s="397"/>
      <c r="AB935" s="477" t="str">
        <f>IF(COUNT(AB933:AB934)&gt;0,MAX(AB933:AB934)+1,"")</f>
        <v/>
      </c>
      <c r="AC935" s="433" t="str">
        <f>IF(AND(AH935&lt;&gt;"",AG935&lt;&gt;"",AI935&gt;0,AH935&gt;0),MAX(AC$2:AC934)+1,"XX")</f>
        <v>XX</v>
      </c>
      <c r="AD935" s="429" t="str">
        <f>IF('Antal &amp; Längder (vikter)'!$C$113&lt;&gt;"",'Antal &amp; Längder (vikter)'!$C$113,"XX")</f>
        <v>XX</v>
      </c>
      <c r="AE935" s="421" t="str">
        <f>IF(AND('Antal &amp; Längder (vikter)'!J$115&lt;&gt;"",ISNUMBER($AH935)),'Antal &amp; Längder (vikter)'!J$115,"")</f>
        <v/>
      </c>
      <c r="AF935" s="425" t="str">
        <f t="shared" si="30"/>
        <v/>
      </c>
      <c r="AG935" s="426" t="str">
        <f t="shared" si="31"/>
        <v/>
      </c>
      <c r="AH935" s="409" t="str">
        <f>IF('Antal &amp; Längder (vikter)'!K$116="Längd (mm)",IF('Antal &amp; Längder (vikter)'!K119&lt;&gt;"",'Antal &amp; Längder (vikter)'!K119,"XX"),"XX")</f>
        <v>XX</v>
      </c>
      <c r="AI935" s="7">
        <v>-9</v>
      </c>
    </row>
    <row r="936" spans="25:35" x14ac:dyDescent="0.25">
      <c r="Y936" s="397"/>
      <c r="Z936" s="397"/>
      <c r="AB936" s="434" t="str">
        <f>IF(COUNT(AB933:AB935)&gt;0,MAX(AB933:AB935)+1,"")</f>
        <v/>
      </c>
      <c r="AC936" s="433" t="str">
        <f>IF(AND(AH936&lt;&gt;"",AG936&lt;&gt;"",AI936&gt;0,AH936&gt;0),MAX(AC$2:AC935)+1,"XX")</f>
        <v>XX</v>
      </c>
      <c r="AD936" s="429" t="str">
        <f>IF('Antal &amp; Längder (vikter)'!$C$113&lt;&gt;"",'Antal &amp; Längder (vikter)'!$C$113,"XX")</f>
        <v>XX</v>
      </c>
      <c r="AE936" s="421" t="str">
        <f>IF(AND('Antal &amp; Längder (vikter)'!J$115&lt;&gt;"",ISNUMBER($AH936)),'Antal &amp; Längder (vikter)'!J$115,"")</f>
        <v/>
      </c>
      <c r="AF936" s="425" t="str">
        <f t="shared" si="30"/>
        <v/>
      </c>
      <c r="AG936" s="426" t="str">
        <f t="shared" si="31"/>
        <v/>
      </c>
      <c r="AH936" s="409" t="str">
        <f>IF('Antal &amp; Längder (vikter)'!K$116="Längd (mm)",IF('Antal &amp; Längder (vikter)'!K120&lt;&gt;"",'Antal &amp; Längder (vikter)'!K120,"XX"),"XX")</f>
        <v>XX</v>
      </c>
      <c r="AI936" s="7">
        <v>-9</v>
      </c>
    </row>
    <row r="937" spans="25:35" x14ac:dyDescent="0.25">
      <c r="Y937" s="397"/>
      <c r="Z937" s="397"/>
      <c r="AB937" s="475" t="str">
        <f>IF(COUNT(AB933:AB936)&gt;0,MAX(AB933:AB936)+1,"")</f>
        <v/>
      </c>
      <c r="AC937" s="433" t="str">
        <f>IF(AND(AH937&lt;&gt;"",AG937&lt;&gt;"",AI937&gt;0,AH937&gt;0),MAX(AC$2:AC936)+1,"XX")</f>
        <v>XX</v>
      </c>
      <c r="AD937" s="429" t="str">
        <f>IF('Antal &amp; Längder (vikter)'!$C$113&lt;&gt;"",'Antal &amp; Längder (vikter)'!$C$113,"XX")</f>
        <v>XX</v>
      </c>
      <c r="AE937" s="421" t="str">
        <f>IF(AND('Antal &amp; Längder (vikter)'!J$115&lt;&gt;"",ISNUMBER($AH937)),'Antal &amp; Längder (vikter)'!J$115,"")</f>
        <v/>
      </c>
      <c r="AF937" s="425" t="str">
        <f t="shared" si="30"/>
        <v/>
      </c>
      <c r="AG937" s="426" t="str">
        <f t="shared" si="31"/>
        <v/>
      </c>
      <c r="AH937" s="409" t="str">
        <f>IF('Antal &amp; Längder (vikter)'!K$116="Längd (mm)",IF('Antal &amp; Längder (vikter)'!K121&lt;&gt;"",'Antal &amp; Längder (vikter)'!K121,"XX"),"XX")</f>
        <v>XX</v>
      </c>
      <c r="AI937" s="7">
        <v>-9</v>
      </c>
    </row>
    <row r="938" spans="25:35" x14ac:dyDescent="0.25">
      <c r="Y938" s="397"/>
      <c r="Z938" s="397"/>
      <c r="AB938" s="471" t="str">
        <f>IF(COUNT(AB933:AB937)&gt;0,MAX(AB933:AB937)+1,"")</f>
        <v/>
      </c>
      <c r="AC938" s="433" t="str">
        <f>IF(AND(AH938&lt;&gt;"",AG938&lt;&gt;"",AI938&gt;0,AH938&gt;0),MAX(AC$2:AC937)+1,"XX")</f>
        <v>XX</v>
      </c>
      <c r="AD938" s="429" t="str">
        <f>IF('Antal &amp; Längder (vikter)'!$C$113&lt;&gt;"",'Antal &amp; Längder (vikter)'!$C$113,"XX")</f>
        <v>XX</v>
      </c>
      <c r="AE938" s="421" t="str">
        <f>IF(AND('Antal &amp; Längder (vikter)'!J$115&lt;&gt;"",ISNUMBER($AH938)),'Antal &amp; Längder (vikter)'!J$115,"")</f>
        <v/>
      </c>
      <c r="AF938" s="425" t="str">
        <f t="shared" si="30"/>
        <v/>
      </c>
      <c r="AG938" s="426" t="str">
        <f t="shared" si="31"/>
        <v/>
      </c>
      <c r="AH938" s="409" t="str">
        <f>IF('Antal &amp; Längder (vikter)'!K$116="Längd (mm)",IF('Antal &amp; Längder (vikter)'!K122&lt;&gt;"",'Antal &amp; Längder (vikter)'!K122,"XX"),"XX")</f>
        <v>XX</v>
      </c>
      <c r="AI938" s="7">
        <v>-9</v>
      </c>
    </row>
    <row r="939" spans="25:35" x14ac:dyDescent="0.25">
      <c r="Y939" s="397"/>
      <c r="Z939" s="397"/>
      <c r="AB939" s="474" t="str">
        <f>IF(COUNT(AB933:AB938)&gt;0,MAX(AB933:AB938)+1,"")</f>
        <v/>
      </c>
      <c r="AC939" s="433" t="str">
        <f>IF(AND(AH939&lt;&gt;"",AG939&lt;&gt;"",AI939&gt;0,AH939&gt;0),MAX(AC$2:AC938)+1,"XX")</f>
        <v>XX</v>
      </c>
      <c r="AD939" s="429" t="str">
        <f>IF('Antal &amp; Längder (vikter)'!$C$113&lt;&gt;"",'Antal &amp; Längder (vikter)'!$C$113,"XX")</f>
        <v>XX</v>
      </c>
      <c r="AE939" s="421" t="str">
        <f>IF(AND('Antal &amp; Längder (vikter)'!J$115&lt;&gt;"",ISNUMBER($AH939)),'Antal &amp; Längder (vikter)'!J$115,"")</f>
        <v/>
      </c>
      <c r="AF939" s="425" t="str">
        <f t="shared" si="30"/>
        <v/>
      </c>
      <c r="AG939" s="426" t="str">
        <f t="shared" si="31"/>
        <v/>
      </c>
      <c r="AH939" s="409" t="str">
        <f>IF('Antal &amp; Längder (vikter)'!K$116="Längd (mm)",IF('Antal &amp; Längder (vikter)'!K123&lt;&gt;"",'Antal &amp; Längder (vikter)'!K123,"XX"),"XX")</f>
        <v>XX</v>
      </c>
      <c r="AI939" s="7">
        <v>-9</v>
      </c>
    </row>
    <row r="940" spans="25:35" x14ac:dyDescent="0.25">
      <c r="Y940" s="397"/>
      <c r="Z940" s="397"/>
      <c r="AB940" s="478" t="str">
        <f>IF(COUNT(AB933:AB939)&gt;0,MAX(AB933:AB939)+1,"")</f>
        <v/>
      </c>
      <c r="AC940" s="433" t="str">
        <f>IF(AND(AH940&lt;&gt;"",AG940&lt;&gt;"",AI940&gt;0,AH940&gt;0),MAX(AC$2:AC939)+1,"XX")</f>
        <v>XX</v>
      </c>
      <c r="AD940" s="429" t="str">
        <f>IF('Antal &amp; Längder (vikter)'!$C$113&lt;&gt;"",'Antal &amp; Längder (vikter)'!$C$113,"XX")</f>
        <v>XX</v>
      </c>
      <c r="AE940" s="421" t="str">
        <f>IF(AND('Antal &amp; Längder (vikter)'!J$115&lt;&gt;"",ISNUMBER($AH940)),'Antal &amp; Längder (vikter)'!J$115,"")</f>
        <v/>
      </c>
      <c r="AF940" s="425" t="str">
        <f t="shared" si="30"/>
        <v/>
      </c>
      <c r="AG940" s="426" t="str">
        <f t="shared" si="31"/>
        <v/>
      </c>
      <c r="AH940" s="409" t="str">
        <f>IF('Antal &amp; Längder (vikter)'!K$116="Längd (mm)",IF('Antal &amp; Längder (vikter)'!K124&lt;&gt;"",'Antal &amp; Längder (vikter)'!K124,"XX"),"XX")</f>
        <v>XX</v>
      </c>
      <c r="AI940" s="7">
        <v>-9</v>
      </c>
    </row>
    <row r="941" spans="25:35" x14ac:dyDescent="0.25">
      <c r="Y941" s="397"/>
      <c r="Z941" s="397"/>
      <c r="AB941" s="472" t="str">
        <f>IF(COUNT(AB933:AB940)&gt;0,MAX(AB933:AB940)+1,"")</f>
        <v/>
      </c>
      <c r="AC941" s="433" t="str">
        <f>IF(AND(AH941&lt;&gt;"",AG941&lt;&gt;"",AI941&gt;0,AH941&gt;0),MAX(AC$2:AC940)+1,"XX")</f>
        <v>XX</v>
      </c>
      <c r="AD941" s="429" t="str">
        <f>IF('Antal &amp; Längder (vikter)'!$C$113&lt;&gt;"",'Antal &amp; Längder (vikter)'!$C$113,"XX")</f>
        <v>XX</v>
      </c>
      <c r="AE941" s="421" t="str">
        <f>IF(AND('Antal &amp; Längder (vikter)'!J$115&lt;&gt;"",ISNUMBER($AH941)),'Antal &amp; Längder (vikter)'!J$115,"")</f>
        <v/>
      </c>
      <c r="AF941" s="425" t="str">
        <f t="shared" si="30"/>
        <v/>
      </c>
      <c r="AG941" s="426" t="str">
        <f t="shared" si="31"/>
        <v/>
      </c>
      <c r="AH941" s="409" t="str">
        <f>IF('Antal &amp; Längder (vikter)'!K$116="Längd (mm)",IF('Antal &amp; Längder (vikter)'!K125&lt;&gt;"",'Antal &amp; Längder (vikter)'!K125,"XX"),"XX")</f>
        <v>XX</v>
      </c>
      <c r="AI941" s="7">
        <v>-9</v>
      </c>
    </row>
    <row r="942" spans="25:35" x14ac:dyDescent="0.25">
      <c r="Y942" s="397"/>
      <c r="Z942" s="397"/>
      <c r="AB942" s="479" t="str">
        <f>IF(COUNT(AB933:AB941)&gt;0,MAX(AB933:AB941)+1,"")</f>
        <v/>
      </c>
      <c r="AC942" s="433" t="str">
        <f>IF(AND(AH942&lt;&gt;"",AG942&lt;&gt;"",AI942&gt;0,AH942&gt;0),MAX(AC$2:AC941)+1,"XX")</f>
        <v>XX</v>
      </c>
      <c r="AD942" s="429" t="str">
        <f>IF('Antal &amp; Längder (vikter)'!$C$113&lt;&gt;"",'Antal &amp; Längder (vikter)'!$C$113,"XX")</f>
        <v>XX</v>
      </c>
      <c r="AE942" s="421" t="str">
        <f>IF(AND('Antal &amp; Längder (vikter)'!J$115&lt;&gt;"",ISNUMBER($AH942)),'Antal &amp; Längder (vikter)'!J$115,"")</f>
        <v/>
      </c>
      <c r="AF942" s="425" t="str">
        <f t="shared" si="30"/>
        <v/>
      </c>
      <c r="AG942" s="426" t="str">
        <f t="shared" si="31"/>
        <v/>
      </c>
      <c r="AH942" s="409" t="str">
        <f>IF('Antal &amp; Längder (vikter)'!K$116="Längd (mm)",IF('Antal &amp; Längder (vikter)'!K126&lt;&gt;"",'Antal &amp; Längder (vikter)'!K126,"XX"),"XX")</f>
        <v>XX</v>
      </c>
      <c r="AI942" s="7">
        <v>-9</v>
      </c>
    </row>
    <row r="943" spans="25:35" x14ac:dyDescent="0.25">
      <c r="Y943" s="397"/>
      <c r="Z943" s="397"/>
      <c r="AB943" s="480" t="str">
        <f>IF(AND(ISNUMBER(AH943),AH943&gt;0),IF(MAX(AB$3:AB942)&gt;0,MAX(AB$3:AB942)+1,10+COUNTIF(F$38:F$49,"&gt;0")*10+1),"")</f>
        <v/>
      </c>
      <c r="AC943" s="433" t="str">
        <f>IF(AND(AH943&lt;&gt;"",AG943&lt;&gt;"",AI943&gt;0,AH943&gt;0),MAX(AC$2:AC942)+1,"XX")</f>
        <v>XX</v>
      </c>
      <c r="AD943" s="429" t="str">
        <f>IF('Antal &amp; Längder (vikter)'!$C$113&lt;&gt;"",'Antal &amp; Längder (vikter)'!$C$113,"XX")</f>
        <v>XX</v>
      </c>
      <c r="AE943" s="424" t="str">
        <f>IF(AND('Antal &amp; Längder (vikter)'!L$115&lt;&gt;"",ISNUMBER($AH943)),'Antal &amp; Längder (vikter)'!L$115,"")</f>
        <v/>
      </c>
      <c r="AF943" s="425" t="str">
        <f t="shared" si="30"/>
        <v/>
      </c>
      <c r="AG943" s="426" t="str">
        <f t="shared" si="31"/>
        <v/>
      </c>
      <c r="AH943" s="407" t="str">
        <f>IF('Antal &amp; Längder (vikter)'!L117&lt;&gt;"",'Antal &amp; Längder (vikter)'!L117,"XX")</f>
        <v>XX</v>
      </c>
      <c r="AI943" s="404">
        <f>IF('Antal &amp; Längder (vikter)'!M$116="Vikt (g)",IF('Antal &amp; Längder (vikter)'!M117&lt;&gt;"",'Antal &amp; Längder (vikter)'!M117,-9),-9)</f>
        <v>-9</v>
      </c>
    </row>
    <row r="944" spans="25:35" x14ac:dyDescent="0.25">
      <c r="Y944" s="397"/>
      <c r="Z944" s="397"/>
      <c r="AB944" s="476" t="str">
        <f>IF(COUNT(AB943:AB943)&gt;0,MAX(AB943:AB943)+1,"")</f>
        <v/>
      </c>
      <c r="AC944" s="433" t="str">
        <f>IF(AND(AH944&lt;&gt;"",AG944&lt;&gt;"",AI944&gt;0,AH944&gt;0),MAX(AC$2:AC943)+1,"XX")</f>
        <v>XX</v>
      </c>
      <c r="AD944" s="429" t="str">
        <f>IF('Antal &amp; Längder (vikter)'!$C$113&lt;&gt;"",'Antal &amp; Längder (vikter)'!$C$113,"XX")</f>
        <v>XX</v>
      </c>
      <c r="AE944" s="424" t="str">
        <f>IF(AND('Antal &amp; Längder (vikter)'!L$115&lt;&gt;"",ISNUMBER($AH944)),'Antal &amp; Längder (vikter)'!L$115,"")</f>
        <v/>
      </c>
      <c r="AF944" s="425" t="str">
        <f t="shared" si="30"/>
        <v/>
      </c>
      <c r="AG944" s="426" t="str">
        <f t="shared" si="31"/>
        <v/>
      </c>
      <c r="AH944" s="407" t="str">
        <f>IF('Antal &amp; Längder (vikter)'!L118&lt;&gt;"",'Antal &amp; Längder (vikter)'!L118,"XX")</f>
        <v>XX</v>
      </c>
      <c r="AI944" s="404">
        <f>IF('Antal &amp; Längder (vikter)'!M$116="Vikt (g)",IF('Antal &amp; Längder (vikter)'!M118&lt;&gt;"",'Antal &amp; Längder (vikter)'!M118,-9),-9)</f>
        <v>-9</v>
      </c>
    </row>
    <row r="945" spans="25:35" x14ac:dyDescent="0.25">
      <c r="Y945" s="397"/>
      <c r="Z945" s="397"/>
      <c r="AB945" s="477" t="str">
        <f>IF(COUNT(AB943:AB944)&gt;0,MAX(AB943:AB944)+1,"")</f>
        <v/>
      </c>
      <c r="AC945" s="433" t="str">
        <f>IF(AND(AH945&lt;&gt;"",AG945&lt;&gt;"",AI945&gt;0,AH945&gt;0),MAX(AC$2:AC944)+1,"XX")</f>
        <v>XX</v>
      </c>
      <c r="AD945" s="429" t="str">
        <f>IF('Antal &amp; Längder (vikter)'!$C$113&lt;&gt;"",'Antal &amp; Längder (vikter)'!$C$113,"XX")</f>
        <v>XX</v>
      </c>
      <c r="AE945" s="424" t="str">
        <f>IF(AND('Antal &amp; Längder (vikter)'!L$115&lt;&gt;"",ISNUMBER($AH945)),'Antal &amp; Längder (vikter)'!L$115,"")</f>
        <v/>
      </c>
      <c r="AF945" s="425" t="str">
        <f t="shared" si="30"/>
        <v/>
      </c>
      <c r="AG945" s="426" t="str">
        <f t="shared" si="31"/>
        <v/>
      </c>
      <c r="AH945" s="407" t="str">
        <f>IF('Antal &amp; Längder (vikter)'!L119&lt;&gt;"",'Antal &amp; Längder (vikter)'!L119,"XX")</f>
        <v>XX</v>
      </c>
      <c r="AI945" s="404">
        <f>IF('Antal &amp; Längder (vikter)'!M$116="Vikt (g)",IF('Antal &amp; Längder (vikter)'!M119&lt;&gt;"",'Antal &amp; Längder (vikter)'!M119,-9),-9)</f>
        <v>-9</v>
      </c>
    </row>
    <row r="946" spans="25:35" x14ac:dyDescent="0.25">
      <c r="Y946" s="397"/>
      <c r="Z946" s="397"/>
      <c r="AB946" s="434" t="str">
        <f>IF(COUNT(AB943:AB945)&gt;0,MAX(AB943:AB945)+1,"")</f>
        <v/>
      </c>
      <c r="AC946" s="433" t="str">
        <f>IF(AND(AH946&lt;&gt;"",AG946&lt;&gt;"",AI946&gt;0,AH946&gt;0),MAX(AC$2:AC945)+1,"XX")</f>
        <v>XX</v>
      </c>
      <c r="AD946" s="429" t="str">
        <f>IF('Antal &amp; Längder (vikter)'!$C$113&lt;&gt;"",'Antal &amp; Längder (vikter)'!$C$113,"XX")</f>
        <v>XX</v>
      </c>
      <c r="AE946" s="424" t="str">
        <f>IF(AND('Antal &amp; Längder (vikter)'!L$115&lt;&gt;"",ISNUMBER($AH946)),'Antal &amp; Längder (vikter)'!L$115,"")</f>
        <v/>
      </c>
      <c r="AF946" s="425" t="str">
        <f t="shared" si="30"/>
        <v/>
      </c>
      <c r="AG946" s="426" t="str">
        <f t="shared" si="31"/>
        <v/>
      </c>
      <c r="AH946" s="407" t="str">
        <f>IF('Antal &amp; Längder (vikter)'!L120&lt;&gt;"",'Antal &amp; Längder (vikter)'!L120,"XX")</f>
        <v>XX</v>
      </c>
      <c r="AI946" s="404">
        <f>IF('Antal &amp; Längder (vikter)'!M$116="Vikt (g)",IF('Antal &amp; Längder (vikter)'!M120&lt;&gt;"",'Antal &amp; Längder (vikter)'!M120,-9),-9)</f>
        <v>-9</v>
      </c>
    </row>
    <row r="947" spans="25:35" x14ac:dyDescent="0.25">
      <c r="Y947" s="397"/>
      <c r="Z947" s="397"/>
      <c r="AB947" s="475" t="str">
        <f>IF(COUNT(AB943:AB946)&gt;0,MAX(AB943:AB946)+1,"")</f>
        <v/>
      </c>
      <c r="AC947" s="433" t="str">
        <f>IF(AND(AH947&lt;&gt;"",AG947&lt;&gt;"",AI947&gt;0,AH947&gt;0),MAX(AC$2:AC946)+1,"XX")</f>
        <v>XX</v>
      </c>
      <c r="AD947" s="429" t="str">
        <f>IF('Antal &amp; Längder (vikter)'!$C$113&lt;&gt;"",'Antal &amp; Längder (vikter)'!$C$113,"XX")</f>
        <v>XX</v>
      </c>
      <c r="AE947" s="424" t="str">
        <f>IF(AND('Antal &amp; Längder (vikter)'!L$115&lt;&gt;"",ISNUMBER($AH947)),'Antal &amp; Längder (vikter)'!L$115,"")</f>
        <v/>
      </c>
      <c r="AF947" s="425" t="str">
        <f t="shared" si="30"/>
        <v/>
      </c>
      <c r="AG947" s="426" t="str">
        <f t="shared" si="31"/>
        <v/>
      </c>
      <c r="AH947" s="407" t="str">
        <f>IF('Antal &amp; Längder (vikter)'!L121&lt;&gt;"",'Antal &amp; Längder (vikter)'!L121,"XX")</f>
        <v>XX</v>
      </c>
      <c r="AI947" s="404">
        <f>IF('Antal &amp; Längder (vikter)'!M$116="Vikt (g)",IF('Antal &amp; Längder (vikter)'!M121&lt;&gt;"",'Antal &amp; Längder (vikter)'!M121,-9),-9)</f>
        <v>-9</v>
      </c>
    </row>
    <row r="948" spans="25:35" x14ac:dyDescent="0.25">
      <c r="Y948" s="397"/>
      <c r="Z948" s="397"/>
      <c r="AB948" s="471" t="str">
        <f>IF(COUNT(AB943:AB947)&gt;0,MAX(AB943:AB947)+1,"")</f>
        <v/>
      </c>
      <c r="AC948" s="433" t="str">
        <f>IF(AND(AH948&lt;&gt;"",AG948&lt;&gt;"",AI948&gt;0,AH948&gt;0),MAX(AC$2:AC947)+1,"XX")</f>
        <v>XX</v>
      </c>
      <c r="AD948" s="429" t="str">
        <f>IF('Antal &amp; Längder (vikter)'!$C$113&lt;&gt;"",'Antal &amp; Längder (vikter)'!$C$113,"XX")</f>
        <v>XX</v>
      </c>
      <c r="AE948" s="424" t="str">
        <f>IF(AND('Antal &amp; Längder (vikter)'!L$115&lt;&gt;"",ISNUMBER($AH948)),'Antal &amp; Längder (vikter)'!L$115,"")</f>
        <v/>
      </c>
      <c r="AF948" s="425" t="str">
        <f t="shared" si="30"/>
        <v/>
      </c>
      <c r="AG948" s="426" t="str">
        <f t="shared" si="31"/>
        <v/>
      </c>
      <c r="AH948" s="407" t="str">
        <f>IF('Antal &amp; Längder (vikter)'!L122&lt;&gt;"",'Antal &amp; Längder (vikter)'!L122,"XX")</f>
        <v>XX</v>
      </c>
      <c r="AI948" s="404">
        <f>IF('Antal &amp; Längder (vikter)'!M$116="Vikt (g)",IF('Antal &amp; Längder (vikter)'!M122&lt;&gt;"",'Antal &amp; Längder (vikter)'!M122,-9),-9)</f>
        <v>-9</v>
      </c>
    </row>
    <row r="949" spans="25:35" x14ac:dyDescent="0.25">
      <c r="Y949" s="397"/>
      <c r="Z949" s="397"/>
      <c r="AB949" s="474" t="str">
        <f>IF(COUNT(AB943:AB948)&gt;0,MAX(AB943:AB948)+1,"")</f>
        <v/>
      </c>
      <c r="AC949" s="433" t="str">
        <f>IF(AND(AH949&lt;&gt;"",AG949&lt;&gt;"",AI949&gt;0,AH949&gt;0),MAX(AC$2:AC948)+1,"XX")</f>
        <v>XX</v>
      </c>
      <c r="AD949" s="429" t="str">
        <f>IF('Antal &amp; Längder (vikter)'!$C$113&lt;&gt;"",'Antal &amp; Längder (vikter)'!$C$113,"XX")</f>
        <v>XX</v>
      </c>
      <c r="AE949" s="424" t="str">
        <f>IF(AND('Antal &amp; Längder (vikter)'!L$115&lt;&gt;"",ISNUMBER($AH949)),'Antal &amp; Längder (vikter)'!L$115,"")</f>
        <v/>
      </c>
      <c r="AF949" s="425" t="str">
        <f t="shared" si="30"/>
        <v/>
      </c>
      <c r="AG949" s="426" t="str">
        <f t="shared" si="31"/>
        <v/>
      </c>
      <c r="AH949" s="407" t="str">
        <f>IF('Antal &amp; Längder (vikter)'!L123&lt;&gt;"",'Antal &amp; Längder (vikter)'!L123,"XX")</f>
        <v>XX</v>
      </c>
      <c r="AI949" s="404">
        <f>IF('Antal &amp; Längder (vikter)'!M$116="Vikt (g)",IF('Antal &amp; Längder (vikter)'!M123&lt;&gt;"",'Antal &amp; Längder (vikter)'!M123,-9),-9)</f>
        <v>-9</v>
      </c>
    </row>
    <row r="950" spans="25:35" x14ac:dyDescent="0.25">
      <c r="Y950" s="397"/>
      <c r="Z950" s="397"/>
      <c r="AB950" s="478" t="str">
        <f>IF(COUNT(AB943:AB949)&gt;0,MAX(AB943:AB949)+1,"")</f>
        <v/>
      </c>
      <c r="AC950" s="433" t="str">
        <f>IF(AND(AH950&lt;&gt;"",AG950&lt;&gt;"",AI950&gt;0,AH950&gt;0),MAX(AC$2:AC949)+1,"XX")</f>
        <v>XX</v>
      </c>
      <c r="AD950" s="429" t="str">
        <f>IF('Antal &amp; Längder (vikter)'!$C$113&lt;&gt;"",'Antal &amp; Längder (vikter)'!$C$113,"XX")</f>
        <v>XX</v>
      </c>
      <c r="AE950" s="424" t="str">
        <f>IF(AND('Antal &amp; Längder (vikter)'!L$115&lt;&gt;"",ISNUMBER($AH950)),'Antal &amp; Längder (vikter)'!L$115,"")</f>
        <v/>
      </c>
      <c r="AF950" s="425" t="str">
        <f t="shared" si="30"/>
        <v/>
      </c>
      <c r="AG950" s="426" t="str">
        <f t="shared" si="31"/>
        <v/>
      </c>
      <c r="AH950" s="407" t="str">
        <f>IF('Antal &amp; Längder (vikter)'!L124&lt;&gt;"",'Antal &amp; Längder (vikter)'!L124,"XX")</f>
        <v>XX</v>
      </c>
      <c r="AI950" s="404">
        <f>IF('Antal &amp; Längder (vikter)'!M$116="Vikt (g)",IF('Antal &amp; Längder (vikter)'!M124&lt;&gt;"",'Antal &amp; Längder (vikter)'!M124,-9),-9)</f>
        <v>-9</v>
      </c>
    </row>
    <row r="951" spans="25:35" x14ac:dyDescent="0.25">
      <c r="Y951" s="397"/>
      <c r="Z951" s="397"/>
      <c r="AB951" s="472" t="str">
        <f>IF(COUNT(AB943:AB950)&gt;0,MAX(AB943:AB950)+1,"")</f>
        <v/>
      </c>
      <c r="AC951" s="433" t="str">
        <f>IF(AND(AH951&lt;&gt;"",AG951&lt;&gt;"",AI951&gt;0,AH951&gt;0),MAX(AC$2:AC950)+1,"XX")</f>
        <v>XX</v>
      </c>
      <c r="AD951" s="429" t="str">
        <f>IF('Antal &amp; Längder (vikter)'!$C$113&lt;&gt;"",'Antal &amp; Längder (vikter)'!$C$113,"XX")</f>
        <v>XX</v>
      </c>
      <c r="AE951" s="424" t="str">
        <f>IF(AND('Antal &amp; Längder (vikter)'!L$115&lt;&gt;"",ISNUMBER($AH951)),'Antal &amp; Längder (vikter)'!L$115,"")</f>
        <v/>
      </c>
      <c r="AF951" s="425" t="str">
        <f t="shared" si="30"/>
        <v/>
      </c>
      <c r="AG951" s="426" t="str">
        <f t="shared" si="31"/>
        <v/>
      </c>
      <c r="AH951" s="407" t="str">
        <f>IF('Antal &amp; Längder (vikter)'!L125&lt;&gt;"",'Antal &amp; Längder (vikter)'!L125,"XX")</f>
        <v>XX</v>
      </c>
      <c r="AI951" s="404">
        <f>IF('Antal &amp; Längder (vikter)'!M$116="Vikt (g)",IF('Antal &amp; Längder (vikter)'!M125&lt;&gt;"",'Antal &amp; Längder (vikter)'!M125,-9),-9)</f>
        <v>-9</v>
      </c>
    </row>
    <row r="952" spans="25:35" x14ac:dyDescent="0.25">
      <c r="Y952" s="397"/>
      <c r="Z952" s="397"/>
      <c r="AB952" s="479" t="str">
        <f>IF(COUNT(AB943:AB951)&gt;0,MAX(AB943:AB951)+1,"")</f>
        <v/>
      </c>
      <c r="AC952" s="433" t="str">
        <f>IF(AND(AH952&lt;&gt;"",AG952&lt;&gt;"",AI952&gt;0,AH952&gt;0),MAX(AC$2:AC951)+1,"XX")</f>
        <v>XX</v>
      </c>
      <c r="AD952" s="429" t="str">
        <f>IF('Antal &amp; Längder (vikter)'!$C$113&lt;&gt;"",'Antal &amp; Längder (vikter)'!$C$113,"XX")</f>
        <v>XX</v>
      </c>
      <c r="AE952" s="424" t="str">
        <f>IF(AND('Antal &amp; Längder (vikter)'!L$115&lt;&gt;"",ISNUMBER($AH952)),'Antal &amp; Längder (vikter)'!L$115,"")</f>
        <v/>
      </c>
      <c r="AF952" s="425" t="str">
        <f t="shared" si="30"/>
        <v/>
      </c>
      <c r="AG952" s="426" t="str">
        <f t="shared" si="31"/>
        <v/>
      </c>
      <c r="AH952" s="407" t="str">
        <f>IF('Antal &amp; Längder (vikter)'!L126&lt;&gt;"",'Antal &amp; Längder (vikter)'!L126,"XX")</f>
        <v>XX</v>
      </c>
      <c r="AI952" s="404">
        <f>IF('Antal &amp; Längder (vikter)'!M$116="Vikt (g)",IF('Antal &amp; Längder (vikter)'!M126&lt;&gt;"",'Antal &amp; Längder (vikter)'!M126,-9),-9)</f>
        <v>-9</v>
      </c>
    </row>
    <row r="953" spans="25:35" x14ac:dyDescent="0.25">
      <c r="Y953" s="397"/>
      <c r="Z953" s="397"/>
      <c r="AB953" s="480" t="str">
        <f>IF(AND(ISNUMBER(AH953),AH953&gt;0),IF(MAX(AB$3:AB952)&gt;0,MAX(AB$3:AB952)+1,10+COUNTIF(F$38:F$49,"&gt;0")*10+1),"")</f>
        <v/>
      </c>
      <c r="AC953" s="433" t="str">
        <f>IF(AND(AH953&lt;&gt;"",AG953&lt;&gt;"",AI953&gt;0,AH953&gt;0),MAX(AC$2:AC952)+1,"XX")</f>
        <v>XX</v>
      </c>
      <c r="AD953" s="429" t="str">
        <f>IF('Antal &amp; Längder (vikter)'!$C$113&lt;&gt;"",'Antal &amp; Längder (vikter)'!$C$113,"XX")</f>
        <v>XX</v>
      </c>
      <c r="AE953" s="424" t="str">
        <f>IF(AND('Antal &amp; Längder (vikter)'!L$115&lt;&gt;"",ISNUMBER($AH953)),'Antal &amp; Längder (vikter)'!L$115,"")</f>
        <v/>
      </c>
      <c r="AF953" s="425" t="str">
        <f t="shared" si="30"/>
        <v/>
      </c>
      <c r="AG953" s="426" t="str">
        <f t="shared" si="31"/>
        <v/>
      </c>
      <c r="AH953" s="409" t="str">
        <f>IF('Antal &amp; Längder (vikter)'!M$116="Längd (mm)",IF('Antal &amp; Längder (vikter)'!M117&lt;&gt;"",'Antal &amp; Längder (vikter)'!M117,"XX"),"XX")</f>
        <v>XX</v>
      </c>
      <c r="AI953" s="7">
        <v>-9</v>
      </c>
    </row>
    <row r="954" spans="25:35" x14ac:dyDescent="0.25">
      <c r="Y954" s="397"/>
      <c r="Z954" s="397"/>
      <c r="AB954" s="476" t="str">
        <f>IF(COUNT(AB953:AB953)&gt;0,MAX(AB953:AB953)+1,"")</f>
        <v/>
      </c>
      <c r="AC954" s="433" t="str">
        <f>IF(AND(AH954&lt;&gt;"",AG954&lt;&gt;"",AI954&gt;0,AH954&gt;0),MAX(AC$2:AC953)+1,"XX")</f>
        <v>XX</v>
      </c>
      <c r="AD954" s="429" t="str">
        <f>IF('Antal &amp; Längder (vikter)'!$C$113&lt;&gt;"",'Antal &amp; Längder (vikter)'!$C$113,"XX")</f>
        <v>XX</v>
      </c>
      <c r="AE954" s="424" t="str">
        <f>IF(AND('Antal &amp; Längder (vikter)'!L$115&lt;&gt;"",ISNUMBER($AH954)),'Antal &amp; Längder (vikter)'!L$115,"")</f>
        <v/>
      </c>
      <c r="AF954" s="425" t="str">
        <f t="shared" si="30"/>
        <v/>
      </c>
      <c r="AG954" s="426" t="str">
        <f t="shared" si="31"/>
        <v/>
      </c>
      <c r="AH954" s="409" t="str">
        <f>IF('Antal &amp; Längder (vikter)'!M$116="Längd (mm)",IF('Antal &amp; Längder (vikter)'!M118&lt;&gt;"",'Antal &amp; Längder (vikter)'!M118,"XX"),"XX")</f>
        <v>XX</v>
      </c>
      <c r="AI954" s="7">
        <v>-9</v>
      </c>
    </row>
    <row r="955" spans="25:35" x14ac:dyDescent="0.25">
      <c r="Y955" s="397"/>
      <c r="Z955" s="397"/>
      <c r="AB955" s="477" t="str">
        <f>IF(COUNT(AB953:AB954)&gt;0,MAX(AB953:AB954)+1,"")</f>
        <v/>
      </c>
      <c r="AC955" s="433" t="str">
        <f>IF(AND(AH955&lt;&gt;"",AG955&lt;&gt;"",AI955&gt;0,AH955&gt;0),MAX(AC$2:AC954)+1,"XX")</f>
        <v>XX</v>
      </c>
      <c r="AD955" s="429" t="str">
        <f>IF('Antal &amp; Längder (vikter)'!$C$113&lt;&gt;"",'Antal &amp; Längder (vikter)'!$C$113,"XX")</f>
        <v>XX</v>
      </c>
      <c r="AE955" s="424" t="str">
        <f>IF(AND('Antal &amp; Längder (vikter)'!L$115&lt;&gt;"",ISNUMBER($AH955)),'Antal &amp; Längder (vikter)'!L$115,"")</f>
        <v/>
      </c>
      <c r="AF955" s="425" t="str">
        <f t="shared" si="30"/>
        <v/>
      </c>
      <c r="AG955" s="426" t="str">
        <f t="shared" si="31"/>
        <v/>
      </c>
      <c r="AH955" s="409" t="str">
        <f>IF('Antal &amp; Längder (vikter)'!M$116="Längd (mm)",IF('Antal &amp; Längder (vikter)'!M119&lt;&gt;"",'Antal &amp; Längder (vikter)'!M119,"XX"),"XX")</f>
        <v>XX</v>
      </c>
      <c r="AI955" s="7">
        <v>-9</v>
      </c>
    </row>
    <row r="956" spans="25:35" x14ac:dyDescent="0.25">
      <c r="Y956" s="397"/>
      <c r="Z956" s="397"/>
      <c r="AB956" s="434" t="str">
        <f>IF(COUNT(AB953:AB955)&gt;0,MAX(AB953:AB955)+1,"")</f>
        <v/>
      </c>
      <c r="AC956" s="433" t="str">
        <f>IF(AND(AH956&lt;&gt;"",AG956&lt;&gt;"",AI956&gt;0,AH956&gt;0),MAX(AC$2:AC955)+1,"XX")</f>
        <v>XX</v>
      </c>
      <c r="AD956" s="429" t="str">
        <f>IF('Antal &amp; Längder (vikter)'!$C$113&lt;&gt;"",'Antal &amp; Längder (vikter)'!$C$113,"XX")</f>
        <v>XX</v>
      </c>
      <c r="AE956" s="424" t="str">
        <f>IF(AND('Antal &amp; Längder (vikter)'!L$115&lt;&gt;"",ISNUMBER($AH956)),'Antal &amp; Längder (vikter)'!L$115,"")</f>
        <v/>
      </c>
      <c r="AF956" s="425" t="str">
        <f t="shared" si="30"/>
        <v/>
      </c>
      <c r="AG956" s="426" t="str">
        <f t="shared" si="31"/>
        <v/>
      </c>
      <c r="AH956" s="409" t="str">
        <f>IF('Antal &amp; Längder (vikter)'!M$116="Längd (mm)",IF('Antal &amp; Längder (vikter)'!M120&lt;&gt;"",'Antal &amp; Längder (vikter)'!M120,"XX"),"XX")</f>
        <v>XX</v>
      </c>
      <c r="AI956" s="7">
        <v>-9</v>
      </c>
    </row>
    <row r="957" spans="25:35" x14ac:dyDescent="0.25">
      <c r="Y957" s="397"/>
      <c r="Z957" s="397"/>
      <c r="AB957" s="475" t="str">
        <f>IF(COUNT(AB953:AB956)&gt;0,MAX(AB953:AB956)+1,"")</f>
        <v/>
      </c>
      <c r="AC957" s="433" t="str">
        <f>IF(AND(AH957&lt;&gt;"",AG957&lt;&gt;"",AI957&gt;0,AH957&gt;0),MAX(AC$2:AC956)+1,"XX")</f>
        <v>XX</v>
      </c>
      <c r="AD957" s="429" t="str">
        <f>IF('Antal &amp; Längder (vikter)'!$C$113&lt;&gt;"",'Antal &amp; Längder (vikter)'!$C$113,"XX")</f>
        <v>XX</v>
      </c>
      <c r="AE957" s="424" t="str">
        <f>IF(AND('Antal &amp; Längder (vikter)'!L$115&lt;&gt;"",ISNUMBER($AH957)),'Antal &amp; Längder (vikter)'!L$115,"")</f>
        <v/>
      </c>
      <c r="AF957" s="425" t="str">
        <f t="shared" si="30"/>
        <v/>
      </c>
      <c r="AG957" s="426" t="str">
        <f t="shared" si="31"/>
        <v/>
      </c>
      <c r="AH957" s="409" t="str">
        <f>IF('Antal &amp; Längder (vikter)'!M$116="Längd (mm)",IF('Antal &amp; Längder (vikter)'!M121&lt;&gt;"",'Antal &amp; Längder (vikter)'!M121,"XX"),"XX")</f>
        <v>XX</v>
      </c>
      <c r="AI957" s="7">
        <v>-9</v>
      </c>
    </row>
    <row r="958" spans="25:35" x14ac:dyDescent="0.25">
      <c r="Y958" s="397"/>
      <c r="Z958" s="397"/>
      <c r="AB958" s="471" t="str">
        <f>IF(COUNT(AB953:AB957)&gt;0,MAX(AB953:AB957)+1,"")</f>
        <v/>
      </c>
      <c r="AC958" s="433" t="str">
        <f>IF(AND(AH958&lt;&gt;"",AG958&lt;&gt;"",AI958&gt;0,AH958&gt;0),MAX(AC$2:AC957)+1,"XX")</f>
        <v>XX</v>
      </c>
      <c r="AD958" s="429" t="str">
        <f>IF('Antal &amp; Längder (vikter)'!$C$113&lt;&gt;"",'Antal &amp; Längder (vikter)'!$C$113,"XX")</f>
        <v>XX</v>
      </c>
      <c r="AE958" s="424" t="str">
        <f>IF(AND('Antal &amp; Längder (vikter)'!L$115&lt;&gt;"",ISNUMBER($AH958)),'Antal &amp; Längder (vikter)'!L$115,"")</f>
        <v/>
      </c>
      <c r="AF958" s="425" t="str">
        <f t="shared" si="30"/>
        <v/>
      </c>
      <c r="AG958" s="426" t="str">
        <f t="shared" si="31"/>
        <v/>
      </c>
      <c r="AH958" s="409" t="str">
        <f>IF('Antal &amp; Längder (vikter)'!M$116="Längd (mm)",IF('Antal &amp; Längder (vikter)'!M122&lt;&gt;"",'Antal &amp; Längder (vikter)'!M122,"XX"),"XX")</f>
        <v>XX</v>
      </c>
      <c r="AI958" s="7">
        <v>-9</v>
      </c>
    </row>
    <row r="959" spans="25:35" x14ac:dyDescent="0.25">
      <c r="Y959" s="397"/>
      <c r="Z959" s="397"/>
      <c r="AB959" s="474" t="str">
        <f>IF(COUNT(AB953:AB958)&gt;0,MAX(AB953:AB958)+1,"")</f>
        <v/>
      </c>
      <c r="AC959" s="433" t="str">
        <f>IF(AND(AH959&lt;&gt;"",AG959&lt;&gt;"",AI959&gt;0,AH959&gt;0),MAX(AC$2:AC958)+1,"XX")</f>
        <v>XX</v>
      </c>
      <c r="AD959" s="429" t="str">
        <f>IF('Antal &amp; Längder (vikter)'!$C$113&lt;&gt;"",'Antal &amp; Längder (vikter)'!$C$113,"XX")</f>
        <v>XX</v>
      </c>
      <c r="AE959" s="424" t="str">
        <f>IF(AND('Antal &amp; Längder (vikter)'!L$115&lt;&gt;"",ISNUMBER($AH959)),'Antal &amp; Längder (vikter)'!L$115,"")</f>
        <v/>
      </c>
      <c r="AF959" s="425" t="str">
        <f t="shared" si="30"/>
        <v/>
      </c>
      <c r="AG959" s="426" t="str">
        <f t="shared" si="31"/>
        <v/>
      </c>
      <c r="AH959" s="409" t="str">
        <f>IF('Antal &amp; Längder (vikter)'!M$116="Längd (mm)",IF('Antal &amp; Längder (vikter)'!M123&lt;&gt;"",'Antal &amp; Längder (vikter)'!M123,"XX"),"XX")</f>
        <v>XX</v>
      </c>
      <c r="AI959" s="7">
        <v>-9</v>
      </c>
    </row>
    <row r="960" spans="25:35" x14ac:dyDescent="0.25">
      <c r="Y960" s="397"/>
      <c r="Z960" s="397"/>
      <c r="AB960" s="478" t="str">
        <f>IF(COUNT(AB953:AB959)&gt;0,MAX(AB953:AB959)+1,"")</f>
        <v/>
      </c>
      <c r="AC960" s="433" t="str">
        <f>IF(AND(AH960&lt;&gt;"",AG960&lt;&gt;"",AI960&gt;0,AH960&gt;0),MAX(AC$2:AC959)+1,"XX")</f>
        <v>XX</v>
      </c>
      <c r="AD960" s="429" t="str">
        <f>IF('Antal &amp; Längder (vikter)'!$C$113&lt;&gt;"",'Antal &amp; Längder (vikter)'!$C$113,"XX")</f>
        <v>XX</v>
      </c>
      <c r="AE960" s="424" t="str">
        <f>IF(AND('Antal &amp; Längder (vikter)'!L$115&lt;&gt;"",ISNUMBER($AH960)),'Antal &amp; Längder (vikter)'!L$115,"")</f>
        <v/>
      </c>
      <c r="AF960" s="425" t="str">
        <f t="shared" si="30"/>
        <v/>
      </c>
      <c r="AG960" s="426" t="str">
        <f t="shared" si="31"/>
        <v/>
      </c>
      <c r="AH960" s="409" t="str">
        <f>IF('Antal &amp; Längder (vikter)'!M$116="Längd (mm)",IF('Antal &amp; Längder (vikter)'!M124&lt;&gt;"",'Antal &amp; Längder (vikter)'!M124,"XX"),"XX")</f>
        <v>XX</v>
      </c>
      <c r="AI960" s="7">
        <v>-9</v>
      </c>
    </row>
    <row r="961" spans="25:35" x14ac:dyDescent="0.25">
      <c r="Y961" s="397"/>
      <c r="Z961" s="397"/>
      <c r="AB961" s="472" t="str">
        <f>IF(COUNT(AB953:AB960)&gt;0,MAX(AB953:AB960)+1,"")</f>
        <v/>
      </c>
      <c r="AC961" s="433" t="str">
        <f>IF(AND(AH961&lt;&gt;"",AG961&lt;&gt;"",AI961&gt;0,AH961&gt;0),MAX(AC$2:AC960)+1,"XX")</f>
        <v>XX</v>
      </c>
      <c r="AD961" s="429" t="str">
        <f>IF('Antal &amp; Längder (vikter)'!$C$113&lt;&gt;"",'Antal &amp; Längder (vikter)'!$C$113,"XX")</f>
        <v>XX</v>
      </c>
      <c r="AE961" s="424" t="str">
        <f>IF(AND('Antal &amp; Längder (vikter)'!L$115&lt;&gt;"",ISNUMBER($AH961)),'Antal &amp; Längder (vikter)'!L$115,"")</f>
        <v/>
      </c>
      <c r="AF961" s="425" t="str">
        <f t="shared" si="30"/>
        <v/>
      </c>
      <c r="AG961" s="426" t="str">
        <f t="shared" si="31"/>
        <v/>
      </c>
      <c r="AH961" s="409" t="str">
        <f>IF('Antal &amp; Längder (vikter)'!M$116="Längd (mm)",IF('Antal &amp; Längder (vikter)'!M125&lt;&gt;"",'Antal &amp; Längder (vikter)'!M125,"XX"),"XX")</f>
        <v>XX</v>
      </c>
      <c r="AI961" s="7">
        <v>-9</v>
      </c>
    </row>
    <row r="962" spans="25:35" x14ac:dyDescent="0.25">
      <c r="Y962" s="397"/>
      <c r="Z962" s="397"/>
      <c r="AB962" s="479" t="str">
        <f>IF(COUNT(AB953:AB961)&gt;0,MAX(AB953:AB961)+1,"")</f>
        <v/>
      </c>
      <c r="AC962" s="433" t="str">
        <f>IF(AND(AH962&lt;&gt;"",AG962&lt;&gt;"",AI962&gt;0,AH962&gt;0),MAX(AC$2:AC961)+1,"XX")</f>
        <v>XX</v>
      </c>
      <c r="AD962" s="429" t="str">
        <f>IF('Antal &amp; Längder (vikter)'!$C$113&lt;&gt;"",'Antal &amp; Längder (vikter)'!$C$113,"XX")</f>
        <v>XX</v>
      </c>
      <c r="AE962" s="424" t="str">
        <f>IF(AND('Antal &amp; Längder (vikter)'!L$115&lt;&gt;"",ISNUMBER($AH962)),'Antal &amp; Längder (vikter)'!L$115,"")</f>
        <v/>
      </c>
      <c r="AF962" s="425" t="str">
        <f t="shared" si="30"/>
        <v/>
      </c>
      <c r="AG962" s="426" t="str">
        <f t="shared" si="31"/>
        <v/>
      </c>
      <c r="AH962" s="409" t="str">
        <f>IF('Antal &amp; Längder (vikter)'!M$116="Längd (mm)",IF('Antal &amp; Längder (vikter)'!M126&lt;&gt;"",'Antal &amp; Längder (vikter)'!M126,"XX"),"XX")</f>
        <v>XX</v>
      </c>
      <c r="AI962" s="7">
        <v>-9</v>
      </c>
    </row>
    <row r="963" spans="25:35" x14ac:dyDescent="0.25">
      <c r="Y963" s="397"/>
      <c r="Z963" s="397"/>
      <c r="AB963" s="480" t="str">
        <f>IF(AND(ISNUMBER(AH963),AH963&gt;0),IF(MAX(AB$3:AB962)&gt;0,MAX(AB$3:AB962)+1,10+COUNTIF(F$38:F$49,"&gt;0")*10+1),"")</f>
        <v/>
      </c>
      <c r="AC963" s="433" t="str">
        <f>IF(AND(AH963&lt;&gt;"",AG963&lt;&gt;"",AI963&gt;0,AH963&gt;0),MAX(AC$2:AC962)+1,"XX")</f>
        <v>XX</v>
      </c>
      <c r="AD963" s="431" t="str">
        <f>IF('Antal &amp; Längder (vikter)'!$C$128&lt;&gt;"",'Antal &amp; Längder (vikter)'!$C$128,"XX")</f>
        <v>XX</v>
      </c>
      <c r="AE963" s="421" t="str">
        <f>IF(AND('Antal &amp; Längder (vikter)'!B$130&lt;&gt;"",ISNUMBER($AH963)),'Antal &amp; Längder (vikter)'!B$130,"")</f>
        <v/>
      </c>
      <c r="AF963" s="425" t="str">
        <f t="shared" ref="AF963:AF1026" si="32">IF(AND(ISNUMBER(AH963),AE963&lt;&gt;""),VLOOKUP(AE963,$N$2:$O$60,2,FALSE),"")</f>
        <v/>
      </c>
      <c r="AG963" s="426" t="str">
        <f t="shared" ref="AG963:AG1026" si="33">IF(AF963&lt;&gt;"",VLOOKUP(AF963,O$2:U$60,7,FALSE),"")</f>
        <v/>
      </c>
      <c r="AH963" s="404" t="str">
        <f>IF('Antal &amp; Längder (vikter)'!B132&lt;&gt;"",'Antal &amp; Längder (vikter)'!B132,"XX")</f>
        <v>XX</v>
      </c>
      <c r="AI963" s="410">
        <f>IF('Antal &amp; Längder (vikter)'!C$131="Vikt (g)",IF('Antal &amp; Längder (vikter)'!C132&lt;&gt;"",'Antal &amp; Längder (vikter)'!C132,-9),-9)</f>
        <v>-9</v>
      </c>
    </row>
    <row r="964" spans="25:35" x14ac:dyDescent="0.25">
      <c r="Y964" s="397"/>
      <c r="Z964" s="397"/>
      <c r="AB964" s="476" t="str">
        <f>IF(COUNT(AB963:AB963)&gt;0,MAX(AB963:AB963)+1,"")</f>
        <v/>
      </c>
      <c r="AC964" s="433" t="str">
        <f>IF(AND(AH964&lt;&gt;"",AG964&lt;&gt;"",AI964&gt;0,AH964&gt;0),MAX(AC$2:AC963)+1,"XX")</f>
        <v>XX</v>
      </c>
      <c r="AD964" s="431" t="str">
        <f>IF('Antal &amp; Längder (vikter)'!$C$128&lt;&gt;"",'Antal &amp; Längder (vikter)'!$C$128,"XX")</f>
        <v>XX</v>
      </c>
      <c r="AE964" s="421" t="str">
        <f>IF(AND('Antal &amp; Längder (vikter)'!B$130&lt;&gt;"",ISNUMBER($AH964)),'Antal &amp; Längder (vikter)'!B$130,"")</f>
        <v/>
      </c>
      <c r="AF964" s="425" t="str">
        <f t="shared" si="32"/>
        <v/>
      </c>
      <c r="AG964" s="426" t="str">
        <f t="shared" si="33"/>
        <v/>
      </c>
      <c r="AH964" s="404" t="str">
        <f>IF('Antal &amp; Längder (vikter)'!B133&lt;&gt;"",'Antal &amp; Längder (vikter)'!B133,"XX")</f>
        <v>XX</v>
      </c>
      <c r="AI964" s="410">
        <f>IF('Antal &amp; Längder (vikter)'!C$131="Vikt (g)",IF('Antal &amp; Längder (vikter)'!C133&lt;&gt;"",'Antal &amp; Längder (vikter)'!C133,-9),-9)</f>
        <v>-9</v>
      </c>
    </row>
    <row r="965" spans="25:35" x14ac:dyDescent="0.25">
      <c r="Y965" s="397"/>
      <c r="Z965" s="397"/>
      <c r="AB965" s="477" t="str">
        <f>IF(COUNT(AB963:AB964)&gt;0,MAX(AB963:AB964)+1,"")</f>
        <v/>
      </c>
      <c r="AC965" s="433" t="str">
        <f>IF(AND(AH965&lt;&gt;"",AG965&lt;&gt;"",AI965&gt;0,AH965&gt;0),MAX(AC$2:AC964)+1,"XX")</f>
        <v>XX</v>
      </c>
      <c r="AD965" s="431" t="str">
        <f>IF('Antal &amp; Längder (vikter)'!$C$128&lt;&gt;"",'Antal &amp; Längder (vikter)'!$C$128,"XX")</f>
        <v>XX</v>
      </c>
      <c r="AE965" s="421" t="str">
        <f>IF(AND('Antal &amp; Längder (vikter)'!B$130&lt;&gt;"",ISNUMBER($AH965)),'Antal &amp; Längder (vikter)'!B$130,"")</f>
        <v/>
      </c>
      <c r="AF965" s="425" t="str">
        <f t="shared" si="32"/>
        <v/>
      </c>
      <c r="AG965" s="426" t="str">
        <f t="shared" si="33"/>
        <v/>
      </c>
      <c r="AH965" s="404" t="str">
        <f>IF('Antal &amp; Längder (vikter)'!B134&lt;&gt;"",'Antal &amp; Längder (vikter)'!B134,"XX")</f>
        <v>XX</v>
      </c>
      <c r="AI965" s="410">
        <f>IF('Antal &amp; Längder (vikter)'!C$131="Vikt (g)",IF('Antal &amp; Längder (vikter)'!C134&lt;&gt;"",'Antal &amp; Längder (vikter)'!C134,-9),-9)</f>
        <v>-9</v>
      </c>
    </row>
    <row r="966" spans="25:35" x14ac:dyDescent="0.25">
      <c r="Y966" s="397"/>
      <c r="Z966" s="397"/>
      <c r="AB966" s="434" t="str">
        <f>IF(COUNT(AB963:AB965)&gt;0,MAX(AB963:AB965)+1,"")</f>
        <v/>
      </c>
      <c r="AC966" s="433" t="str">
        <f>IF(AND(AH966&lt;&gt;"",AG966&lt;&gt;"",AI966&gt;0,AH966&gt;0),MAX(AC$2:AC965)+1,"XX")</f>
        <v>XX</v>
      </c>
      <c r="AD966" s="431" t="str">
        <f>IF('Antal &amp; Längder (vikter)'!$C$128&lt;&gt;"",'Antal &amp; Längder (vikter)'!$C$128,"XX")</f>
        <v>XX</v>
      </c>
      <c r="AE966" s="421" t="str">
        <f>IF(AND('Antal &amp; Längder (vikter)'!B$130&lt;&gt;"",ISNUMBER($AH966)),'Antal &amp; Längder (vikter)'!B$130,"")</f>
        <v/>
      </c>
      <c r="AF966" s="425" t="str">
        <f t="shared" si="32"/>
        <v/>
      </c>
      <c r="AG966" s="426" t="str">
        <f t="shared" si="33"/>
        <v/>
      </c>
      <c r="AH966" s="404" t="str">
        <f>IF('Antal &amp; Längder (vikter)'!B135&lt;&gt;"",'Antal &amp; Längder (vikter)'!B135,"XX")</f>
        <v>XX</v>
      </c>
      <c r="AI966" s="410">
        <f>IF('Antal &amp; Längder (vikter)'!C$131="Vikt (g)",IF('Antal &amp; Längder (vikter)'!C135&lt;&gt;"",'Antal &amp; Längder (vikter)'!C135,-9),-9)</f>
        <v>-9</v>
      </c>
    </row>
    <row r="967" spans="25:35" x14ac:dyDescent="0.25">
      <c r="Y967" s="397"/>
      <c r="Z967" s="397"/>
      <c r="AB967" s="475" t="str">
        <f>IF(COUNT(AB963:AB966)&gt;0,MAX(AB963:AB966)+1,"")</f>
        <v/>
      </c>
      <c r="AC967" s="433" t="str">
        <f>IF(AND(AH967&lt;&gt;"",AG967&lt;&gt;"",AI967&gt;0,AH967&gt;0),MAX(AC$2:AC966)+1,"XX")</f>
        <v>XX</v>
      </c>
      <c r="AD967" s="431" t="str">
        <f>IF('Antal &amp; Längder (vikter)'!$C$128&lt;&gt;"",'Antal &amp; Längder (vikter)'!$C$128,"XX")</f>
        <v>XX</v>
      </c>
      <c r="AE967" s="421" t="str">
        <f>IF(AND('Antal &amp; Längder (vikter)'!B$130&lt;&gt;"",ISNUMBER($AH967)),'Antal &amp; Längder (vikter)'!B$130,"")</f>
        <v/>
      </c>
      <c r="AF967" s="425" t="str">
        <f t="shared" si="32"/>
        <v/>
      </c>
      <c r="AG967" s="426" t="str">
        <f t="shared" si="33"/>
        <v/>
      </c>
      <c r="AH967" s="404" t="str">
        <f>IF('Antal &amp; Längder (vikter)'!B136&lt;&gt;"",'Antal &amp; Längder (vikter)'!B136,"XX")</f>
        <v>XX</v>
      </c>
      <c r="AI967" s="410">
        <f>IF('Antal &amp; Längder (vikter)'!C$131="Vikt (g)",IF('Antal &amp; Längder (vikter)'!C136&lt;&gt;"",'Antal &amp; Längder (vikter)'!C136,-9),-9)</f>
        <v>-9</v>
      </c>
    </row>
    <row r="968" spans="25:35" x14ac:dyDescent="0.25">
      <c r="Y968" s="397"/>
      <c r="Z968" s="397"/>
      <c r="AB968" s="471" t="str">
        <f>IF(COUNT(AB963:AB967)&gt;0,MAX(AB963:AB967)+1,"")</f>
        <v/>
      </c>
      <c r="AC968" s="433" t="str">
        <f>IF(AND(AH968&lt;&gt;"",AG968&lt;&gt;"",AI968&gt;0,AH968&gt;0),MAX(AC$2:AC967)+1,"XX")</f>
        <v>XX</v>
      </c>
      <c r="AD968" s="431" t="str">
        <f>IF('Antal &amp; Längder (vikter)'!$C$128&lt;&gt;"",'Antal &amp; Längder (vikter)'!$C$128,"XX")</f>
        <v>XX</v>
      </c>
      <c r="AE968" s="421" t="str">
        <f>IF(AND('Antal &amp; Längder (vikter)'!B$130&lt;&gt;"",ISNUMBER($AH968)),'Antal &amp; Längder (vikter)'!B$130,"")</f>
        <v/>
      </c>
      <c r="AF968" s="425" t="str">
        <f t="shared" si="32"/>
        <v/>
      </c>
      <c r="AG968" s="426" t="str">
        <f t="shared" si="33"/>
        <v/>
      </c>
      <c r="AH968" s="404" t="str">
        <f>IF('Antal &amp; Längder (vikter)'!B137&lt;&gt;"",'Antal &amp; Längder (vikter)'!B137,"XX")</f>
        <v>XX</v>
      </c>
      <c r="AI968" s="410">
        <f>IF('Antal &amp; Längder (vikter)'!C$131="Vikt (g)",IF('Antal &amp; Längder (vikter)'!C137&lt;&gt;"",'Antal &amp; Längder (vikter)'!C137,-9),-9)</f>
        <v>-9</v>
      </c>
    </row>
    <row r="969" spans="25:35" x14ac:dyDescent="0.25">
      <c r="Y969" s="397"/>
      <c r="Z969" s="397"/>
      <c r="AB969" s="474" t="str">
        <f>IF(COUNT(AB963:AB968)&gt;0,MAX(AB963:AB968)+1,"")</f>
        <v/>
      </c>
      <c r="AC969" s="433" t="str">
        <f>IF(AND(AH969&lt;&gt;"",AG969&lt;&gt;"",AI969&gt;0,AH969&gt;0),MAX(AC$2:AC968)+1,"XX")</f>
        <v>XX</v>
      </c>
      <c r="AD969" s="431" t="str">
        <f>IF('Antal &amp; Längder (vikter)'!$C$128&lt;&gt;"",'Antal &amp; Längder (vikter)'!$C$128,"XX")</f>
        <v>XX</v>
      </c>
      <c r="AE969" s="421" t="str">
        <f>IF(AND('Antal &amp; Längder (vikter)'!B$130&lt;&gt;"",ISNUMBER($AH969)),'Antal &amp; Längder (vikter)'!B$130,"")</f>
        <v/>
      </c>
      <c r="AF969" s="425" t="str">
        <f t="shared" si="32"/>
        <v/>
      </c>
      <c r="AG969" s="426" t="str">
        <f t="shared" si="33"/>
        <v/>
      </c>
      <c r="AH969" s="404" t="str">
        <f>IF('Antal &amp; Längder (vikter)'!B138&lt;&gt;"",'Antal &amp; Längder (vikter)'!B138,"XX")</f>
        <v>XX</v>
      </c>
      <c r="AI969" s="410">
        <f>IF('Antal &amp; Längder (vikter)'!C$131="Vikt (g)",IF('Antal &amp; Längder (vikter)'!C138&lt;&gt;"",'Antal &amp; Längder (vikter)'!C138,-9),-9)</f>
        <v>-9</v>
      </c>
    </row>
    <row r="970" spans="25:35" x14ac:dyDescent="0.25">
      <c r="Y970" s="397"/>
      <c r="Z970" s="397"/>
      <c r="AB970" s="478" t="str">
        <f>IF(COUNT(AB963:AB969)&gt;0,MAX(AB963:AB969)+1,"")</f>
        <v/>
      </c>
      <c r="AC970" s="433" t="str">
        <f>IF(AND(AH970&lt;&gt;"",AG970&lt;&gt;"",AI970&gt;0,AH970&gt;0),MAX(AC$2:AC969)+1,"XX")</f>
        <v>XX</v>
      </c>
      <c r="AD970" s="431" t="str">
        <f>IF('Antal &amp; Längder (vikter)'!$C$128&lt;&gt;"",'Antal &amp; Längder (vikter)'!$C$128,"XX")</f>
        <v>XX</v>
      </c>
      <c r="AE970" s="421" t="str">
        <f>IF(AND('Antal &amp; Längder (vikter)'!B$130&lt;&gt;"",ISNUMBER($AH970)),'Antal &amp; Längder (vikter)'!B$130,"")</f>
        <v/>
      </c>
      <c r="AF970" s="425" t="str">
        <f t="shared" si="32"/>
        <v/>
      </c>
      <c r="AG970" s="426" t="str">
        <f t="shared" si="33"/>
        <v/>
      </c>
      <c r="AH970" s="404" t="str">
        <f>IF('Antal &amp; Längder (vikter)'!B139&lt;&gt;"",'Antal &amp; Längder (vikter)'!B139,"XX")</f>
        <v>XX</v>
      </c>
      <c r="AI970" s="410">
        <f>IF('Antal &amp; Längder (vikter)'!C$131="Vikt (g)",IF('Antal &amp; Längder (vikter)'!C139&lt;&gt;"",'Antal &amp; Längder (vikter)'!C139,-9),-9)</f>
        <v>-9</v>
      </c>
    </row>
    <row r="971" spans="25:35" x14ac:dyDescent="0.25">
      <c r="Y971" s="397"/>
      <c r="Z971" s="397"/>
      <c r="AB971" s="472" t="str">
        <f>IF(COUNT(AB963:AB970)&gt;0,MAX(AB963:AB970)+1,"")</f>
        <v/>
      </c>
      <c r="AC971" s="433" t="str">
        <f>IF(AND(AH971&lt;&gt;"",AG971&lt;&gt;"",AI971&gt;0,AH971&gt;0),MAX(AC$2:AC970)+1,"XX")</f>
        <v>XX</v>
      </c>
      <c r="AD971" s="431" t="str">
        <f>IF('Antal &amp; Längder (vikter)'!$C$128&lt;&gt;"",'Antal &amp; Längder (vikter)'!$C$128,"XX")</f>
        <v>XX</v>
      </c>
      <c r="AE971" s="421" t="str">
        <f>IF(AND('Antal &amp; Längder (vikter)'!B$130&lt;&gt;"",ISNUMBER($AH971)),'Antal &amp; Längder (vikter)'!B$130,"")</f>
        <v/>
      </c>
      <c r="AF971" s="425" t="str">
        <f t="shared" si="32"/>
        <v/>
      </c>
      <c r="AG971" s="426" t="str">
        <f t="shared" si="33"/>
        <v/>
      </c>
      <c r="AH971" s="404" t="str">
        <f>IF('Antal &amp; Längder (vikter)'!B140&lt;&gt;"",'Antal &amp; Längder (vikter)'!B140,"XX")</f>
        <v>XX</v>
      </c>
      <c r="AI971" s="410">
        <f>IF('Antal &amp; Längder (vikter)'!C$131="Vikt (g)",IF('Antal &amp; Längder (vikter)'!C140&lt;&gt;"",'Antal &amp; Längder (vikter)'!C140,-9),-9)</f>
        <v>-9</v>
      </c>
    </row>
    <row r="972" spans="25:35" x14ac:dyDescent="0.25">
      <c r="Y972" s="397"/>
      <c r="Z972" s="397"/>
      <c r="AB972" s="479" t="str">
        <f>IF(COUNT(AB963:AB971)&gt;0,MAX(AB963:AB971)+1,"")</f>
        <v/>
      </c>
      <c r="AC972" s="433" t="str">
        <f>IF(AND(AH972&lt;&gt;"",AG972&lt;&gt;"",AI972&gt;0,AH972&gt;0),MAX(AC$2:AC971)+1,"XX")</f>
        <v>XX</v>
      </c>
      <c r="AD972" s="431" t="str">
        <f>IF('Antal &amp; Längder (vikter)'!$C$128&lt;&gt;"",'Antal &amp; Längder (vikter)'!$C$128,"XX")</f>
        <v>XX</v>
      </c>
      <c r="AE972" s="421" t="str">
        <f>IF(AND('Antal &amp; Längder (vikter)'!B$130&lt;&gt;"",ISNUMBER($AH972)),'Antal &amp; Längder (vikter)'!B$130,"")</f>
        <v/>
      </c>
      <c r="AF972" s="425" t="str">
        <f t="shared" si="32"/>
        <v/>
      </c>
      <c r="AG972" s="426" t="str">
        <f t="shared" si="33"/>
        <v/>
      </c>
      <c r="AH972" s="404" t="str">
        <f>IF('Antal &amp; Längder (vikter)'!B141&lt;&gt;"",'Antal &amp; Längder (vikter)'!B141,"XX")</f>
        <v>XX</v>
      </c>
      <c r="AI972" s="410">
        <f>IF('Antal &amp; Längder (vikter)'!C$131="Vikt (g)",IF('Antal &amp; Längder (vikter)'!C141&lt;&gt;"",'Antal &amp; Längder (vikter)'!C141,-9),-9)</f>
        <v>-9</v>
      </c>
    </row>
    <row r="973" spans="25:35" ht="15" x14ac:dyDescent="0.25">
      <c r="Y973" s="397"/>
      <c r="Z973" s="397"/>
      <c r="AB973" s="480" t="str">
        <f>IF(AND(ISNUMBER(AH973),AH973&gt;0),IF(MAX(AB$3:AB972)&gt;0,MAX(AB$3:AB972)+1,10+COUNTIF(F$38:F$49,"&gt;0")*10+1),"")</f>
        <v/>
      </c>
      <c r="AC973" s="433" t="str">
        <f>IF(AND(AH973&lt;&gt;"",AG973&lt;&gt;"",AI973&gt;0,AH973&gt;0),MAX(AC$2:AC972)+1,"XX")</f>
        <v>XX</v>
      </c>
      <c r="AD973" s="431" t="str">
        <f>IF('Antal &amp; Längder (vikter)'!$C$128&lt;&gt;"",'Antal &amp; Längder (vikter)'!$C$128,"XX")</f>
        <v>XX</v>
      </c>
      <c r="AE973" s="421" t="str">
        <f>IF(AND('Antal &amp; Längder (vikter)'!B$130&lt;&gt;"",ISNUMBER($AH973)),'Antal &amp; Längder (vikter)'!B$130,"")</f>
        <v/>
      </c>
      <c r="AF973" s="425" t="str">
        <f t="shared" si="32"/>
        <v/>
      </c>
      <c r="AG973" s="426" t="str">
        <f t="shared" si="33"/>
        <v/>
      </c>
      <c r="AH973" s="410" t="str">
        <f>IF('Antal &amp; Längder (vikter)'!C$131="Längd (mm)",IF('Antal &amp; Längder (vikter)'!C132&lt;&gt;"",'Antal &amp; Längder (vikter)'!C132,"XX"),"XX")</f>
        <v>XX</v>
      </c>
      <c r="AI973" s="195">
        <v>-9</v>
      </c>
    </row>
    <row r="974" spans="25:35" ht="15" x14ac:dyDescent="0.25">
      <c r="Y974" s="397"/>
      <c r="Z974" s="397"/>
      <c r="AB974" s="476" t="str">
        <f>IF(COUNT(AB973:AB973)&gt;0,MAX(AB973:AB973)+1,"")</f>
        <v/>
      </c>
      <c r="AC974" s="433" t="str">
        <f>IF(AND(AH974&lt;&gt;"",AG974&lt;&gt;"",AI974&gt;0,AH974&gt;0),MAX(AC$2:AC973)+1,"XX")</f>
        <v>XX</v>
      </c>
      <c r="AD974" s="431" t="str">
        <f>IF('Antal &amp; Längder (vikter)'!$C$128&lt;&gt;"",'Antal &amp; Längder (vikter)'!$C$128,"XX")</f>
        <v>XX</v>
      </c>
      <c r="AE974" s="421" t="str">
        <f>IF(AND('Antal &amp; Längder (vikter)'!B$130&lt;&gt;"",ISNUMBER($AH974)),'Antal &amp; Längder (vikter)'!B$130,"")</f>
        <v/>
      </c>
      <c r="AF974" s="425" t="str">
        <f t="shared" si="32"/>
        <v/>
      </c>
      <c r="AG974" s="426" t="str">
        <f t="shared" si="33"/>
        <v/>
      </c>
      <c r="AH974" s="410" t="str">
        <f>IF('Antal &amp; Längder (vikter)'!C$131="Längd (mm)",IF('Antal &amp; Längder (vikter)'!C133&lt;&gt;"",'Antal &amp; Längder (vikter)'!C133,"XX"),"XX")</f>
        <v>XX</v>
      </c>
      <c r="AI974" s="195">
        <v>-9</v>
      </c>
    </row>
    <row r="975" spans="25:35" ht="15" x14ac:dyDescent="0.25">
      <c r="Y975" s="397"/>
      <c r="Z975" s="397"/>
      <c r="AB975" s="477" t="str">
        <f>IF(COUNT(AB973:AB974)&gt;0,MAX(AB973:AB974)+1,"")</f>
        <v/>
      </c>
      <c r="AC975" s="433" t="str">
        <f>IF(AND(AH975&lt;&gt;"",AG975&lt;&gt;"",AI975&gt;0,AH975&gt;0),MAX(AC$2:AC974)+1,"XX")</f>
        <v>XX</v>
      </c>
      <c r="AD975" s="431" t="str">
        <f>IF('Antal &amp; Längder (vikter)'!$C$128&lt;&gt;"",'Antal &amp; Längder (vikter)'!$C$128,"XX")</f>
        <v>XX</v>
      </c>
      <c r="AE975" s="421" t="str">
        <f>IF(AND('Antal &amp; Längder (vikter)'!B$130&lt;&gt;"",ISNUMBER($AH975)),'Antal &amp; Längder (vikter)'!B$130,"")</f>
        <v/>
      </c>
      <c r="AF975" s="425" t="str">
        <f t="shared" si="32"/>
        <v/>
      </c>
      <c r="AG975" s="426" t="str">
        <f t="shared" si="33"/>
        <v/>
      </c>
      <c r="AH975" s="410" t="str">
        <f>IF('Antal &amp; Längder (vikter)'!C$131="Längd (mm)",IF('Antal &amp; Längder (vikter)'!C134&lt;&gt;"",'Antal &amp; Längder (vikter)'!C134,"XX"),"XX")</f>
        <v>XX</v>
      </c>
      <c r="AI975" s="195">
        <v>-9</v>
      </c>
    </row>
    <row r="976" spans="25:35" ht="15" x14ac:dyDescent="0.25">
      <c r="Y976" s="397"/>
      <c r="Z976" s="397"/>
      <c r="AB976" s="434" t="str">
        <f>IF(COUNT(AB973:AB975)&gt;0,MAX(AB973:AB975)+1,"")</f>
        <v/>
      </c>
      <c r="AC976" s="433" t="str">
        <f>IF(AND(AH976&lt;&gt;"",AG976&lt;&gt;"",AI976&gt;0,AH976&gt;0),MAX(AC$2:AC975)+1,"XX")</f>
        <v>XX</v>
      </c>
      <c r="AD976" s="431" t="str">
        <f>IF('Antal &amp; Längder (vikter)'!$C$128&lt;&gt;"",'Antal &amp; Längder (vikter)'!$C$128,"XX")</f>
        <v>XX</v>
      </c>
      <c r="AE976" s="421" t="str">
        <f>IF(AND('Antal &amp; Längder (vikter)'!B$130&lt;&gt;"",ISNUMBER($AH976)),'Antal &amp; Längder (vikter)'!B$130,"")</f>
        <v/>
      </c>
      <c r="AF976" s="425" t="str">
        <f t="shared" si="32"/>
        <v/>
      </c>
      <c r="AG976" s="426" t="str">
        <f t="shared" si="33"/>
        <v/>
      </c>
      <c r="AH976" s="410" t="str">
        <f>IF('Antal &amp; Längder (vikter)'!C$131="Längd (mm)",IF('Antal &amp; Längder (vikter)'!C135&lt;&gt;"",'Antal &amp; Längder (vikter)'!C135,"XX"),"XX")</f>
        <v>XX</v>
      </c>
      <c r="AI976" s="195">
        <v>-9</v>
      </c>
    </row>
    <row r="977" spans="25:35" ht="15" x14ac:dyDescent="0.25">
      <c r="Y977" s="397"/>
      <c r="Z977" s="397"/>
      <c r="AB977" s="475" t="str">
        <f>IF(COUNT(AB973:AB976)&gt;0,MAX(AB973:AB976)+1,"")</f>
        <v/>
      </c>
      <c r="AC977" s="433" t="str">
        <f>IF(AND(AH977&lt;&gt;"",AG977&lt;&gt;"",AI977&gt;0,AH977&gt;0),MAX(AC$2:AC976)+1,"XX")</f>
        <v>XX</v>
      </c>
      <c r="AD977" s="431" t="str">
        <f>IF('Antal &amp; Längder (vikter)'!$C$128&lt;&gt;"",'Antal &amp; Längder (vikter)'!$C$128,"XX")</f>
        <v>XX</v>
      </c>
      <c r="AE977" s="421" t="str">
        <f>IF(AND('Antal &amp; Längder (vikter)'!B$130&lt;&gt;"",ISNUMBER($AH977)),'Antal &amp; Längder (vikter)'!B$130,"")</f>
        <v/>
      </c>
      <c r="AF977" s="425" t="str">
        <f t="shared" si="32"/>
        <v/>
      </c>
      <c r="AG977" s="426" t="str">
        <f t="shared" si="33"/>
        <v/>
      </c>
      <c r="AH977" s="410" t="str">
        <f>IF('Antal &amp; Längder (vikter)'!C$131="Längd (mm)",IF('Antal &amp; Längder (vikter)'!C136&lt;&gt;"",'Antal &amp; Längder (vikter)'!C136,"XX"),"XX")</f>
        <v>XX</v>
      </c>
      <c r="AI977" s="195">
        <v>-9</v>
      </c>
    </row>
    <row r="978" spans="25:35" ht="15" x14ac:dyDescent="0.25">
      <c r="Y978" s="397"/>
      <c r="Z978" s="397"/>
      <c r="AB978" s="471" t="str">
        <f>IF(COUNT(AB973:AB977)&gt;0,MAX(AB973:AB977)+1,"")</f>
        <v/>
      </c>
      <c r="AC978" s="433" t="str">
        <f>IF(AND(AH978&lt;&gt;"",AG978&lt;&gt;"",AI978&gt;0,AH978&gt;0),MAX(AC$2:AC977)+1,"XX")</f>
        <v>XX</v>
      </c>
      <c r="AD978" s="431" t="str">
        <f>IF('Antal &amp; Längder (vikter)'!$C$128&lt;&gt;"",'Antal &amp; Längder (vikter)'!$C$128,"XX")</f>
        <v>XX</v>
      </c>
      <c r="AE978" s="421" t="str">
        <f>IF(AND('Antal &amp; Längder (vikter)'!B$130&lt;&gt;"",ISNUMBER($AH978)),'Antal &amp; Längder (vikter)'!B$130,"")</f>
        <v/>
      </c>
      <c r="AF978" s="425" t="str">
        <f t="shared" si="32"/>
        <v/>
      </c>
      <c r="AG978" s="426" t="str">
        <f t="shared" si="33"/>
        <v/>
      </c>
      <c r="AH978" s="410" t="str">
        <f>IF('Antal &amp; Längder (vikter)'!C$131="Längd (mm)",IF('Antal &amp; Längder (vikter)'!C137&lt;&gt;"",'Antal &amp; Längder (vikter)'!C137,"XX"),"XX")</f>
        <v>XX</v>
      </c>
      <c r="AI978" s="195">
        <v>-9</v>
      </c>
    </row>
    <row r="979" spans="25:35" ht="15" x14ac:dyDescent="0.25">
      <c r="Y979" s="397"/>
      <c r="Z979" s="397"/>
      <c r="AB979" s="474" t="str">
        <f>IF(COUNT(AB973:AB978)&gt;0,MAX(AB973:AB978)+1,"")</f>
        <v/>
      </c>
      <c r="AC979" s="433" t="str">
        <f>IF(AND(AH979&lt;&gt;"",AG979&lt;&gt;"",AI979&gt;0,AH979&gt;0),MAX(AC$2:AC978)+1,"XX")</f>
        <v>XX</v>
      </c>
      <c r="AD979" s="431" t="str">
        <f>IF('Antal &amp; Längder (vikter)'!$C$128&lt;&gt;"",'Antal &amp; Längder (vikter)'!$C$128,"XX")</f>
        <v>XX</v>
      </c>
      <c r="AE979" s="421" t="str">
        <f>IF(AND('Antal &amp; Längder (vikter)'!B$130&lt;&gt;"",ISNUMBER($AH979)),'Antal &amp; Längder (vikter)'!B$130,"")</f>
        <v/>
      </c>
      <c r="AF979" s="425" t="str">
        <f t="shared" si="32"/>
        <v/>
      </c>
      <c r="AG979" s="426" t="str">
        <f t="shared" si="33"/>
        <v/>
      </c>
      <c r="AH979" s="410" t="str">
        <f>IF('Antal &amp; Längder (vikter)'!C$131="Längd (mm)",IF('Antal &amp; Längder (vikter)'!C138&lt;&gt;"",'Antal &amp; Längder (vikter)'!C138,"XX"),"XX")</f>
        <v>XX</v>
      </c>
      <c r="AI979" s="195">
        <v>-9</v>
      </c>
    </row>
    <row r="980" spans="25:35" ht="15" x14ac:dyDescent="0.25">
      <c r="Y980" s="397"/>
      <c r="Z980" s="397"/>
      <c r="AB980" s="478" t="str">
        <f>IF(COUNT(AB973:AB979)&gt;0,MAX(AB973:AB979)+1,"")</f>
        <v/>
      </c>
      <c r="AC980" s="433" t="str">
        <f>IF(AND(AH980&lt;&gt;"",AG980&lt;&gt;"",AI980&gt;0,AH980&gt;0),MAX(AC$2:AC979)+1,"XX")</f>
        <v>XX</v>
      </c>
      <c r="AD980" s="431" t="str">
        <f>IF('Antal &amp; Längder (vikter)'!$C$128&lt;&gt;"",'Antal &amp; Längder (vikter)'!$C$128,"XX")</f>
        <v>XX</v>
      </c>
      <c r="AE980" s="421" t="str">
        <f>IF(AND('Antal &amp; Längder (vikter)'!B$130&lt;&gt;"",ISNUMBER($AH980)),'Antal &amp; Längder (vikter)'!B$130,"")</f>
        <v/>
      </c>
      <c r="AF980" s="425" t="str">
        <f t="shared" si="32"/>
        <v/>
      </c>
      <c r="AG980" s="426" t="str">
        <f t="shared" si="33"/>
        <v/>
      </c>
      <c r="AH980" s="410" t="str">
        <f>IF('Antal &amp; Längder (vikter)'!C$131="Längd (mm)",IF('Antal &amp; Längder (vikter)'!C139&lt;&gt;"",'Antal &amp; Längder (vikter)'!C139,"XX"),"XX")</f>
        <v>XX</v>
      </c>
      <c r="AI980" s="195">
        <v>-9</v>
      </c>
    </row>
    <row r="981" spans="25:35" ht="15" x14ac:dyDescent="0.25">
      <c r="Y981" s="397"/>
      <c r="Z981" s="397"/>
      <c r="AB981" s="472" t="str">
        <f>IF(COUNT(AB973:AB980)&gt;0,MAX(AB973:AB980)+1,"")</f>
        <v/>
      </c>
      <c r="AC981" s="433" t="str">
        <f>IF(AND(AH981&lt;&gt;"",AG981&lt;&gt;"",AI981&gt;0,AH981&gt;0),MAX(AC$2:AC980)+1,"XX")</f>
        <v>XX</v>
      </c>
      <c r="AD981" s="431" t="str">
        <f>IF('Antal &amp; Längder (vikter)'!$C$128&lt;&gt;"",'Antal &amp; Längder (vikter)'!$C$128,"XX")</f>
        <v>XX</v>
      </c>
      <c r="AE981" s="421" t="str">
        <f>IF(AND('Antal &amp; Längder (vikter)'!B$130&lt;&gt;"",ISNUMBER($AH981)),'Antal &amp; Längder (vikter)'!B$130,"")</f>
        <v/>
      </c>
      <c r="AF981" s="425" t="str">
        <f t="shared" si="32"/>
        <v/>
      </c>
      <c r="AG981" s="426" t="str">
        <f t="shared" si="33"/>
        <v/>
      </c>
      <c r="AH981" s="410" t="str">
        <f>IF('Antal &amp; Längder (vikter)'!C$131="Längd (mm)",IF('Antal &amp; Längder (vikter)'!C140&lt;&gt;"",'Antal &amp; Längder (vikter)'!C140,"XX"),"XX")</f>
        <v>XX</v>
      </c>
      <c r="AI981" s="195">
        <v>-9</v>
      </c>
    </row>
    <row r="982" spans="25:35" ht="15" x14ac:dyDescent="0.25">
      <c r="Y982" s="397"/>
      <c r="Z982" s="397"/>
      <c r="AB982" s="479" t="str">
        <f>IF(COUNT(AB973:AB981)&gt;0,MAX(AB973:AB981)+1,"")</f>
        <v/>
      </c>
      <c r="AC982" s="433" t="str">
        <f>IF(AND(AH982&lt;&gt;"",AG982&lt;&gt;"",AI982&gt;0,AH982&gt;0),MAX(AC$2:AC981)+1,"XX")</f>
        <v>XX</v>
      </c>
      <c r="AD982" s="431" t="str">
        <f>IF('Antal &amp; Längder (vikter)'!$C$128&lt;&gt;"",'Antal &amp; Längder (vikter)'!$C$128,"XX")</f>
        <v>XX</v>
      </c>
      <c r="AE982" s="421" t="str">
        <f>IF(AND('Antal &amp; Längder (vikter)'!B$130&lt;&gt;"",ISNUMBER($AH982)),'Antal &amp; Längder (vikter)'!B$130,"")</f>
        <v/>
      </c>
      <c r="AF982" s="425" t="str">
        <f t="shared" si="32"/>
        <v/>
      </c>
      <c r="AG982" s="426" t="str">
        <f t="shared" si="33"/>
        <v/>
      </c>
      <c r="AH982" s="410" t="str">
        <f>IF('Antal &amp; Längder (vikter)'!C$131="Längd (mm)",IF('Antal &amp; Längder (vikter)'!C141&lt;&gt;"",'Antal &amp; Längder (vikter)'!C141,"XX"),"XX")</f>
        <v>XX</v>
      </c>
      <c r="AI982" s="195">
        <v>-9</v>
      </c>
    </row>
    <row r="983" spans="25:35" x14ac:dyDescent="0.25">
      <c r="Y983" s="397"/>
      <c r="Z983" s="397"/>
      <c r="AB983" s="480" t="str">
        <f>IF(AND(ISNUMBER(AH983),AH983&gt;0),IF(MAX(AB$3:AB982)&gt;0,MAX(AB$3:AB982)+1,10+COUNTIF(F$38:F$49,"&gt;0")*10+1),"")</f>
        <v/>
      </c>
      <c r="AC983" s="433" t="str">
        <f>IF(AND(AH983&lt;&gt;"",AG983&lt;&gt;"",AI983&gt;0,AH983&gt;0),MAX(AC$2:AC982)+1,"XX")</f>
        <v>XX</v>
      </c>
      <c r="AD983" s="431" t="str">
        <f>IF('Antal &amp; Längder (vikter)'!$C$128&lt;&gt;"",'Antal &amp; Längder (vikter)'!$C$128,"XX")</f>
        <v>XX</v>
      </c>
      <c r="AE983" s="424" t="str">
        <f>IF(AND('Antal &amp; Längder (vikter)'!D$130&lt;&gt;"",ISNUMBER($AH983)),'Antal &amp; Längder (vikter)'!D$130,"")</f>
        <v/>
      </c>
      <c r="AF983" s="425" t="str">
        <f t="shared" si="32"/>
        <v/>
      </c>
      <c r="AG983" s="426" t="str">
        <f t="shared" si="33"/>
        <v/>
      </c>
      <c r="AH983" s="404" t="str">
        <f>IF('Antal &amp; Längder (vikter)'!D132&lt;&gt;"",'Antal &amp; Längder (vikter)'!D132,"XX")</f>
        <v>XX</v>
      </c>
      <c r="AI983" s="410">
        <f>IF('Antal &amp; Längder (vikter)'!E$131="Vikt (g)",IF('Antal &amp; Längder (vikter)'!E132&lt;&gt;"",'Antal &amp; Längder (vikter)'!E132,-9),-9)</f>
        <v>-9</v>
      </c>
    </row>
    <row r="984" spans="25:35" x14ac:dyDescent="0.25">
      <c r="Y984" s="397"/>
      <c r="Z984" s="397"/>
      <c r="AB984" s="476" t="str">
        <f>IF(COUNT(AB983:AB983)&gt;0,MAX(AB983:AB983)+1,"")</f>
        <v/>
      </c>
      <c r="AC984" s="433" t="str">
        <f>IF(AND(AH984&lt;&gt;"",AG984&lt;&gt;"",AI984&gt;0,AH984&gt;0),MAX(AC$2:AC983)+1,"XX")</f>
        <v>XX</v>
      </c>
      <c r="AD984" s="431" t="str">
        <f>IF('Antal &amp; Längder (vikter)'!$C$128&lt;&gt;"",'Antal &amp; Längder (vikter)'!$C$128,"XX")</f>
        <v>XX</v>
      </c>
      <c r="AE984" s="424" t="str">
        <f>IF(AND('Antal &amp; Längder (vikter)'!D$130&lt;&gt;"",ISNUMBER($AH984)),'Antal &amp; Längder (vikter)'!D$130,"")</f>
        <v/>
      </c>
      <c r="AF984" s="425" t="str">
        <f t="shared" si="32"/>
        <v/>
      </c>
      <c r="AG984" s="426" t="str">
        <f t="shared" si="33"/>
        <v/>
      </c>
      <c r="AH984" s="404" t="str">
        <f>IF('Antal &amp; Längder (vikter)'!D133&lt;&gt;"",'Antal &amp; Längder (vikter)'!D133,"XX")</f>
        <v>XX</v>
      </c>
      <c r="AI984" s="410">
        <f>IF('Antal &amp; Längder (vikter)'!E$131="Vikt (g)",IF('Antal &amp; Längder (vikter)'!E133&lt;&gt;"",'Antal &amp; Längder (vikter)'!E133,-9),-9)</f>
        <v>-9</v>
      </c>
    </row>
    <row r="985" spans="25:35" x14ac:dyDescent="0.25">
      <c r="Y985" s="397"/>
      <c r="Z985" s="397"/>
      <c r="AB985" s="477" t="str">
        <f>IF(COUNT(AB983:AB984)&gt;0,MAX(AB983:AB984)+1,"")</f>
        <v/>
      </c>
      <c r="AC985" s="433" t="str">
        <f>IF(AND(AH985&lt;&gt;"",AG985&lt;&gt;"",AI985&gt;0,AH985&gt;0),MAX(AC$2:AC984)+1,"XX")</f>
        <v>XX</v>
      </c>
      <c r="AD985" s="431" t="str">
        <f>IF('Antal &amp; Längder (vikter)'!$C$128&lt;&gt;"",'Antal &amp; Längder (vikter)'!$C$128,"XX")</f>
        <v>XX</v>
      </c>
      <c r="AE985" s="424" t="str">
        <f>IF(AND('Antal &amp; Längder (vikter)'!D$130&lt;&gt;"",ISNUMBER($AH985)),'Antal &amp; Längder (vikter)'!D$130,"")</f>
        <v/>
      </c>
      <c r="AF985" s="425" t="str">
        <f t="shared" si="32"/>
        <v/>
      </c>
      <c r="AG985" s="426" t="str">
        <f t="shared" si="33"/>
        <v/>
      </c>
      <c r="AH985" s="404" t="str">
        <f>IF('Antal &amp; Längder (vikter)'!D134&lt;&gt;"",'Antal &amp; Längder (vikter)'!D134,"XX")</f>
        <v>XX</v>
      </c>
      <c r="AI985" s="410">
        <f>IF('Antal &amp; Längder (vikter)'!E$131="Vikt (g)",IF('Antal &amp; Längder (vikter)'!E134&lt;&gt;"",'Antal &amp; Längder (vikter)'!E134,-9),-9)</f>
        <v>-9</v>
      </c>
    </row>
    <row r="986" spans="25:35" x14ac:dyDescent="0.25">
      <c r="Y986" s="397"/>
      <c r="Z986" s="397"/>
      <c r="AB986" s="434" t="str">
        <f>IF(COUNT(AB983:AB985)&gt;0,MAX(AB983:AB985)+1,"")</f>
        <v/>
      </c>
      <c r="AC986" s="433" t="str">
        <f>IF(AND(AH986&lt;&gt;"",AG986&lt;&gt;"",AI986&gt;0,AH986&gt;0),MAX(AC$2:AC985)+1,"XX")</f>
        <v>XX</v>
      </c>
      <c r="AD986" s="431" t="str">
        <f>IF('Antal &amp; Längder (vikter)'!$C$128&lt;&gt;"",'Antal &amp; Längder (vikter)'!$C$128,"XX")</f>
        <v>XX</v>
      </c>
      <c r="AE986" s="424" t="str">
        <f>IF(AND('Antal &amp; Längder (vikter)'!D$130&lt;&gt;"",ISNUMBER($AH986)),'Antal &amp; Längder (vikter)'!D$130,"")</f>
        <v/>
      </c>
      <c r="AF986" s="425" t="str">
        <f t="shared" si="32"/>
        <v/>
      </c>
      <c r="AG986" s="426" t="str">
        <f t="shared" si="33"/>
        <v/>
      </c>
      <c r="AH986" s="404" t="str">
        <f>IF('Antal &amp; Längder (vikter)'!D135&lt;&gt;"",'Antal &amp; Längder (vikter)'!D135,"XX")</f>
        <v>XX</v>
      </c>
      <c r="AI986" s="410">
        <f>IF('Antal &amp; Längder (vikter)'!E$131="Vikt (g)",IF('Antal &amp; Längder (vikter)'!E135&lt;&gt;"",'Antal &amp; Längder (vikter)'!E135,-9),-9)</f>
        <v>-9</v>
      </c>
    </row>
    <row r="987" spans="25:35" x14ac:dyDescent="0.25">
      <c r="Y987" s="397"/>
      <c r="Z987" s="397"/>
      <c r="AB987" s="475" t="str">
        <f>IF(COUNT(AB983:AB986)&gt;0,MAX(AB983:AB986)+1,"")</f>
        <v/>
      </c>
      <c r="AC987" s="433" t="str">
        <f>IF(AND(AH987&lt;&gt;"",AG987&lt;&gt;"",AI987&gt;0,AH987&gt;0),MAX(AC$2:AC986)+1,"XX")</f>
        <v>XX</v>
      </c>
      <c r="AD987" s="431" t="str">
        <f>IF('Antal &amp; Längder (vikter)'!$C$128&lt;&gt;"",'Antal &amp; Längder (vikter)'!$C$128,"XX")</f>
        <v>XX</v>
      </c>
      <c r="AE987" s="424" t="str">
        <f>IF(AND('Antal &amp; Längder (vikter)'!D$130&lt;&gt;"",ISNUMBER($AH987)),'Antal &amp; Längder (vikter)'!D$130,"")</f>
        <v/>
      </c>
      <c r="AF987" s="425" t="str">
        <f t="shared" si="32"/>
        <v/>
      </c>
      <c r="AG987" s="426" t="str">
        <f t="shared" si="33"/>
        <v/>
      </c>
      <c r="AH987" s="404" t="str">
        <f>IF('Antal &amp; Längder (vikter)'!D136&lt;&gt;"",'Antal &amp; Längder (vikter)'!D136,"XX")</f>
        <v>XX</v>
      </c>
      <c r="AI987" s="410">
        <f>IF('Antal &amp; Längder (vikter)'!E$131="Vikt (g)",IF('Antal &amp; Längder (vikter)'!E136&lt;&gt;"",'Antal &amp; Längder (vikter)'!E136,-9),-9)</f>
        <v>-9</v>
      </c>
    </row>
    <row r="988" spans="25:35" x14ac:dyDescent="0.25">
      <c r="Y988" s="397"/>
      <c r="Z988" s="397"/>
      <c r="AB988" s="471" t="str">
        <f>IF(COUNT(AB983:AB987)&gt;0,MAX(AB983:AB987)+1,"")</f>
        <v/>
      </c>
      <c r="AC988" s="433" t="str">
        <f>IF(AND(AH988&lt;&gt;"",AG988&lt;&gt;"",AI988&gt;0,AH988&gt;0),MAX(AC$2:AC987)+1,"XX")</f>
        <v>XX</v>
      </c>
      <c r="AD988" s="431" t="str">
        <f>IF('Antal &amp; Längder (vikter)'!$C$128&lt;&gt;"",'Antal &amp; Längder (vikter)'!$C$128,"XX")</f>
        <v>XX</v>
      </c>
      <c r="AE988" s="424" t="str">
        <f>IF(AND('Antal &amp; Längder (vikter)'!D$130&lt;&gt;"",ISNUMBER($AH988)),'Antal &amp; Längder (vikter)'!D$130,"")</f>
        <v/>
      </c>
      <c r="AF988" s="425" t="str">
        <f t="shared" si="32"/>
        <v/>
      </c>
      <c r="AG988" s="426" t="str">
        <f t="shared" si="33"/>
        <v/>
      </c>
      <c r="AH988" s="404" t="str">
        <f>IF('Antal &amp; Längder (vikter)'!D137&lt;&gt;"",'Antal &amp; Längder (vikter)'!D137,"XX")</f>
        <v>XX</v>
      </c>
      <c r="AI988" s="410">
        <f>IF('Antal &amp; Längder (vikter)'!E$131="Vikt (g)",IF('Antal &amp; Längder (vikter)'!E137&lt;&gt;"",'Antal &amp; Längder (vikter)'!E137,-9),-9)</f>
        <v>-9</v>
      </c>
    </row>
    <row r="989" spans="25:35" x14ac:dyDescent="0.25">
      <c r="Y989" s="397"/>
      <c r="Z989" s="397"/>
      <c r="AB989" s="474" t="str">
        <f>IF(COUNT(AB983:AB988)&gt;0,MAX(AB983:AB988)+1,"")</f>
        <v/>
      </c>
      <c r="AC989" s="433" t="str">
        <f>IF(AND(AH989&lt;&gt;"",AG989&lt;&gt;"",AI989&gt;0,AH989&gt;0),MAX(AC$2:AC988)+1,"XX")</f>
        <v>XX</v>
      </c>
      <c r="AD989" s="431" t="str">
        <f>IF('Antal &amp; Längder (vikter)'!$C$128&lt;&gt;"",'Antal &amp; Längder (vikter)'!$C$128,"XX")</f>
        <v>XX</v>
      </c>
      <c r="AE989" s="424" t="str">
        <f>IF(AND('Antal &amp; Längder (vikter)'!D$130&lt;&gt;"",ISNUMBER($AH989)),'Antal &amp; Längder (vikter)'!D$130,"")</f>
        <v/>
      </c>
      <c r="AF989" s="425" t="str">
        <f t="shared" si="32"/>
        <v/>
      </c>
      <c r="AG989" s="426" t="str">
        <f t="shared" si="33"/>
        <v/>
      </c>
      <c r="AH989" s="404" t="str">
        <f>IF('Antal &amp; Längder (vikter)'!D138&lt;&gt;"",'Antal &amp; Längder (vikter)'!D138,"XX")</f>
        <v>XX</v>
      </c>
      <c r="AI989" s="410">
        <f>IF('Antal &amp; Längder (vikter)'!E$131="Vikt (g)",IF('Antal &amp; Längder (vikter)'!E138&lt;&gt;"",'Antal &amp; Längder (vikter)'!E138,-9),-9)</f>
        <v>-9</v>
      </c>
    </row>
    <row r="990" spans="25:35" x14ac:dyDescent="0.25">
      <c r="Y990" s="397"/>
      <c r="Z990" s="397"/>
      <c r="AB990" s="478" t="str">
        <f>IF(COUNT(AB983:AB989)&gt;0,MAX(AB983:AB989)+1,"")</f>
        <v/>
      </c>
      <c r="AC990" s="433" t="str">
        <f>IF(AND(AH990&lt;&gt;"",AG990&lt;&gt;"",AI990&gt;0,AH990&gt;0),MAX(AC$2:AC989)+1,"XX")</f>
        <v>XX</v>
      </c>
      <c r="AD990" s="431" t="str">
        <f>IF('Antal &amp; Längder (vikter)'!$C$128&lt;&gt;"",'Antal &amp; Längder (vikter)'!$C$128,"XX")</f>
        <v>XX</v>
      </c>
      <c r="AE990" s="424" t="str">
        <f>IF(AND('Antal &amp; Längder (vikter)'!D$130&lt;&gt;"",ISNUMBER($AH990)),'Antal &amp; Längder (vikter)'!D$130,"")</f>
        <v/>
      </c>
      <c r="AF990" s="425" t="str">
        <f t="shared" si="32"/>
        <v/>
      </c>
      <c r="AG990" s="426" t="str">
        <f t="shared" si="33"/>
        <v/>
      </c>
      <c r="AH990" s="404" t="str">
        <f>IF('Antal &amp; Längder (vikter)'!D139&lt;&gt;"",'Antal &amp; Längder (vikter)'!D139,"XX")</f>
        <v>XX</v>
      </c>
      <c r="AI990" s="410">
        <f>IF('Antal &amp; Längder (vikter)'!E$131="Vikt (g)",IF('Antal &amp; Längder (vikter)'!E139&lt;&gt;"",'Antal &amp; Längder (vikter)'!E139,-9),-9)</f>
        <v>-9</v>
      </c>
    </row>
    <row r="991" spans="25:35" x14ac:dyDescent="0.25">
      <c r="Y991" s="397"/>
      <c r="Z991" s="397"/>
      <c r="AB991" s="472" t="str">
        <f>IF(COUNT(AB983:AB990)&gt;0,MAX(AB983:AB990)+1,"")</f>
        <v/>
      </c>
      <c r="AC991" s="433" t="str">
        <f>IF(AND(AH991&lt;&gt;"",AG991&lt;&gt;"",AI991&gt;0,AH991&gt;0),MAX(AC$2:AC990)+1,"XX")</f>
        <v>XX</v>
      </c>
      <c r="AD991" s="431" t="str">
        <f>IF('Antal &amp; Längder (vikter)'!$C$128&lt;&gt;"",'Antal &amp; Längder (vikter)'!$C$128,"XX")</f>
        <v>XX</v>
      </c>
      <c r="AE991" s="424" t="str">
        <f>IF(AND('Antal &amp; Längder (vikter)'!D$130&lt;&gt;"",ISNUMBER($AH991)),'Antal &amp; Längder (vikter)'!D$130,"")</f>
        <v/>
      </c>
      <c r="AF991" s="425" t="str">
        <f t="shared" si="32"/>
        <v/>
      </c>
      <c r="AG991" s="426" t="str">
        <f t="shared" si="33"/>
        <v/>
      </c>
      <c r="AH991" s="404" t="str">
        <f>IF('Antal &amp; Längder (vikter)'!D140&lt;&gt;"",'Antal &amp; Längder (vikter)'!D140,"XX")</f>
        <v>XX</v>
      </c>
      <c r="AI991" s="410">
        <f>IF('Antal &amp; Längder (vikter)'!E$131="Vikt (g)",IF('Antal &amp; Längder (vikter)'!E140&lt;&gt;"",'Antal &amp; Längder (vikter)'!E140,-9),-9)</f>
        <v>-9</v>
      </c>
    </row>
    <row r="992" spans="25:35" x14ac:dyDescent="0.25">
      <c r="Y992" s="397"/>
      <c r="Z992" s="397"/>
      <c r="AB992" s="479" t="str">
        <f>IF(COUNT(AB983:AB991)&gt;0,MAX(AB983:AB991)+1,"")</f>
        <v/>
      </c>
      <c r="AC992" s="433" t="str">
        <f>IF(AND(AH992&lt;&gt;"",AG992&lt;&gt;"",AI992&gt;0,AH992&gt;0),MAX(AC$2:AC991)+1,"XX")</f>
        <v>XX</v>
      </c>
      <c r="AD992" s="431" t="str">
        <f>IF('Antal &amp; Längder (vikter)'!$C$128&lt;&gt;"",'Antal &amp; Längder (vikter)'!$C$128,"XX")</f>
        <v>XX</v>
      </c>
      <c r="AE992" s="424" t="str">
        <f>IF(AND('Antal &amp; Längder (vikter)'!D$130&lt;&gt;"",ISNUMBER($AH992)),'Antal &amp; Längder (vikter)'!D$130,"")</f>
        <v/>
      </c>
      <c r="AF992" s="425" t="str">
        <f t="shared" si="32"/>
        <v/>
      </c>
      <c r="AG992" s="426" t="str">
        <f t="shared" si="33"/>
        <v/>
      </c>
      <c r="AH992" s="404" t="str">
        <f>IF('Antal &amp; Längder (vikter)'!D141&lt;&gt;"",'Antal &amp; Längder (vikter)'!D141,"XX")</f>
        <v>XX</v>
      </c>
      <c r="AI992" s="410">
        <f>IF('Antal &amp; Längder (vikter)'!E$131="Vikt (g)",IF('Antal &amp; Längder (vikter)'!E141&lt;&gt;"",'Antal &amp; Längder (vikter)'!E141,-9),-9)</f>
        <v>-9</v>
      </c>
    </row>
    <row r="993" spans="25:35" ht="15" x14ac:dyDescent="0.25">
      <c r="Y993" s="397"/>
      <c r="Z993" s="397"/>
      <c r="AB993" s="480" t="str">
        <f>IF(AND(ISNUMBER(AH993),AH993&gt;0),IF(MAX(AB$3:AB992)&gt;0,MAX(AB$3:AB992)+1,10+COUNTIF(F$38:F$49,"&gt;0")*10+1),"")</f>
        <v/>
      </c>
      <c r="AC993" s="433" t="str">
        <f>IF(AND(AH993&lt;&gt;"",AG993&lt;&gt;"",AI993&gt;0,AH993&gt;0),MAX(AC$2:AC992)+1,"XX")</f>
        <v>XX</v>
      </c>
      <c r="AD993" s="431" t="str">
        <f>IF('Antal &amp; Längder (vikter)'!$C$128&lt;&gt;"",'Antal &amp; Längder (vikter)'!$C$128,"XX")</f>
        <v>XX</v>
      </c>
      <c r="AE993" s="424" t="str">
        <f>IF(AND('Antal &amp; Längder (vikter)'!D$130&lt;&gt;"",ISNUMBER($AH993)),'Antal &amp; Längder (vikter)'!D$130,"")</f>
        <v/>
      </c>
      <c r="AF993" s="425" t="str">
        <f t="shared" si="32"/>
        <v/>
      </c>
      <c r="AG993" s="426" t="str">
        <f t="shared" si="33"/>
        <v/>
      </c>
      <c r="AH993" s="410" t="str">
        <f>IF('Antal &amp; Längder (vikter)'!E$131="Längd (mm)",IF('Antal &amp; Längder (vikter)'!E132&lt;&gt;"",'Antal &amp; Längder (vikter)'!E132,"XX"),"XX")</f>
        <v>XX</v>
      </c>
      <c r="AI993" s="195">
        <v>-9</v>
      </c>
    </row>
    <row r="994" spans="25:35" ht="15" x14ac:dyDescent="0.25">
      <c r="Y994" s="397"/>
      <c r="Z994" s="397"/>
      <c r="AB994" s="476" t="str">
        <f>IF(COUNT(AB993:AB993)&gt;0,MAX(AB993:AB993)+1,"")</f>
        <v/>
      </c>
      <c r="AC994" s="433" t="str">
        <f>IF(AND(AH994&lt;&gt;"",AG994&lt;&gt;"",AI994&gt;0,AH994&gt;0),MAX(AC$2:AC993)+1,"XX")</f>
        <v>XX</v>
      </c>
      <c r="AD994" s="431" t="str">
        <f>IF('Antal &amp; Längder (vikter)'!$C$128&lt;&gt;"",'Antal &amp; Längder (vikter)'!$C$128,"XX")</f>
        <v>XX</v>
      </c>
      <c r="AE994" s="424" t="str">
        <f>IF(AND('Antal &amp; Längder (vikter)'!D$130&lt;&gt;"",ISNUMBER($AH994)),'Antal &amp; Längder (vikter)'!D$130,"")</f>
        <v/>
      </c>
      <c r="AF994" s="425" t="str">
        <f t="shared" si="32"/>
        <v/>
      </c>
      <c r="AG994" s="426" t="str">
        <f t="shared" si="33"/>
        <v/>
      </c>
      <c r="AH994" s="410" t="str">
        <f>IF('Antal &amp; Längder (vikter)'!E$131="Längd (mm)",IF('Antal &amp; Längder (vikter)'!E133&lt;&gt;"",'Antal &amp; Längder (vikter)'!E133,"XX"),"XX")</f>
        <v>XX</v>
      </c>
      <c r="AI994" s="195">
        <v>-9</v>
      </c>
    </row>
    <row r="995" spans="25:35" ht="15" x14ac:dyDescent="0.25">
      <c r="Y995" s="397"/>
      <c r="Z995" s="397"/>
      <c r="AB995" s="477" t="str">
        <f>IF(COUNT(AB993:AB994)&gt;0,MAX(AB993:AB994)+1,"")</f>
        <v/>
      </c>
      <c r="AC995" s="433" t="str">
        <f>IF(AND(AH995&lt;&gt;"",AG995&lt;&gt;"",AI995&gt;0,AH995&gt;0),MAX(AC$2:AC994)+1,"XX")</f>
        <v>XX</v>
      </c>
      <c r="AD995" s="431" t="str">
        <f>IF('Antal &amp; Längder (vikter)'!$C$128&lt;&gt;"",'Antal &amp; Längder (vikter)'!$C$128,"XX")</f>
        <v>XX</v>
      </c>
      <c r="AE995" s="424" t="str">
        <f>IF(AND('Antal &amp; Längder (vikter)'!D$130&lt;&gt;"",ISNUMBER($AH995)),'Antal &amp; Längder (vikter)'!D$130,"")</f>
        <v/>
      </c>
      <c r="AF995" s="425" t="str">
        <f t="shared" si="32"/>
        <v/>
      </c>
      <c r="AG995" s="426" t="str">
        <f t="shared" si="33"/>
        <v/>
      </c>
      <c r="AH995" s="410" t="str">
        <f>IF('Antal &amp; Längder (vikter)'!E$131="Längd (mm)",IF('Antal &amp; Längder (vikter)'!E134&lt;&gt;"",'Antal &amp; Längder (vikter)'!E134,"XX"),"XX")</f>
        <v>XX</v>
      </c>
      <c r="AI995" s="195">
        <v>-9</v>
      </c>
    </row>
    <row r="996" spans="25:35" ht="15" x14ac:dyDescent="0.25">
      <c r="Y996" s="397"/>
      <c r="Z996" s="397"/>
      <c r="AB996" s="434" t="str">
        <f>IF(COUNT(AB993:AB995)&gt;0,MAX(AB993:AB995)+1,"")</f>
        <v/>
      </c>
      <c r="AC996" s="433" t="str">
        <f>IF(AND(AH996&lt;&gt;"",AG996&lt;&gt;"",AI996&gt;0,AH996&gt;0),MAX(AC$2:AC995)+1,"XX")</f>
        <v>XX</v>
      </c>
      <c r="AD996" s="431" t="str">
        <f>IF('Antal &amp; Längder (vikter)'!$C$128&lt;&gt;"",'Antal &amp; Längder (vikter)'!$C$128,"XX")</f>
        <v>XX</v>
      </c>
      <c r="AE996" s="424" t="str">
        <f>IF(AND('Antal &amp; Längder (vikter)'!D$130&lt;&gt;"",ISNUMBER($AH996)),'Antal &amp; Längder (vikter)'!D$130,"")</f>
        <v/>
      </c>
      <c r="AF996" s="425" t="str">
        <f t="shared" si="32"/>
        <v/>
      </c>
      <c r="AG996" s="426" t="str">
        <f t="shared" si="33"/>
        <v/>
      </c>
      <c r="AH996" s="410" t="str">
        <f>IF('Antal &amp; Längder (vikter)'!E$131="Längd (mm)",IF('Antal &amp; Längder (vikter)'!E135&lt;&gt;"",'Antal &amp; Längder (vikter)'!E135,"XX"),"XX")</f>
        <v>XX</v>
      </c>
      <c r="AI996" s="195">
        <v>-9</v>
      </c>
    </row>
    <row r="997" spans="25:35" ht="15" x14ac:dyDescent="0.25">
      <c r="Y997" s="397"/>
      <c r="Z997" s="397"/>
      <c r="AB997" s="475" t="str">
        <f>IF(COUNT(AB993:AB996)&gt;0,MAX(AB993:AB996)+1,"")</f>
        <v/>
      </c>
      <c r="AC997" s="433" t="str">
        <f>IF(AND(AH997&lt;&gt;"",AG997&lt;&gt;"",AI997&gt;0,AH997&gt;0),MAX(AC$2:AC996)+1,"XX")</f>
        <v>XX</v>
      </c>
      <c r="AD997" s="431" t="str">
        <f>IF('Antal &amp; Längder (vikter)'!$C$128&lt;&gt;"",'Antal &amp; Längder (vikter)'!$C$128,"XX")</f>
        <v>XX</v>
      </c>
      <c r="AE997" s="424" t="str">
        <f>IF(AND('Antal &amp; Längder (vikter)'!D$130&lt;&gt;"",ISNUMBER($AH997)),'Antal &amp; Längder (vikter)'!D$130,"")</f>
        <v/>
      </c>
      <c r="AF997" s="425" t="str">
        <f t="shared" si="32"/>
        <v/>
      </c>
      <c r="AG997" s="426" t="str">
        <f t="shared" si="33"/>
        <v/>
      </c>
      <c r="AH997" s="410" t="str">
        <f>IF('Antal &amp; Längder (vikter)'!E$131="Längd (mm)",IF('Antal &amp; Längder (vikter)'!E136&lt;&gt;"",'Antal &amp; Längder (vikter)'!E136,"XX"),"XX")</f>
        <v>XX</v>
      </c>
      <c r="AI997" s="195">
        <v>-9</v>
      </c>
    </row>
    <row r="998" spans="25:35" ht="15" x14ac:dyDescent="0.25">
      <c r="Y998" s="397"/>
      <c r="Z998" s="397"/>
      <c r="AB998" s="471" t="str">
        <f>IF(COUNT(AB993:AB997)&gt;0,MAX(AB993:AB997)+1,"")</f>
        <v/>
      </c>
      <c r="AC998" s="433" t="str">
        <f>IF(AND(AH998&lt;&gt;"",AG998&lt;&gt;"",AI998&gt;0,AH998&gt;0),MAX(AC$2:AC997)+1,"XX")</f>
        <v>XX</v>
      </c>
      <c r="AD998" s="431" t="str">
        <f>IF('Antal &amp; Längder (vikter)'!$C$128&lt;&gt;"",'Antal &amp; Längder (vikter)'!$C$128,"XX")</f>
        <v>XX</v>
      </c>
      <c r="AE998" s="424" t="str">
        <f>IF(AND('Antal &amp; Längder (vikter)'!D$130&lt;&gt;"",ISNUMBER($AH998)),'Antal &amp; Längder (vikter)'!D$130,"")</f>
        <v/>
      </c>
      <c r="AF998" s="425" t="str">
        <f t="shared" si="32"/>
        <v/>
      </c>
      <c r="AG998" s="426" t="str">
        <f t="shared" si="33"/>
        <v/>
      </c>
      <c r="AH998" s="410" t="str">
        <f>IF('Antal &amp; Längder (vikter)'!E$131="Längd (mm)",IF('Antal &amp; Längder (vikter)'!E137&lt;&gt;"",'Antal &amp; Längder (vikter)'!E137,"XX"),"XX")</f>
        <v>XX</v>
      </c>
      <c r="AI998" s="195">
        <v>-9</v>
      </c>
    </row>
    <row r="999" spans="25:35" ht="15" x14ac:dyDescent="0.25">
      <c r="Y999" s="397"/>
      <c r="Z999" s="397"/>
      <c r="AB999" s="474" t="str">
        <f>IF(COUNT(AB993:AB998)&gt;0,MAX(AB993:AB998)+1,"")</f>
        <v/>
      </c>
      <c r="AC999" s="433" t="str">
        <f>IF(AND(AH999&lt;&gt;"",AG999&lt;&gt;"",AI999&gt;0,AH999&gt;0),MAX(AC$2:AC998)+1,"XX")</f>
        <v>XX</v>
      </c>
      <c r="AD999" s="431" t="str">
        <f>IF('Antal &amp; Längder (vikter)'!$C$128&lt;&gt;"",'Antal &amp; Längder (vikter)'!$C$128,"XX")</f>
        <v>XX</v>
      </c>
      <c r="AE999" s="424" t="str">
        <f>IF(AND('Antal &amp; Längder (vikter)'!D$130&lt;&gt;"",ISNUMBER($AH999)),'Antal &amp; Längder (vikter)'!D$130,"")</f>
        <v/>
      </c>
      <c r="AF999" s="425" t="str">
        <f t="shared" si="32"/>
        <v/>
      </c>
      <c r="AG999" s="426" t="str">
        <f t="shared" si="33"/>
        <v/>
      </c>
      <c r="AH999" s="410" t="str">
        <f>IF('Antal &amp; Längder (vikter)'!E$131="Längd (mm)",IF('Antal &amp; Längder (vikter)'!E138&lt;&gt;"",'Antal &amp; Längder (vikter)'!E138,"XX"),"XX")</f>
        <v>XX</v>
      </c>
      <c r="AI999" s="195">
        <v>-9</v>
      </c>
    </row>
    <row r="1000" spans="25:35" ht="15" x14ac:dyDescent="0.25">
      <c r="Y1000" s="397"/>
      <c r="Z1000" s="397"/>
      <c r="AB1000" s="478" t="str">
        <f>IF(COUNT(AB993:AB999)&gt;0,MAX(AB993:AB999)+1,"")</f>
        <v/>
      </c>
      <c r="AC1000" s="433" t="str">
        <f>IF(AND(AH1000&lt;&gt;"",AG1000&lt;&gt;"",AI1000&gt;0,AH1000&gt;0),MAX(AC$2:AC999)+1,"XX")</f>
        <v>XX</v>
      </c>
      <c r="AD1000" s="431" t="str">
        <f>IF('Antal &amp; Längder (vikter)'!$C$128&lt;&gt;"",'Antal &amp; Längder (vikter)'!$C$128,"XX")</f>
        <v>XX</v>
      </c>
      <c r="AE1000" s="424" t="str">
        <f>IF(AND('Antal &amp; Längder (vikter)'!D$130&lt;&gt;"",ISNUMBER($AH1000)),'Antal &amp; Längder (vikter)'!D$130,"")</f>
        <v/>
      </c>
      <c r="AF1000" s="425" t="str">
        <f t="shared" si="32"/>
        <v/>
      </c>
      <c r="AG1000" s="426" t="str">
        <f t="shared" si="33"/>
        <v/>
      </c>
      <c r="AH1000" s="410" t="str">
        <f>IF('Antal &amp; Längder (vikter)'!E$131="Längd (mm)",IF('Antal &amp; Längder (vikter)'!E139&lt;&gt;"",'Antal &amp; Längder (vikter)'!E139,"XX"),"XX")</f>
        <v>XX</v>
      </c>
      <c r="AI1000" s="195">
        <v>-9</v>
      </c>
    </row>
    <row r="1001" spans="25:35" ht="15" x14ac:dyDescent="0.25">
      <c r="AB1001" s="472" t="str">
        <f>IF(COUNT(AB993:AB1000)&gt;0,MAX(AB993:AB1000)+1,"")</f>
        <v/>
      </c>
      <c r="AC1001" s="433" t="str">
        <f>IF(AND(AH1001&lt;&gt;"",AG1001&lt;&gt;"",AI1001&gt;0,AH1001&gt;0),MAX(AC$2:AC1000)+1,"XX")</f>
        <v>XX</v>
      </c>
      <c r="AD1001" s="431" t="str">
        <f>IF('Antal &amp; Längder (vikter)'!$C$128&lt;&gt;"",'Antal &amp; Längder (vikter)'!$C$128,"XX")</f>
        <v>XX</v>
      </c>
      <c r="AE1001" s="424" t="str">
        <f>IF(AND('Antal &amp; Längder (vikter)'!D$130&lt;&gt;"",ISNUMBER($AH1001)),'Antal &amp; Längder (vikter)'!D$130,"")</f>
        <v/>
      </c>
      <c r="AF1001" s="425" t="str">
        <f t="shared" si="32"/>
        <v/>
      </c>
      <c r="AG1001" s="426" t="str">
        <f t="shared" si="33"/>
        <v/>
      </c>
      <c r="AH1001" s="410" t="str">
        <f>IF('Antal &amp; Längder (vikter)'!E$131="Längd (mm)",IF('Antal &amp; Längder (vikter)'!E140&lt;&gt;"",'Antal &amp; Längder (vikter)'!E140,"XX"),"XX")</f>
        <v>XX</v>
      </c>
      <c r="AI1001" s="195">
        <v>-9</v>
      </c>
    </row>
    <row r="1002" spans="25:35" ht="15" x14ac:dyDescent="0.25">
      <c r="AB1002" s="479" t="str">
        <f>IF(COUNT(AB993:AB1001)&gt;0,MAX(AB993:AB1001)+1,"")</f>
        <v/>
      </c>
      <c r="AC1002" s="433" t="str">
        <f>IF(AND(AH1002&lt;&gt;"",AG1002&lt;&gt;"",AI1002&gt;0,AH1002&gt;0),MAX(AC$2:AC1001)+1,"XX")</f>
        <v>XX</v>
      </c>
      <c r="AD1002" s="431" t="str">
        <f>IF('Antal &amp; Längder (vikter)'!$C$128&lt;&gt;"",'Antal &amp; Längder (vikter)'!$C$128,"XX")</f>
        <v>XX</v>
      </c>
      <c r="AE1002" s="424" t="str">
        <f>IF(AND('Antal &amp; Längder (vikter)'!D$130&lt;&gt;"",ISNUMBER($AH1002)),'Antal &amp; Längder (vikter)'!D$130,"")</f>
        <v/>
      </c>
      <c r="AF1002" s="425" t="str">
        <f t="shared" si="32"/>
        <v/>
      </c>
      <c r="AG1002" s="426" t="str">
        <f t="shared" si="33"/>
        <v/>
      </c>
      <c r="AH1002" s="410" t="str">
        <f>IF('Antal &amp; Längder (vikter)'!E$131="Längd (mm)",IF('Antal &amp; Längder (vikter)'!E141&lt;&gt;"",'Antal &amp; Längder (vikter)'!E141,"XX"),"XX")</f>
        <v>XX</v>
      </c>
      <c r="AI1002" s="195">
        <v>-9</v>
      </c>
    </row>
    <row r="1003" spans="25:35" x14ac:dyDescent="0.25">
      <c r="AB1003" s="480" t="str">
        <f>IF(AND(ISNUMBER(AH1003),AH1003&gt;0),IF(MAX(AB$3:AB1002)&gt;0,MAX(AB$3:AB1002)+1,10+COUNTIF(F$38:F$49,"&gt;0")*10+1),"")</f>
        <v/>
      </c>
      <c r="AC1003" s="433" t="str">
        <f>IF(AND(AH1003&lt;&gt;"",AG1003&lt;&gt;"",AI1003&gt;0,AH1003&gt;0),MAX(AC$2:AC1002)+1,"XX")</f>
        <v>XX</v>
      </c>
      <c r="AD1003" s="431" t="str">
        <f>IF('Antal &amp; Längder (vikter)'!$C$128&lt;&gt;"",'Antal &amp; Längder (vikter)'!$C$128,"XX")</f>
        <v>XX</v>
      </c>
      <c r="AE1003" s="421" t="str">
        <f>IF(AND('Antal &amp; Längder (vikter)'!F$130&lt;&gt;"",ISNUMBER($AH1003)),'Antal &amp; Längder (vikter)'!F$130,"")</f>
        <v/>
      </c>
      <c r="AF1003" s="425" t="str">
        <f t="shared" si="32"/>
        <v/>
      </c>
      <c r="AG1003" s="426" t="str">
        <f t="shared" si="33"/>
        <v/>
      </c>
      <c r="AH1003" s="404" t="str">
        <f>IF('Antal &amp; Längder (vikter)'!F132&lt;&gt;"",'Antal &amp; Längder (vikter)'!F132,"XX")</f>
        <v>XX</v>
      </c>
      <c r="AI1003" s="410">
        <f>IF('Antal &amp; Längder (vikter)'!G$131="Vikt (g)",IF('Antal &amp; Längder (vikter)'!G132&lt;&gt;"",'Antal &amp; Längder (vikter)'!G132,-9),-9)</f>
        <v>-9</v>
      </c>
    </row>
    <row r="1004" spans="25:35" x14ac:dyDescent="0.25">
      <c r="AB1004" s="476" t="str">
        <f>IF(COUNT(AB1003:AB1003)&gt;0,MAX(AB1003:AB1003)+1,"")</f>
        <v/>
      </c>
      <c r="AC1004" s="433" t="str">
        <f>IF(AND(AH1004&lt;&gt;"",AG1004&lt;&gt;"",AI1004&gt;0,AH1004&gt;0),MAX(AC$2:AC1003)+1,"XX")</f>
        <v>XX</v>
      </c>
      <c r="AD1004" s="431" t="str">
        <f>IF('Antal &amp; Längder (vikter)'!$C$128&lt;&gt;"",'Antal &amp; Längder (vikter)'!$C$128,"XX")</f>
        <v>XX</v>
      </c>
      <c r="AE1004" s="421" t="str">
        <f>IF(AND('Antal &amp; Längder (vikter)'!F$130&lt;&gt;"",ISNUMBER($AH1004)),'Antal &amp; Längder (vikter)'!F$130,"")</f>
        <v/>
      </c>
      <c r="AF1004" s="425" t="str">
        <f t="shared" si="32"/>
        <v/>
      </c>
      <c r="AG1004" s="426" t="str">
        <f t="shared" si="33"/>
        <v/>
      </c>
      <c r="AH1004" s="404" t="str">
        <f>IF('Antal &amp; Längder (vikter)'!F133&lt;&gt;"",'Antal &amp; Längder (vikter)'!F133,"XX")</f>
        <v>XX</v>
      </c>
      <c r="AI1004" s="410">
        <f>IF('Antal &amp; Längder (vikter)'!G$131="Vikt (g)",IF('Antal &amp; Längder (vikter)'!G133&lt;&gt;"",'Antal &amp; Längder (vikter)'!G133,-9),-9)</f>
        <v>-9</v>
      </c>
    </row>
    <row r="1005" spans="25:35" x14ac:dyDescent="0.25">
      <c r="AB1005" s="477" t="str">
        <f>IF(COUNT(AB1003:AB1004)&gt;0,MAX(AB1003:AB1004)+1,"")</f>
        <v/>
      </c>
      <c r="AC1005" s="433" t="str">
        <f>IF(AND(AH1005&lt;&gt;"",AG1005&lt;&gt;"",AI1005&gt;0,AH1005&gt;0),MAX(AC$2:AC1004)+1,"XX")</f>
        <v>XX</v>
      </c>
      <c r="AD1005" s="431" t="str">
        <f>IF('Antal &amp; Längder (vikter)'!$C$128&lt;&gt;"",'Antal &amp; Längder (vikter)'!$C$128,"XX")</f>
        <v>XX</v>
      </c>
      <c r="AE1005" s="421" t="str">
        <f>IF(AND('Antal &amp; Längder (vikter)'!F$130&lt;&gt;"",ISNUMBER($AH1005)),'Antal &amp; Längder (vikter)'!F$130,"")</f>
        <v/>
      </c>
      <c r="AF1005" s="425" t="str">
        <f t="shared" si="32"/>
        <v/>
      </c>
      <c r="AG1005" s="426" t="str">
        <f t="shared" si="33"/>
        <v/>
      </c>
      <c r="AH1005" s="404" t="str">
        <f>IF('Antal &amp; Längder (vikter)'!F134&lt;&gt;"",'Antal &amp; Längder (vikter)'!F134,"XX")</f>
        <v>XX</v>
      </c>
      <c r="AI1005" s="410">
        <f>IF('Antal &amp; Längder (vikter)'!G$131="Vikt (g)",IF('Antal &amp; Längder (vikter)'!G134&lt;&gt;"",'Antal &amp; Längder (vikter)'!G134,-9),-9)</f>
        <v>-9</v>
      </c>
    </row>
    <row r="1006" spans="25:35" x14ac:dyDescent="0.25">
      <c r="AB1006" s="434" t="str">
        <f>IF(COUNT(AB1003:AB1005)&gt;0,MAX(AB1003:AB1005)+1,"")</f>
        <v/>
      </c>
      <c r="AC1006" s="433" t="str">
        <f>IF(AND(AH1006&lt;&gt;"",AG1006&lt;&gt;"",AI1006&gt;0,AH1006&gt;0),MAX(AC$2:AC1005)+1,"XX")</f>
        <v>XX</v>
      </c>
      <c r="AD1006" s="431" t="str">
        <f>IF('Antal &amp; Längder (vikter)'!$C$128&lt;&gt;"",'Antal &amp; Längder (vikter)'!$C$128,"XX")</f>
        <v>XX</v>
      </c>
      <c r="AE1006" s="421" t="str">
        <f>IF(AND('Antal &amp; Längder (vikter)'!F$130&lt;&gt;"",ISNUMBER($AH1006)),'Antal &amp; Längder (vikter)'!F$130,"")</f>
        <v/>
      </c>
      <c r="AF1006" s="425" t="str">
        <f t="shared" si="32"/>
        <v/>
      </c>
      <c r="AG1006" s="426" t="str">
        <f t="shared" si="33"/>
        <v/>
      </c>
      <c r="AH1006" s="404" t="str">
        <f>IF('Antal &amp; Längder (vikter)'!F135&lt;&gt;"",'Antal &amp; Längder (vikter)'!F135,"XX")</f>
        <v>XX</v>
      </c>
      <c r="AI1006" s="410">
        <f>IF('Antal &amp; Längder (vikter)'!G$131="Vikt (g)",IF('Antal &amp; Längder (vikter)'!G135&lt;&gt;"",'Antal &amp; Längder (vikter)'!G135,-9),-9)</f>
        <v>-9</v>
      </c>
    </row>
    <row r="1007" spans="25:35" x14ac:dyDescent="0.25">
      <c r="AB1007" s="475" t="str">
        <f>IF(COUNT(AB1003:AB1006)&gt;0,MAX(AB1003:AB1006)+1,"")</f>
        <v/>
      </c>
      <c r="AC1007" s="433" t="str">
        <f>IF(AND(AH1007&lt;&gt;"",AG1007&lt;&gt;"",AI1007&gt;0,AH1007&gt;0),MAX(AC$2:AC1006)+1,"XX")</f>
        <v>XX</v>
      </c>
      <c r="AD1007" s="431" t="str">
        <f>IF('Antal &amp; Längder (vikter)'!$C$128&lt;&gt;"",'Antal &amp; Längder (vikter)'!$C$128,"XX")</f>
        <v>XX</v>
      </c>
      <c r="AE1007" s="421" t="str">
        <f>IF(AND('Antal &amp; Längder (vikter)'!F$130&lt;&gt;"",ISNUMBER($AH1007)),'Antal &amp; Längder (vikter)'!F$130,"")</f>
        <v/>
      </c>
      <c r="AF1007" s="425" t="str">
        <f t="shared" si="32"/>
        <v/>
      </c>
      <c r="AG1007" s="426" t="str">
        <f t="shared" si="33"/>
        <v/>
      </c>
      <c r="AH1007" s="404" t="str">
        <f>IF('Antal &amp; Längder (vikter)'!F136&lt;&gt;"",'Antal &amp; Längder (vikter)'!F136,"XX")</f>
        <v>XX</v>
      </c>
      <c r="AI1007" s="410">
        <f>IF('Antal &amp; Längder (vikter)'!G$131="Vikt (g)",IF('Antal &amp; Längder (vikter)'!G136&lt;&gt;"",'Antal &amp; Längder (vikter)'!G136,-9),-9)</f>
        <v>-9</v>
      </c>
    </row>
    <row r="1008" spans="25:35" x14ac:dyDescent="0.25">
      <c r="AB1008" s="471" t="str">
        <f>IF(COUNT(AB1003:AB1007)&gt;0,MAX(AB1003:AB1007)+1,"")</f>
        <v/>
      </c>
      <c r="AC1008" s="433" t="str">
        <f>IF(AND(AH1008&lt;&gt;"",AG1008&lt;&gt;"",AI1008&gt;0,AH1008&gt;0),MAX(AC$2:AC1007)+1,"XX")</f>
        <v>XX</v>
      </c>
      <c r="AD1008" s="431" t="str">
        <f>IF('Antal &amp; Längder (vikter)'!$C$128&lt;&gt;"",'Antal &amp; Längder (vikter)'!$C$128,"XX")</f>
        <v>XX</v>
      </c>
      <c r="AE1008" s="421" t="str">
        <f>IF(AND('Antal &amp; Längder (vikter)'!F$130&lt;&gt;"",ISNUMBER($AH1008)),'Antal &amp; Längder (vikter)'!F$130,"")</f>
        <v/>
      </c>
      <c r="AF1008" s="425" t="str">
        <f t="shared" si="32"/>
        <v/>
      </c>
      <c r="AG1008" s="426" t="str">
        <f t="shared" si="33"/>
        <v/>
      </c>
      <c r="AH1008" s="404" t="str">
        <f>IF('Antal &amp; Längder (vikter)'!F137&lt;&gt;"",'Antal &amp; Längder (vikter)'!F137,"XX")</f>
        <v>XX</v>
      </c>
      <c r="AI1008" s="410">
        <f>IF('Antal &amp; Längder (vikter)'!G$131="Vikt (g)",IF('Antal &amp; Längder (vikter)'!G137&lt;&gt;"",'Antal &amp; Längder (vikter)'!G137,-9),-9)</f>
        <v>-9</v>
      </c>
    </row>
    <row r="1009" spans="28:35" x14ac:dyDescent="0.25">
      <c r="AB1009" s="474" t="str">
        <f>IF(COUNT(AB1003:AB1008)&gt;0,MAX(AB1003:AB1008)+1,"")</f>
        <v/>
      </c>
      <c r="AC1009" s="433" t="str">
        <f>IF(AND(AH1009&lt;&gt;"",AG1009&lt;&gt;"",AI1009&gt;0,AH1009&gt;0),MAX(AC$2:AC1008)+1,"XX")</f>
        <v>XX</v>
      </c>
      <c r="AD1009" s="431" t="str">
        <f>IF('Antal &amp; Längder (vikter)'!$C$128&lt;&gt;"",'Antal &amp; Längder (vikter)'!$C$128,"XX")</f>
        <v>XX</v>
      </c>
      <c r="AE1009" s="421" t="str">
        <f>IF(AND('Antal &amp; Längder (vikter)'!F$130&lt;&gt;"",ISNUMBER($AH1009)),'Antal &amp; Längder (vikter)'!F$130,"")</f>
        <v/>
      </c>
      <c r="AF1009" s="425" t="str">
        <f t="shared" si="32"/>
        <v/>
      </c>
      <c r="AG1009" s="426" t="str">
        <f t="shared" si="33"/>
        <v/>
      </c>
      <c r="AH1009" s="404" t="str">
        <f>IF('Antal &amp; Längder (vikter)'!F138&lt;&gt;"",'Antal &amp; Längder (vikter)'!F138,"XX")</f>
        <v>XX</v>
      </c>
      <c r="AI1009" s="410">
        <f>IF('Antal &amp; Längder (vikter)'!G$131="Vikt (g)",IF('Antal &amp; Längder (vikter)'!G138&lt;&gt;"",'Antal &amp; Längder (vikter)'!G138,-9),-9)</f>
        <v>-9</v>
      </c>
    </row>
    <row r="1010" spans="28:35" x14ac:dyDescent="0.25">
      <c r="AB1010" s="478" t="str">
        <f>IF(COUNT(AB1003:AB1009)&gt;0,MAX(AB1003:AB1009)+1,"")</f>
        <v/>
      </c>
      <c r="AC1010" s="433" t="str">
        <f>IF(AND(AH1010&lt;&gt;"",AG1010&lt;&gt;"",AI1010&gt;0,AH1010&gt;0),MAX(AC$2:AC1009)+1,"XX")</f>
        <v>XX</v>
      </c>
      <c r="AD1010" s="431" t="str">
        <f>IF('Antal &amp; Längder (vikter)'!$C$128&lt;&gt;"",'Antal &amp; Längder (vikter)'!$C$128,"XX")</f>
        <v>XX</v>
      </c>
      <c r="AE1010" s="421" t="str">
        <f>IF(AND('Antal &amp; Längder (vikter)'!F$130&lt;&gt;"",ISNUMBER($AH1010)),'Antal &amp; Längder (vikter)'!F$130,"")</f>
        <v/>
      </c>
      <c r="AF1010" s="425" t="str">
        <f t="shared" si="32"/>
        <v/>
      </c>
      <c r="AG1010" s="426" t="str">
        <f t="shared" si="33"/>
        <v/>
      </c>
      <c r="AH1010" s="404" t="str">
        <f>IF('Antal &amp; Längder (vikter)'!F139&lt;&gt;"",'Antal &amp; Längder (vikter)'!F139,"XX")</f>
        <v>XX</v>
      </c>
      <c r="AI1010" s="410">
        <f>IF('Antal &amp; Längder (vikter)'!G$131="Vikt (g)",IF('Antal &amp; Längder (vikter)'!G139&lt;&gt;"",'Antal &amp; Längder (vikter)'!G139,-9),-9)</f>
        <v>-9</v>
      </c>
    </row>
    <row r="1011" spans="28:35" x14ac:dyDescent="0.25">
      <c r="AB1011" s="472" t="str">
        <f>IF(COUNT(AB1003:AB1010)&gt;0,MAX(AB1003:AB1010)+1,"")</f>
        <v/>
      </c>
      <c r="AC1011" s="433" t="str">
        <f>IF(AND(AH1011&lt;&gt;"",AG1011&lt;&gt;"",AI1011&gt;0,AH1011&gt;0),MAX(AC$2:AC1010)+1,"XX")</f>
        <v>XX</v>
      </c>
      <c r="AD1011" s="431" t="str">
        <f>IF('Antal &amp; Längder (vikter)'!$C$128&lt;&gt;"",'Antal &amp; Längder (vikter)'!$C$128,"XX")</f>
        <v>XX</v>
      </c>
      <c r="AE1011" s="421" t="str">
        <f>IF(AND('Antal &amp; Längder (vikter)'!F$130&lt;&gt;"",ISNUMBER($AH1011)),'Antal &amp; Längder (vikter)'!F$130,"")</f>
        <v/>
      </c>
      <c r="AF1011" s="425" t="str">
        <f t="shared" si="32"/>
        <v/>
      </c>
      <c r="AG1011" s="426" t="str">
        <f t="shared" si="33"/>
        <v/>
      </c>
      <c r="AH1011" s="404" t="str">
        <f>IF('Antal &amp; Längder (vikter)'!F140&lt;&gt;"",'Antal &amp; Längder (vikter)'!F140,"XX")</f>
        <v>XX</v>
      </c>
      <c r="AI1011" s="410">
        <f>IF('Antal &amp; Längder (vikter)'!G$131="Vikt (g)",IF('Antal &amp; Längder (vikter)'!G140&lt;&gt;"",'Antal &amp; Längder (vikter)'!G140,-9),-9)</f>
        <v>-9</v>
      </c>
    </row>
    <row r="1012" spans="28:35" x14ac:dyDescent="0.25">
      <c r="AB1012" s="479" t="str">
        <f>IF(COUNT(AB1003:AB1011)&gt;0,MAX(AB1003:AB1011)+1,"")</f>
        <v/>
      </c>
      <c r="AC1012" s="433" t="str">
        <f>IF(AND(AH1012&lt;&gt;"",AG1012&lt;&gt;"",AI1012&gt;0,AH1012&gt;0),MAX(AC$2:AC1011)+1,"XX")</f>
        <v>XX</v>
      </c>
      <c r="AD1012" s="431" t="str">
        <f>IF('Antal &amp; Längder (vikter)'!$C$128&lt;&gt;"",'Antal &amp; Längder (vikter)'!$C$128,"XX")</f>
        <v>XX</v>
      </c>
      <c r="AE1012" s="421" t="str">
        <f>IF(AND('Antal &amp; Längder (vikter)'!F$130&lt;&gt;"",ISNUMBER($AH1012)),'Antal &amp; Längder (vikter)'!F$130,"")</f>
        <v/>
      </c>
      <c r="AF1012" s="425" t="str">
        <f t="shared" si="32"/>
        <v/>
      </c>
      <c r="AG1012" s="426" t="str">
        <f t="shared" si="33"/>
        <v/>
      </c>
      <c r="AH1012" s="404" t="str">
        <f>IF('Antal &amp; Längder (vikter)'!F141&lt;&gt;"",'Antal &amp; Längder (vikter)'!F141,"XX")</f>
        <v>XX</v>
      </c>
      <c r="AI1012" s="410">
        <f>IF('Antal &amp; Längder (vikter)'!G$131="Vikt (g)",IF('Antal &amp; Längder (vikter)'!G141&lt;&gt;"",'Antal &amp; Längder (vikter)'!G141,-9),-9)</f>
        <v>-9</v>
      </c>
    </row>
    <row r="1013" spans="28:35" ht="15" x14ac:dyDescent="0.25">
      <c r="AB1013" s="480" t="str">
        <f>IF(AND(ISNUMBER(AH1013),AH1013&gt;0),IF(MAX(AB$3:AB1012)&gt;0,MAX(AB$3:AB1012)+1,10+COUNTIF(F$38:F$49,"&gt;0")*10+1),"")</f>
        <v/>
      </c>
      <c r="AC1013" s="433" t="str">
        <f>IF(AND(AH1013&lt;&gt;"",AG1013&lt;&gt;"",AI1013&gt;0,AH1013&gt;0),MAX(AC$2:AC1012)+1,"XX")</f>
        <v>XX</v>
      </c>
      <c r="AD1013" s="431" t="str">
        <f>IF('Antal &amp; Längder (vikter)'!$C$128&lt;&gt;"",'Antal &amp; Längder (vikter)'!$C$128,"XX")</f>
        <v>XX</v>
      </c>
      <c r="AE1013" s="421" t="str">
        <f>IF(AND('Antal &amp; Längder (vikter)'!F$130&lt;&gt;"",ISNUMBER($AH1013)),'Antal &amp; Längder (vikter)'!F$130,"")</f>
        <v/>
      </c>
      <c r="AF1013" s="425" t="str">
        <f t="shared" si="32"/>
        <v/>
      </c>
      <c r="AG1013" s="426" t="str">
        <f t="shared" si="33"/>
        <v/>
      </c>
      <c r="AH1013" s="410" t="str">
        <f>IF('Antal &amp; Längder (vikter)'!G$131="Längd (mm)",IF('Antal &amp; Längder (vikter)'!G132&lt;&gt;"",'Antal &amp; Längder (vikter)'!G132,"XX"),"XX")</f>
        <v>XX</v>
      </c>
      <c r="AI1013" s="195">
        <v>-9</v>
      </c>
    </row>
    <row r="1014" spans="28:35" ht="15" x14ac:dyDescent="0.25">
      <c r="AB1014" s="476" t="str">
        <f>IF(COUNT(AB1013:AB1013)&gt;0,MAX(AB1013:AB1013)+1,"")</f>
        <v/>
      </c>
      <c r="AC1014" s="433" t="str">
        <f>IF(AND(AH1014&lt;&gt;"",AG1014&lt;&gt;"",AI1014&gt;0,AH1014&gt;0),MAX(AC$2:AC1013)+1,"XX")</f>
        <v>XX</v>
      </c>
      <c r="AD1014" s="431" t="str">
        <f>IF('Antal &amp; Längder (vikter)'!$C$128&lt;&gt;"",'Antal &amp; Längder (vikter)'!$C$128,"XX")</f>
        <v>XX</v>
      </c>
      <c r="AE1014" s="421" t="str">
        <f>IF(AND('Antal &amp; Längder (vikter)'!F$130&lt;&gt;"",ISNUMBER($AH1014)),'Antal &amp; Längder (vikter)'!F$130,"")</f>
        <v/>
      </c>
      <c r="AF1014" s="425" t="str">
        <f t="shared" si="32"/>
        <v/>
      </c>
      <c r="AG1014" s="426" t="str">
        <f t="shared" si="33"/>
        <v/>
      </c>
      <c r="AH1014" s="410" t="str">
        <f>IF('Antal &amp; Längder (vikter)'!G$131="Längd (mm)",IF('Antal &amp; Längder (vikter)'!G133&lt;&gt;"",'Antal &amp; Längder (vikter)'!G133,"XX"),"XX")</f>
        <v>XX</v>
      </c>
      <c r="AI1014" s="195">
        <v>-9</v>
      </c>
    </row>
    <row r="1015" spans="28:35" ht="15" x14ac:dyDescent="0.25">
      <c r="AB1015" s="477" t="str">
        <f>IF(COUNT(AB1013:AB1014)&gt;0,MAX(AB1013:AB1014)+1,"")</f>
        <v/>
      </c>
      <c r="AC1015" s="433" t="str">
        <f>IF(AND(AH1015&lt;&gt;"",AG1015&lt;&gt;"",AI1015&gt;0,AH1015&gt;0),MAX(AC$2:AC1014)+1,"XX")</f>
        <v>XX</v>
      </c>
      <c r="AD1015" s="431" t="str">
        <f>IF('Antal &amp; Längder (vikter)'!$C$128&lt;&gt;"",'Antal &amp; Längder (vikter)'!$C$128,"XX")</f>
        <v>XX</v>
      </c>
      <c r="AE1015" s="421" t="str">
        <f>IF(AND('Antal &amp; Längder (vikter)'!F$130&lt;&gt;"",ISNUMBER($AH1015)),'Antal &amp; Längder (vikter)'!F$130,"")</f>
        <v/>
      </c>
      <c r="AF1015" s="425" t="str">
        <f t="shared" si="32"/>
        <v/>
      </c>
      <c r="AG1015" s="426" t="str">
        <f t="shared" si="33"/>
        <v/>
      </c>
      <c r="AH1015" s="410" t="str">
        <f>IF('Antal &amp; Längder (vikter)'!G$131="Längd (mm)",IF('Antal &amp; Längder (vikter)'!G134&lt;&gt;"",'Antal &amp; Längder (vikter)'!G134,"XX"),"XX")</f>
        <v>XX</v>
      </c>
      <c r="AI1015" s="195">
        <v>-9</v>
      </c>
    </row>
    <row r="1016" spans="28:35" ht="15" x14ac:dyDescent="0.25">
      <c r="AB1016" s="434" t="str">
        <f>IF(COUNT(AB1013:AB1015)&gt;0,MAX(AB1013:AB1015)+1,"")</f>
        <v/>
      </c>
      <c r="AC1016" s="433" t="str">
        <f>IF(AND(AH1016&lt;&gt;"",AG1016&lt;&gt;"",AI1016&gt;0,AH1016&gt;0),MAX(AC$2:AC1015)+1,"XX")</f>
        <v>XX</v>
      </c>
      <c r="AD1016" s="431" t="str">
        <f>IF('Antal &amp; Längder (vikter)'!$C$128&lt;&gt;"",'Antal &amp; Längder (vikter)'!$C$128,"XX")</f>
        <v>XX</v>
      </c>
      <c r="AE1016" s="421" t="str">
        <f>IF(AND('Antal &amp; Längder (vikter)'!F$130&lt;&gt;"",ISNUMBER($AH1016)),'Antal &amp; Längder (vikter)'!F$130,"")</f>
        <v/>
      </c>
      <c r="AF1016" s="425" t="str">
        <f t="shared" si="32"/>
        <v/>
      </c>
      <c r="AG1016" s="426" t="str">
        <f t="shared" si="33"/>
        <v/>
      </c>
      <c r="AH1016" s="410" t="str">
        <f>IF('Antal &amp; Längder (vikter)'!G$131="Längd (mm)",IF('Antal &amp; Längder (vikter)'!G135&lt;&gt;"",'Antal &amp; Längder (vikter)'!G135,"XX"),"XX")</f>
        <v>XX</v>
      </c>
      <c r="AI1016" s="195">
        <v>-9</v>
      </c>
    </row>
    <row r="1017" spans="28:35" ht="15" x14ac:dyDescent="0.25">
      <c r="AB1017" s="475" t="str">
        <f>IF(COUNT(AB1013:AB1016)&gt;0,MAX(AB1013:AB1016)+1,"")</f>
        <v/>
      </c>
      <c r="AC1017" s="433" t="str">
        <f>IF(AND(AH1017&lt;&gt;"",AG1017&lt;&gt;"",AI1017&gt;0,AH1017&gt;0),MAX(AC$2:AC1016)+1,"XX")</f>
        <v>XX</v>
      </c>
      <c r="AD1017" s="431" t="str">
        <f>IF('Antal &amp; Längder (vikter)'!$C$128&lt;&gt;"",'Antal &amp; Längder (vikter)'!$C$128,"XX")</f>
        <v>XX</v>
      </c>
      <c r="AE1017" s="421" t="str">
        <f>IF(AND('Antal &amp; Längder (vikter)'!F$130&lt;&gt;"",ISNUMBER($AH1017)),'Antal &amp; Längder (vikter)'!F$130,"")</f>
        <v/>
      </c>
      <c r="AF1017" s="425" t="str">
        <f t="shared" si="32"/>
        <v/>
      </c>
      <c r="AG1017" s="426" t="str">
        <f t="shared" si="33"/>
        <v/>
      </c>
      <c r="AH1017" s="410" t="str">
        <f>IF('Antal &amp; Längder (vikter)'!G$131="Längd (mm)",IF('Antal &amp; Längder (vikter)'!G136&lt;&gt;"",'Antal &amp; Längder (vikter)'!G136,"XX"),"XX")</f>
        <v>XX</v>
      </c>
      <c r="AI1017" s="195">
        <v>-9</v>
      </c>
    </row>
    <row r="1018" spans="28:35" ht="15" x14ac:dyDescent="0.25">
      <c r="AB1018" s="471" t="str">
        <f>IF(COUNT(AB1013:AB1017)&gt;0,MAX(AB1013:AB1017)+1,"")</f>
        <v/>
      </c>
      <c r="AC1018" s="433" t="str">
        <f>IF(AND(AH1018&lt;&gt;"",AG1018&lt;&gt;"",AI1018&gt;0,AH1018&gt;0),MAX(AC$2:AC1017)+1,"XX")</f>
        <v>XX</v>
      </c>
      <c r="AD1018" s="431" t="str">
        <f>IF('Antal &amp; Längder (vikter)'!$C$128&lt;&gt;"",'Antal &amp; Längder (vikter)'!$C$128,"XX")</f>
        <v>XX</v>
      </c>
      <c r="AE1018" s="421" t="str">
        <f>IF(AND('Antal &amp; Längder (vikter)'!F$130&lt;&gt;"",ISNUMBER($AH1018)),'Antal &amp; Längder (vikter)'!F$130,"")</f>
        <v/>
      </c>
      <c r="AF1018" s="425" t="str">
        <f t="shared" si="32"/>
        <v/>
      </c>
      <c r="AG1018" s="426" t="str">
        <f t="shared" si="33"/>
        <v/>
      </c>
      <c r="AH1018" s="410" t="str">
        <f>IF('Antal &amp; Längder (vikter)'!G$131="Längd (mm)",IF('Antal &amp; Längder (vikter)'!G137&lt;&gt;"",'Antal &amp; Längder (vikter)'!G137,"XX"),"XX")</f>
        <v>XX</v>
      </c>
      <c r="AI1018" s="195">
        <v>-9</v>
      </c>
    </row>
    <row r="1019" spans="28:35" ht="15" x14ac:dyDescent="0.25">
      <c r="AB1019" s="474" t="str">
        <f>IF(COUNT(AB1013:AB1018)&gt;0,MAX(AB1013:AB1018)+1,"")</f>
        <v/>
      </c>
      <c r="AC1019" s="433" t="str">
        <f>IF(AND(AH1019&lt;&gt;"",AG1019&lt;&gt;"",AI1019&gt;0,AH1019&gt;0),MAX(AC$2:AC1018)+1,"XX")</f>
        <v>XX</v>
      </c>
      <c r="AD1019" s="431" t="str">
        <f>IF('Antal &amp; Längder (vikter)'!$C$128&lt;&gt;"",'Antal &amp; Längder (vikter)'!$C$128,"XX")</f>
        <v>XX</v>
      </c>
      <c r="AE1019" s="421" t="str">
        <f>IF(AND('Antal &amp; Längder (vikter)'!F$130&lt;&gt;"",ISNUMBER($AH1019)),'Antal &amp; Längder (vikter)'!F$130,"")</f>
        <v/>
      </c>
      <c r="AF1019" s="425" t="str">
        <f t="shared" si="32"/>
        <v/>
      </c>
      <c r="AG1019" s="426" t="str">
        <f t="shared" si="33"/>
        <v/>
      </c>
      <c r="AH1019" s="410" t="str">
        <f>IF('Antal &amp; Längder (vikter)'!G$131="Längd (mm)",IF('Antal &amp; Längder (vikter)'!G138&lt;&gt;"",'Antal &amp; Längder (vikter)'!G138,"XX"),"XX")</f>
        <v>XX</v>
      </c>
      <c r="AI1019" s="195">
        <v>-9</v>
      </c>
    </row>
    <row r="1020" spans="28:35" ht="15" x14ac:dyDescent="0.25">
      <c r="AB1020" s="478" t="str">
        <f>IF(COUNT(AB1013:AB1019)&gt;0,MAX(AB1013:AB1019)+1,"")</f>
        <v/>
      </c>
      <c r="AC1020" s="433" t="str">
        <f>IF(AND(AH1020&lt;&gt;"",AG1020&lt;&gt;"",AI1020&gt;0,AH1020&gt;0),MAX(AC$2:AC1019)+1,"XX")</f>
        <v>XX</v>
      </c>
      <c r="AD1020" s="431" t="str">
        <f>IF('Antal &amp; Längder (vikter)'!$C$128&lt;&gt;"",'Antal &amp; Längder (vikter)'!$C$128,"XX")</f>
        <v>XX</v>
      </c>
      <c r="AE1020" s="421" t="str">
        <f>IF(AND('Antal &amp; Längder (vikter)'!F$130&lt;&gt;"",ISNUMBER($AH1020)),'Antal &amp; Längder (vikter)'!F$130,"")</f>
        <v/>
      </c>
      <c r="AF1020" s="425" t="str">
        <f t="shared" si="32"/>
        <v/>
      </c>
      <c r="AG1020" s="426" t="str">
        <f t="shared" si="33"/>
        <v/>
      </c>
      <c r="AH1020" s="410" t="str">
        <f>IF('Antal &amp; Längder (vikter)'!G$131="Längd (mm)",IF('Antal &amp; Längder (vikter)'!G139&lt;&gt;"",'Antal &amp; Längder (vikter)'!G139,"XX"),"XX")</f>
        <v>XX</v>
      </c>
      <c r="AI1020" s="195">
        <v>-9</v>
      </c>
    </row>
    <row r="1021" spans="28:35" ht="15" x14ac:dyDescent="0.25">
      <c r="AB1021" s="472" t="str">
        <f>IF(COUNT(AB1013:AB1020)&gt;0,MAX(AB1013:AB1020)+1,"")</f>
        <v/>
      </c>
      <c r="AC1021" s="433" t="str">
        <f>IF(AND(AH1021&lt;&gt;"",AG1021&lt;&gt;"",AI1021&gt;0,AH1021&gt;0),MAX(AC$2:AC1020)+1,"XX")</f>
        <v>XX</v>
      </c>
      <c r="AD1021" s="431" t="str">
        <f>IF('Antal &amp; Längder (vikter)'!$C$128&lt;&gt;"",'Antal &amp; Längder (vikter)'!$C$128,"XX")</f>
        <v>XX</v>
      </c>
      <c r="AE1021" s="421" t="str">
        <f>IF(AND('Antal &amp; Längder (vikter)'!F$130&lt;&gt;"",ISNUMBER($AH1021)),'Antal &amp; Längder (vikter)'!F$130,"")</f>
        <v/>
      </c>
      <c r="AF1021" s="425" t="str">
        <f t="shared" si="32"/>
        <v/>
      </c>
      <c r="AG1021" s="426" t="str">
        <f t="shared" si="33"/>
        <v/>
      </c>
      <c r="AH1021" s="410" t="str">
        <f>IF('Antal &amp; Längder (vikter)'!G$131="Längd (mm)",IF('Antal &amp; Längder (vikter)'!G140&lt;&gt;"",'Antal &amp; Längder (vikter)'!G140,"XX"),"XX")</f>
        <v>XX</v>
      </c>
      <c r="AI1021" s="195">
        <v>-9</v>
      </c>
    </row>
    <row r="1022" spans="28:35" ht="15" x14ac:dyDescent="0.25">
      <c r="AB1022" s="479" t="str">
        <f>IF(COUNT(AB1013:AB1021)&gt;0,MAX(AB1013:AB1021)+1,"")</f>
        <v/>
      </c>
      <c r="AC1022" s="433" t="str">
        <f>IF(AND(AH1022&lt;&gt;"",AG1022&lt;&gt;"",AI1022&gt;0,AH1022&gt;0),MAX(AC$2:AC1021)+1,"XX")</f>
        <v>XX</v>
      </c>
      <c r="AD1022" s="431" t="str">
        <f>IF('Antal &amp; Längder (vikter)'!$C$128&lt;&gt;"",'Antal &amp; Längder (vikter)'!$C$128,"XX")</f>
        <v>XX</v>
      </c>
      <c r="AE1022" s="421" t="str">
        <f>IF(AND('Antal &amp; Längder (vikter)'!F$130&lt;&gt;"",ISNUMBER($AH1022)),'Antal &amp; Längder (vikter)'!F$130,"")</f>
        <v/>
      </c>
      <c r="AF1022" s="425" t="str">
        <f t="shared" si="32"/>
        <v/>
      </c>
      <c r="AG1022" s="426" t="str">
        <f t="shared" si="33"/>
        <v/>
      </c>
      <c r="AH1022" s="410" t="str">
        <f>IF('Antal &amp; Längder (vikter)'!G$131="Längd (mm)",IF('Antal &amp; Längder (vikter)'!G141&lt;&gt;"",'Antal &amp; Längder (vikter)'!G141,"XX"),"XX")</f>
        <v>XX</v>
      </c>
      <c r="AI1022" s="195">
        <v>-9</v>
      </c>
    </row>
    <row r="1023" spans="28:35" x14ac:dyDescent="0.25">
      <c r="AB1023" s="480" t="str">
        <f>IF(AND(ISNUMBER(AH1023),AH1023&gt;0),IF(MAX(AB$3:AB1022)&gt;0,MAX(AB$3:AB1022)+1,10+COUNTIF(F$38:F$49,"&gt;0")*10+1),"")</f>
        <v/>
      </c>
      <c r="AC1023" s="433" t="str">
        <f>IF(AND(AH1023&lt;&gt;"",AG1023&lt;&gt;"",AI1023&gt;0,AH1023&gt;0),MAX(AC$2:AC1022)+1,"XX")</f>
        <v>XX</v>
      </c>
      <c r="AD1023" s="431" t="str">
        <f>IF('Antal &amp; Längder (vikter)'!$C$128&lt;&gt;"",'Antal &amp; Längder (vikter)'!$C$128,"XX")</f>
        <v>XX</v>
      </c>
      <c r="AE1023" s="424" t="str">
        <f>IF(AND('Antal &amp; Längder (vikter)'!H$130&lt;&gt;"",ISNUMBER($AH1023)),'Antal &amp; Längder (vikter)'!H$130,"")</f>
        <v/>
      </c>
      <c r="AF1023" s="425" t="str">
        <f t="shared" si="32"/>
        <v/>
      </c>
      <c r="AG1023" s="426" t="str">
        <f t="shared" si="33"/>
        <v/>
      </c>
      <c r="AH1023" s="404" t="str">
        <f>IF('Antal &amp; Längder (vikter)'!H132&lt;&gt;"",'Antal &amp; Längder (vikter)'!H132,"XX")</f>
        <v>XX</v>
      </c>
      <c r="AI1023" s="410">
        <f>IF('Antal &amp; Längder (vikter)'!I$131="Vikt (g)",IF('Antal &amp; Längder (vikter)'!I132&lt;&gt;"",'Antal &amp; Längder (vikter)'!I132,-9),-9)</f>
        <v>-9</v>
      </c>
    </row>
    <row r="1024" spans="28:35" x14ac:dyDescent="0.25">
      <c r="AB1024" s="476" t="str">
        <f>IF(COUNT(AB1023:AB1023)&gt;0,MAX(AB1023:AB1023)+1,"")</f>
        <v/>
      </c>
      <c r="AC1024" s="433" t="str">
        <f>IF(AND(AH1024&lt;&gt;"",AG1024&lt;&gt;"",AI1024&gt;0,AH1024&gt;0),MAX(AC$2:AC1023)+1,"XX")</f>
        <v>XX</v>
      </c>
      <c r="AD1024" s="431" t="str">
        <f>IF('Antal &amp; Längder (vikter)'!$C$128&lt;&gt;"",'Antal &amp; Längder (vikter)'!$C$128,"XX")</f>
        <v>XX</v>
      </c>
      <c r="AE1024" s="424" t="str">
        <f>IF(AND('Antal &amp; Längder (vikter)'!H$130&lt;&gt;"",ISNUMBER($AH1024)),'Antal &amp; Längder (vikter)'!H$130,"")</f>
        <v/>
      </c>
      <c r="AF1024" s="425" t="str">
        <f t="shared" si="32"/>
        <v/>
      </c>
      <c r="AG1024" s="426" t="str">
        <f t="shared" si="33"/>
        <v/>
      </c>
      <c r="AH1024" s="404" t="str">
        <f>IF('Antal &amp; Längder (vikter)'!H133&lt;&gt;"",'Antal &amp; Längder (vikter)'!H133,"XX")</f>
        <v>XX</v>
      </c>
      <c r="AI1024" s="410">
        <f>IF('Antal &amp; Längder (vikter)'!I$131="Vikt (g)",IF('Antal &amp; Längder (vikter)'!I133&lt;&gt;"",'Antal &amp; Längder (vikter)'!I133,-9),-9)</f>
        <v>-9</v>
      </c>
    </row>
    <row r="1025" spans="28:35" x14ac:dyDescent="0.25">
      <c r="AB1025" s="477" t="str">
        <f>IF(COUNT(AB1023:AB1024)&gt;0,MAX(AB1023:AB1024)+1,"")</f>
        <v/>
      </c>
      <c r="AC1025" s="433" t="str">
        <f>IF(AND(AH1025&lt;&gt;"",AG1025&lt;&gt;"",AI1025&gt;0,AH1025&gt;0),MAX(AC$2:AC1024)+1,"XX")</f>
        <v>XX</v>
      </c>
      <c r="AD1025" s="431" t="str">
        <f>IF('Antal &amp; Längder (vikter)'!$C$128&lt;&gt;"",'Antal &amp; Längder (vikter)'!$C$128,"XX")</f>
        <v>XX</v>
      </c>
      <c r="AE1025" s="424" t="str">
        <f>IF(AND('Antal &amp; Längder (vikter)'!H$130&lt;&gt;"",ISNUMBER($AH1025)),'Antal &amp; Längder (vikter)'!H$130,"")</f>
        <v/>
      </c>
      <c r="AF1025" s="425" t="str">
        <f t="shared" si="32"/>
        <v/>
      </c>
      <c r="AG1025" s="426" t="str">
        <f t="shared" si="33"/>
        <v/>
      </c>
      <c r="AH1025" s="404" t="str">
        <f>IF('Antal &amp; Längder (vikter)'!H134&lt;&gt;"",'Antal &amp; Längder (vikter)'!H134,"XX")</f>
        <v>XX</v>
      </c>
      <c r="AI1025" s="410">
        <f>IF('Antal &amp; Längder (vikter)'!I$131="Vikt (g)",IF('Antal &amp; Längder (vikter)'!I134&lt;&gt;"",'Antal &amp; Längder (vikter)'!I134,-9),-9)</f>
        <v>-9</v>
      </c>
    </row>
    <row r="1026" spans="28:35" x14ac:dyDescent="0.25">
      <c r="AB1026" s="434" t="str">
        <f>IF(COUNT(AB1023:AB1025)&gt;0,MAX(AB1023:AB1025)+1,"")</f>
        <v/>
      </c>
      <c r="AC1026" s="433" t="str">
        <f>IF(AND(AH1026&lt;&gt;"",AG1026&lt;&gt;"",AI1026&gt;0,AH1026&gt;0),MAX(AC$2:AC1025)+1,"XX")</f>
        <v>XX</v>
      </c>
      <c r="AD1026" s="431" t="str">
        <f>IF('Antal &amp; Längder (vikter)'!$C$128&lt;&gt;"",'Antal &amp; Längder (vikter)'!$C$128,"XX")</f>
        <v>XX</v>
      </c>
      <c r="AE1026" s="424" t="str">
        <f>IF(AND('Antal &amp; Längder (vikter)'!H$130&lt;&gt;"",ISNUMBER($AH1026)),'Antal &amp; Längder (vikter)'!H$130,"")</f>
        <v/>
      </c>
      <c r="AF1026" s="425" t="str">
        <f t="shared" si="32"/>
        <v/>
      </c>
      <c r="AG1026" s="426" t="str">
        <f t="shared" si="33"/>
        <v/>
      </c>
      <c r="AH1026" s="404" t="str">
        <f>IF('Antal &amp; Längder (vikter)'!H135&lt;&gt;"",'Antal &amp; Längder (vikter)'!H135,"XX")</f>
        <v>XX</v>
      </c>
      <c r="AI1026" s="410">
        <f>IF('Antal &amp; Längder (vikter)'!I$131="Vikt (g)",IF('Antal &amp; Längder (vikter)'!I135&lt;&gt;"",'Antal &amp; Längder (vikter)'!I135,-9),-9)</f>
        <v>-9</v>
      </c>
    </row>
    <row r="1027" spans="28:35" x14ac:dyDescent="0.25">
      <c r="AB1027" s="475" t="str">
        <f>IF(COUNT(AB1023:AB1026)&gt;0,MAX(AB1023:AB1026)+1,"")</f>
        <v/>
      </c>
      <c r="AC1027" s="433" t="str">
        <f>IF(AND(AH1027&lt;&gt;"",AG1027&lt;&gt;"",AI1027&gt;0,AH1027&gt;0),MAX(AC$2:AC1026)+1,"XX")</f>
        <v>XX</v>
      </c>
      <c r="AD1027" s="431" t="str">
        <f>IF('Antal &amp; Längder (vikter)'!$C$128&lt;&gt;"",'Antal &amp; Längder (vikter)'!$C$128,"XX")</f>
        <v>XX</v>
      </c>
      <c r="AE1027" s="424" t="str">
        <f>IF(AND('Antal &amp; Längder (vikter)'!H$130&lt;&gt;"",ISNUMBER($AH1027)),'Antal &amp; Längder (vikter)'!H$130,"")</f>
        <v/>
      </c>
      <c r="AF1027" s="425" t="str">
        <f t="shared" ref="AF1027:AF1082" si="34">IF(AND(ISNUMBER(AH1027),AE1027&lt;&gt;""),VLOOKUP(AE1027,$N$2:$O$60,2,FALSE),"")</f>
        <v/>
      </c>
      <c r="AG1027" s="426" t="str">
        <f t="shared" ref="AG1027:AG1082" si="35">IF(AF1027&lt;&gt;"",VLOOKUP(AF1027,O$2:U$60,7,FALSE),"")</f>
        <v/>
      </c>
      <c r="AH1027" s="404" t="str">
        <f>IF('Antal &amp; Längder (vikter)'!H136&lt;&gt;"",'Antal &amp; Längder (vikter)'!H136,"XX")</f>
        <v>XX</v>
      </c>
      <c r="AI1027" s="410">
        <f>IF('Antal &amp; Längder (vikter)'!I$131="Vikt (g)",IF('Antal &amp; Längder (vikter)'!I136&lt;&gt;"",'Antal &amp; Längder (vikter)'!I136,-9),-9)</f>
        <v>-9</v>
      </c>
    </row>
    <row r="1028" spans="28:35" x14ac:dyDescent="0.25">
      <c r="AB1028" s="471" t="str">
        <f>IF(COUNT(AB1023:AB1027)&gt;0,MAX(AB1023:AB1027)+1,"")</f>
        <v/>
      </c>
      <c r="AC1028" s="433" t="str">
        <f>IF(AND(AH1028&lt;&gt;"",AG1028&lt;&gt;"",AI1028&gt;0,AH1028&gt;0),MAX(AC$2:AC1027)+1,"XX")</f>
        <v>XX</v>
      </c>
      <c r="AD1028" s="431" t="str">
        <f>IF('Antal &amp; Längder (vikter)'!$C$128&lt;&gt;"",'Antal &amp; Längder (vikter)'!$C$128,"XX")</f>
        <v>XX</v>
      </c>
      <c r="AE1028" s="424" t="str">
        <f>IF(AND('Antal &amp; Längder (vikter)'!H$130&lt;&gt;"",ISNUMBER($AH1028)),'Antal &amp; Längder (vikter)'!H$130,"")</f>
        <v/>
      </c>
      <c r="AF1028" s="425" t="str">
        <f t="shared" si="34"/>
        <v/>
      </c>
      <c r="AG1028" s="426" t="str">
        <f t="shared" si="35"/>
        <v/>
      </c>
      <c r="AH1028" s="404" t="str">
        <f>IF('Antal &amp; Längder (vikter)'!H137&lt;&gt;"",'Antal &amp; Längder (vikter)'!H137,"XX")</f>
        <v>XX</v>
      </c>
      <c r="AI1028" s="410">
        <f>IF('Antal &amp; Längder (vikter)'!I$131="Vikt (g)",IF('Antal &amp; Längder (vikter)'!I137&lt;&gt;"",'Antal &amp; Längder (vikter)'!I137,-9),-9)</f>
        <v>-9</v>
      </c>
    </row>
    <row r="1029" spans="28:35" x14ac:dyDescent="0.25">
      <c r="AB1029" s="474" t="str">
        <f>IF(COUNT(AB1023:AB1028)&gt;0,MAX(AB1023:AB1028)+1,"")</f>
        <v/>
      </c>
      <c r="AC1029" s="433" t="str">
        <f>IF(AND(AH1029&lt;&gt;"",AG1029&lt;&gt;"",AI1029&gt;0,AH1029&gt;0),MAX(AC$2:AC1028)+1,"XX")</f>
        <v>XX</v>
      </c>
      <c r="AD1029" s="431" t="str">
        <f>IF('Antal &amp; Längder (vikter)'!$C$128&lt;&gt;"",'Antal &amp; Längder (vikter)'!$C$128,"XX")</f>
        <v>XX</v>
      </c>
      <c r="AE1029" s="424" t="str">
        <f>IF(AND('Antal &amp; Längder (vikter)'!H$130&lt;&gt;"",ISNUMBER($AH1029)),'Antal &amp; Längder (vikter)'!H$130,"")</f>
        <v/>
      </c>
      <c r="AF1029" s="425" t="str">
        <f t="shared" si="34"/>
        <v/>
      </c>
      <c r="AG1029" s="426" t="str">
        <f t="shared" si="35"/>
        <v/>
      </c>
      <c r="AH1029" s="404" t="str">
        <f>IF('Antal &amp; Längder (vikter)'!H138&lt;&gt;"",'Antal &amp; Längder (vikter)'!H138,"XX")</f>
        <v>XX</v>
      </c>
      <c r="AI1029" s="410">
        <f>IF('Antal &amp; Längder (vikter)'!I$131="Vikt (g)",IF('Antal &amp; Längder (vikter)'!I138&lt;&gt;"",'Antal &amp; Längder (vikter)'!I138,-9),-9)</f>
        <v>-9</v>
      </c>
    </row>
    <row r="1030" spans="28:35" x14ac:dyDescent="0.25">
      <c r="AB1030" s="478" t="str">
        <f>IF(COUNT(AB1023:AB1029)&gt;0,MAX(AB1023:AB1029)+1,"")</f>
        <v/>
      </c>
      <c r="AC1030" s="433" t="str">
        <f>IF(AND(AH1030&lt;&gt;"",AG1030&lt;&gt;"",AI1030&gt;0,AH1030&gt;0),MAX(AC$2:AC1029)+1,"XX")</f>
        <v>XX</v>
      </c>
      <c r="AD1030" s="431" t="str">
        <f>IF('Antal &amp; Längder (vikter)'!$C$128&lt;&gt;"",'Antal &amp; Längder (vikter)'!$C$128,"XX")</f>
        <v>XX</v>
      </c>
      <c r="AE1030" s="424" t="str">
        <f>IF(AND('Antal &amp; Längder (vikter)'!H$130&lt;&gt;"",ISNUMBER($AH1030)),'Antal &amp; Längder (vikter)'!H$130,"")</f>
        <v/>
      </c>
      <c r="AF1030" s="425" t="str">
        <f t="shared" si="34"/>
        <v/>
      </c>
      <c r="AG1030" s="426" t="str">
        <f t="shared" si="35"/>
        <v/>
      </c>
      <c r="AH1030" s="404" t="str">
        <f>IF('Antal &amp; Längder (vikter)'!H139&lt;&gt;"",'Antal &amp; Längder (vikter)'!H139,"XX")</f>
        <v>XX</v>
      </c>
      <c r="AI1030" s="410">
        <f>IF('Antal &amp; Längder (vikter)'!I$131="Vikt (g)",IF('Antal &amp; Längder (vikter)'!I139&lt;&gt;"",'Antal &amp; Längder (vikter)'!I139,-9),-9)</f>
        <v>-9</v>
      </c>
    </row>
    <row r="1031" spans="28:35" x14ac:dyDescent="0.25">
      <c r="AB1031" s="472" t="str">
        <f>IF(COUNT(AB1023:AB1030)&gt;0,MAX(AB1023:AB1030)+1,"")</f>
        <v/>
      </c>
      <c r="AC1031" s="433" t="str">
        <f>IF(AND(AH1031&lt;&gt;"",AG1031&lt;&gt;"",AI1031&gt;0,AH1031&gt;0),MAX(AC$2:AC1030)+1,"XX")</f>
        <v>XX</v>
      </c>
      <c r="AD1031" s="431" t="str">
        <f>IF('Antal &amp; Längder (vikter)'!$C$128&lt;&gt;"",'Antal &amp; Längder (vikter)'!$C$128,"XX")</f>
        <v>XX</v>
      </c>
      <c r="AE1031" s="424" t="str">
        <f>IF(AND('Antal &amp; Längder (vikter)'!H$130&lt;&gt;"",ISNUMBER($AH1031)),'Antal &amp; Längder (vikter)'!H$130,"")</f>
        <v/>
      </c>
      <c r="AF1031" s="425" t="str">
        <f t="shared" si="34"/>
        <v/>
      </c>
      <c r="AG1031" s="426" t="str">
        <f t="shared" si="35"/>
        <v/>
      </c>
      <c r="AH1031" s="404" t="str">
        <f>IF('Antal &amp; Längder (vikter)'!H140&lt;&gt;"",'Antal &amp; Längder (vikter)'!H140,"XX")</f>
        <v>XX</v>
      </c>
      <c r="AI1031" s="410">
        <f>IF('Antal &amp; Längder (vikter)'!I$131="Vikt (g)",IF('Antal &amp; Längder (vikter)'!I140&lt;&gt;"",'Antal &amp; Längder (vikter)'!I140,-9),-9)</f>
        <v>-9</v>
      </c>
    </row>
    <row r="1032" spans="28:35" x14ac:dyDescent="0.25">
      <c r="AB1032" s="479" t="str">
        <f>IF(COUNT(AB1023:AB1031)&gt;0,MAX(AB1023:AB1031)+1,"")</f>
        <v/>
      </c>
      <c r="AC1032" s="433" t="str">
        <f>IF(AND(AH1032&lt;&gt;"",AG1032&lt;&gt;"",AI1032&gt;0,AH1032&gt;0),MAX(AC$2:AC1031)+1,"XX")</f>
        <v>XX</v>
      </c>
      <c r="AD1032" s="431" t="str">
        <f>IF('Antal &amp; Längder (vikter)'!$C$128&lt;&gt;"",'Antal &amp; Längder (vikter)'!$C$128,"XX")</f>
        <v>XX</v>
      </c>
      <c r="AE1032" s="424" t="str">
        <f>IF(AND('Antal &amp; Längder (vikter)'!H$130&lt;&gt;"",ISNUMBER($AH1032)),'Antal &amp; Längder (vikter)'!H$130,"")</f>
        <v/>
      </c>
      <c r="AF1032" s="425" t="str">
        <f t="shared" si="34"/>
        <v/>
      </c>
      <c r="AG1032" s="426" t="str">
        <f t="shared" si="35"/>
        <v/>
      </c>
      <c r="AH1032" s="404" t="str">
        <f>IF('Antal &amp; Längder (vikter)'!H141&lt;&gt;"",'Antal &amp; Längder (vikter)'!H141,"XX")</f>
        <v>XX</v>
      </c>
      <c r="AI1032" s="410">
        <f>IF('Antal &amp; Längder (vikter)'!I$131="Vikt (g)",IF('Antal &amp; Längder (vikter)'!I141&lt;&gt;"",'Antal &amp; Längder (vikter)'!I141,-9),-9)</f>
        <v>-9</v>
      </c>
    </row>
    <row r="1033" spans="28:35" ht="15" x14ac:dyDescent="0.25">
      <c r="AB1033" s="480" t="str">
        <f>IF(AND(ISNUMBER(AH1033),AH1033&gt;0),IF(MAX(AB$3:AB1032)&gt;0,MAX(AB$3:AB1032)+1,10+COUNTIF(F$38:F$49,"&gt;0")*10+1),"")</f>
        <v/>
      </c>
      <c r="AC1033" s="433" t="str">
        <f>IF(AND(AH1033&lt;&gt;"",AG1033&lt;&gt;"",AI1033&gt;0,AH1033&gt;0),MAX(AC$2:AC1032)+1,"XX")</f>
        <v>XX</v>
      </c>
      <c r="AD1033" s="431" t="str">
        <f>IF('Antal &amp; Längder (vikter)'!$C$128&lt;&gt;"",'Antal &amp; Längder (vikter)'!$C$128,"XX")</f>
        <v>XX</v>
      </c>
      <c r="AE1033" s="424" t="str">
        <f>IF(AND('Antal &amp; Längder (vikter)'!H$130&lt;&gt;"",ISNUMBER($AH1033)),'Antal &amp; Längder (vikter)'!H$130,"")</f>
        <v/>
      </c>
      <c r="AF1033" s="425" t="str">
        <f t="shared" si="34"/>
        <v/>
      </c>
      <c r="AG1033" s="426" t="str">
        <f t="shared" si="35"/>
        <v/>
      </c>
      <c r="AH1033" s="410" t="str">
        <f>IF('Antal &amp; Längder (vikter)'!I$131="Längd (mm)",IF('Antal &amp; Längder (vikter)'!I132&lt;&gt;"",'Antal &amp; Längder (vikter)'!I132,"XX"),"XX")</f>
        <v>XX</v>
      </c>
      <c r="AI1033" s="195">
        <v>-9</v>
      </c>
    </row>
    <row r="1034" spans="28:35" ht="15" x14ac:dyDescent="0.25">
      <c r="AB1034" s="476" t="str">
        <f>IF(COUNT(AB1033:AB1033)&gt;0,MAX(AB1033:AB1033)+1,"")</f>
        <v/>
      </c>
      <c r="AC1034" s="433" t="str">
        <f>IF(AND(AH1034&lt;&gt;"",AG1034&lt;&gt;"",AI1034&gt;0,AH1034&gt;0),MAX(AC$2:AC1033)+1,"XX")</f>
        <v>XX</v>
      </c>
      <c r="AD1034" s="431" t="str">
        <f>IF('Antal &amp; Längder (vikter)'!$C$128&lt;&gt;"",'Antal &amp; Längder (vikter)'!$C$128,"XX")</f>
        <v>XX</v>
      </c>
      <c r="AE1034" s="424" t="str">
        <f>IF(AND('Antal &amp; Längder (vikter)'!H$130&lt;&gt;"",ISNUMBER($AH1034)),'Antal &amp; Längder (vikter)'!H$130,"")</f>
        <v/>
      </c>
      <c r="AF1034" s="425" t="str">
        <f t="shared" si="34"/>
        <v/>
      </c>
      <c r="AG1034" s="426" t="str">
        <f t="shared" si="35"/>
        <v/>
      </c>
      <c r="AH1034" s="410" t="str">
        <f>IF('Antal &amp; Längder (vikter)'!I$131="Längd (mm)",IF('Antal &amp; Längder (vikter)'!I133&lt;&gt;"",'Antal &amp; Längder (vikter)'!I133,"XX"),"XX")</f>
        <v>XX</v>
      </c>
      <c r="AI1034" s="195">
        <v>-9</v>
      </c>
    </row>
    <row r="1035" spans="28:35" ht="15" x14ac:dyDescent="0.25">
      <c r="AB1035" s="477" t="str">
        <f>IF(COUNT(AB1033:AB1034)&gt;0,MAX(AB1033:AB1034)+1,"")</f>
        <v/>
      </c>
      <c r="AC1035" s="433" t="str">
        <f>IF(AND(AH1035&lt;&gt;"",AG1035&lt;&gt;"",AI1035&gt;0,AH1035&gt;0),MAX(AC$2:AC1034)+1,"XX")</f>
        <v>XX</v>
      </c>
      <c r="AD1035" s="431" t="str">
        <f>IF('Antal &amp; Längder (vikter)'!$C$128&lt;&gt;"",'Antal &amp; Längder (vikter)'!$C$128,"XX")</f>
        <v>XX</v>
      </c>
      <c r="AE1035" s="424" t="str">
        <f>IF(AND('Antal &amp; Längder (vikter)'!H$130&lt;&gt;"",ISNUMBER($AH1035)),'Antal &amp; Längder (vikter)'!H$130,"")</f>
        <v/>
      </c>
      <c r="AF1035" s="425" t="str">
        <f t="shared" si="34"/>
        <v/>
      </c>
      <c r="AG1035" s="426" t="str">
        <f t="shared" si="35"/>
        <v/>
      </c>
      <c r="AH1035" s="410" t="str">
        <f>IF('Antal &amp; Längder (vikter)'!I$131="Längd (mm)",IF('Antal &amp; Längder (vikter)'!I134&lt;&gt;"",'Antal &amp; Längder (vikter)'!I134,"XX"),"XX")</f>
        <v>XX</v>
      </c>
      <c r="AI1035" s="195">
        <v>-9</v>
      </c>
    </row>
    <row r="1036" spans="28:35" ht="15" x14ac:dyDescent="0.25">
      <c r="AB1036" s="434" t="str">
        <f>IF(COUNT(AB1033:AB1035)&gt;0,MAX(AB1033:AB1035)+1,"")</f>
        <v/>
      </c>
      <c r="AC1036" s="433" t="str">
        <f>IF(AND(AH1036&lt;&gt;"",AG1036&lt;&gt;"",AI1036&gt;0,AH1036&gt;0),MAX(AC$2:AC1035)+1,"XX")</f>
        <v>XX</v>
      </c>
      <c r="AD1036" s="431" t="str">
        <f>IF('Antal &amp; Längder (vikter)'!$C$128&lt;&gt;"",'Antal &amp; Längder (vikter)'!$C$128,"XX")</f>
        <v>XX</v>
      </c>
      <c r="AE1036" s="424" t="str">
        <f>IF(AND('Antal &amp; Längder (vikter)'!H$130&lt;&gt;"",ISNUMBER($AH1036)),'Antal &amp; Längder (vikter)'!H$130,"")</f>
        <v/>
      </c>
      <c r="AF1036" s="425" t="str">
        <f t="shared" si="34"/>
        <v/>
      </c>
      <c r="AG1036" s="426" t="str">
        <f t="shared" si="35"/>
        <v/>
      </c>
      <c r="AH1036" s="410" t="str">
        <f>IF('Antal &amp; Längder (vikter)'!I$131="Längd (mm)",IF('Antal &amp; Längder (vikter)'!I135&lt;&gt;"",'Antal &amp; Längder (vikter)'!I135,"XX"),"XX")</f>
        <v>XX</v>
      </c>
      <c r="AI1036" s="195">
        <v>-9</v>
      </c>
    </row>
    <row r="1037" spans="28:35" ht="15" x14ac:dyDescent="0.25">
      <c r="AB1037" s="475" t="str">
        <f>IF(COUNT(AB1033:AB1036)&gt;0,MAX(AB1033:AB1036)+1,"")</f>
        <v/>
      </c>
      <c r="AC1037" s="433" t="str">
        <f>IF(AND(AH1037&lt;&gt;"",AG1037&lt;&gt;"",AI1037&gt;0,AH1037&gt;0),MAX(AC$2:AC1036)+1,"XX")</f>
        <v>XX</v>
      </c>
      <c r="AD1037" s="431" t="str">
        <f>IF('Antal &amp; Längder (vikter)'!$C$128&lt;&gt;"",'Antal &amp; Längder (vikter)'!$C$128,"XX")</f>
        <v>XX</v>
      </c>
      <c r="AE1037" s="424" t="str">
        <f>IF(AND('Antal &amp; Längder (vikter)'!H$130&lt;&gt;"",ISNUMBER($AH1037)),'Antal &amp; Längder (vikter)'!H$130,"")</f>
        <v/>
      </c>
      <c r="AF1037" s="425" t="str">
        <f t="shared" si="34"/>
        <v/>
      </c>
      <c r="AG1037" s="426" t="str">
        <f t="shared" si="35"/>
        <v/>
      </c>
      <c r="AH1037" s="410" t="str">
        <f>IF('Antal &amp; Längder (vikter)'!I$131="Längd (mm)",IF('Antal &amp; Längder (vikter)'!I136&lt;&gt;"",'Antal &amp; Längder (vikter)'!I136,"XX"),"XX")</f>
        <v>XX</v>
      </c>
      <c r="AI1037" s="195">
        <v>-9</v>
      </c>
    </row>
    <row r="1038" spans="28:35" ht="15" x14ac:dyDescent="0.25">
      <c r="AB1038" s="471" t="str">
        <f>IF(COUNT(AB1033:AB1037)&gt;0,MAX(AB1033:AB1037)+1,"")</f>
        <v/>
      </c>
      <c r="AC1038" s="433" t="str">
        <f>IF(AND(AH1038&lt;&gt;"",AG1038&lt;&gt;"",AI1038&gt;0,AH1038&gt;0),MAX(AC$2:AC1037)+1,"XX")</f>
        <v>XX</v>
      </c>
      <c r="AD1038" s="431" t="str">
        <f>IF('Antal &amp; Längder (vikter)'!$C$128&lt;&gt;"",'Antal &amp; Längder (vikter)'!$C$128,"XX")</f>
        <v>XX</v>
      </c>
      <c r="AE1038" s="424" t="str">
        <f>IF(AND('Antal &amp; Längder (vikter)'!H$130&lt;&gt;"",ISNUMBER($AH1038)),'Antal &amp; Längder (vikter)'!H$130,"")</f>
        <v/>
      </c>
      <c r="AF1038" s="425" t="str">
        <f t="shared" si="34"/>
        <v/>
      </c>
      <c r="AG1038" s="426" t="str">
        <f t="shared" si="35"/>
        <v/>
      </c>
      <c r="AH1038" s="410" t="str">
        <f>IF('Antal &amp; Längder (vikter)'!I$131="Längd (mm)",IF('Antal &amp; Längder (vikter)'!I137&lt;&gt;"",'Antal &amp; Längder (vikter)'!I137,"XX"),"XX")</f>
        <v>XX</v>
      </c>
      <c r="AI1038" s="195">
        <v>-9</v>
      </c>
    </row>
    <row r="1039" spans="28:35" ht="15" x14ac:dyDescent="0.25">
      <c r="AB1039" s="474" t="str">
        <f>IF(COUNT(AB1033:AB1038)&gt;0,MAX(AB1033:AB1038)+1,"")</f>
        <v/>
      </c>
      <c r="AC1039" s="433" t="str">
        <f>IF(AND(AH1039&lt;&gt;"",AG1039&lt;&gt;"",AI1039&gt;0,AH1039&gt;0),MAX(AC$2:AC1038)+1,"XX")</f>
        <v>XX</v>
      </c>
      <c r="AD1039" s="431" t="str">
        <f>IF('Antal &amp; Längder (vikter)'!$C$128&lt;&gt;"",'Antal &amp; Längder (vikter)'!$C$128,"XX")</f>
        <v>XX</v>
      </c>
      <c r="AE1039" s="424" t="str">
        <f>IF(AND('Antal &amp; Längder (vikter)'!H$130&lt;&gt;"",ISNUMBER($AH1039)),'Antal &amp; Längder (vikter)'!H$130,"")</f>
        <v/>
      </c>
      <c r="AF1039" s="425" t="str">
        <f t="shared" si="34"/>
        <v/>
      </c>
      <c r="AG1039" s="426" t="str">
        <f t="shared" si="35"/>
        <v/>
      </c>
      <c r="AH1039" s="410" t="str">
        <f>IF('Antal &amp; Längder (vikter)'!I$131="Längd (mm)",IF('Antal &amp; Längder (vikter)'!I138&lt;&gt;"",'Antal &amp; Längder (vikter)'!I138,"XX"),"XX")</f>
        <v>XX</v>
      </c>
      <c r="AI1039" s="195">
        <v>-9</v>
      </c>
    </row>
    <row r="1040" spans="28:35" ht="15" x14ac:dyDescent="0.25">
      <c r="AB1040" s="478" t="str">
        <f>IF(COUNT(AB1033:AB1039)&gt;0,MAX(AB1033:AB1039)+1,"")</f>
        <v/>
      </c>
      <c r="AC1040" s="433" t="str">
        <f>IF(AND(AH1040&lt;&gt;"",AG1040&lt;&gt;"",AI1040&gt;0,AH1040&gt;0),MAX(AC$2:AC1039)+1,"XX")</f>
        <v>XX</v>
      </c>
      <c r="AD1040" s="431" t="str">
        <f>IF('Antal &amp; Längder (vikter)'!$C$128&lt;&gt;"",'Antal &amp; Längder (vikter)'!$C$128,"XX")</f>
        <v>XX</v>
      </c>
      <c r="AE1040" s="424" t="str">
        <f>IF(AND('Antal &amp; Längder (vikter)'!H$130&lt;&gt;"",ISNUMBER($AH1040)),'Antal &amp; Längder (vikter)'!H$130,"")</f>
        <v/>
      </c>
      <c r="AF1040" s="425" t="str">
        <f t="shared" si="34"/>
        <v/>
      </c>
      <c r="AG1040" s="426" t="str">
        <f t="shared" si="35"/>
        <v/>
      </c>
      <c r="AH1040" s="410" t="str">
        <f>IF('Antal &amp; Längder (vikter)'!I$131="Längd (mm)",IF('Antal &amp; Längder (vikter)'!I139&lt;&gt;"",'Antal &amp; Längder (vikter)'!I139,"XX"),"XX")</f>
        <v>XX</v>
      </c>
      <c r="AI1040" s="195">
        <v>-9</v>
      </c>
    </row>
    <row r="1041" spans="28:35" ht="15" x14ac:dyDescent="0.25">
      <c r="AB1041" s="472" t="str">
        <f>IF(COUNT(AB1033:AB1040)&gt;0,MAX(AB1033:AB1040)+1,"")</f>
        <v/>
      </c>
      <c r="AC1041" s="433" t="str">
        <f>IF(AND(AH1041&lt;&gt;"",AG1041&lt;&gt;"",AI1041&gt;0,AH1041&gt;0),MAX(AC$2:AC1040)+1,"XX")</f>
        <v>XX</v>
      </c>
      <c r="AD1041" s="431" t="str">
        <f>IF('Antal &amp; Längder (vikter)'!$C$128&lt;&gt;"",'Antal &amp; Längder (vikter)'!$C$128,"XX")</f>
        <v>XX</v>
      </c>
      <c r="AE1041" s="424" t="str">
        <f>IF(AND('Antal &amp; Längder (vikter)'!H$130&lt;&gt;"",ISNUMBER($AH1041)),'Antal &amp; Längder (vikter)'!H$130,"")</f>
        <v/>
      </c>
      <c r="AF1041" s="425" t="str">
        <f t="shared" si="34"/>
        <v/>
      </c>
      <c r="AG1041" s="426" t="str">
        <f t="shared" si="35"/>
        <v/>
      </c>
      <c r="AH1041" s="410" t="str">
        <f>IF('Antal &amp; Längder (vikter)'!I$131="Längd (mm)",IF('Antal &amp; Längder (vikter)'!I140&lt;&gt;"",'Antal &amp; Längder (vikter)'!I140,"XX"),"XX")</f>
        <v>XX</v>
      </c>
      <c r="AI1041" s="195">
        <v>-9</v>
      </c>
    </row>
    <row r="1042" spans="28:35" ht="15" x14ac:dyDescent="0.25">
      <c r="AB1042" s="479" t="str">
        <f>IF(COUNT(AB1033:AB1041)&gt;0,MAX(AB1033:AB1041)+1,"")</f>
        <v/>
      </c>
      <c r="AC1042" s="433" t="str">
        <f>IF(AND(AH1042&lt;&gt;"",AG1042&lt;&gt;"",AI1042&gt;0,AH1042&gt;0),MAX(AC$2:AC1041)+1,"XX")</f>
        <v>XX</v>
      </c>
      <c r="AD1042" s="431" t="str">
        <f>IF('Antal &amp; Längder (vikter)'!$C$128&lt;&gt;"",'Antal &amp; Längder (vikter)'!$C$128,"XX")</f>
        <v>XX</v>
      </c>
      <c r="AE1042" s="424" t="str">
        <f>IF(AND('Antal &amp; Längder (vikter)'!H$130&lt;&gt;"",ISNUMBER($AH1042)),'Antal &amp; Längder (vikter)'!H$130,"")</f>
        <v/>
      </c>
      <c r="AF1042" s="425" t="str">
        <f t="shared" si="34"/>
        <v/>
      </c>
      <c r="AG1042" s="426" t="str">
        <f t="shared" si="35"/>
        <v/>
      </c>
      <c r="AH1042" s="410" t="str">
        <f>IF('Antal &amp; Längder (vikter)'!I$131="Längd (mm)",IF('Antal &amp; Längder (vikter)'!I141&lt;&gt;"",'Antal &amp; Längder (vikter)'!I141,"XX"),"XX")</f>
        <v>XX</v>
      </c>
      <c r="AI1042" s="195">
        <v>-9</v>
      </c>
    </row>
    <row r="1043" spans="28:35" x14ac:dyDescent="0.25">
      <c r="AB1043" s="480" t="str">
        <f>IF(AND(ISNUMBER(AH1043),AH1043&gt;0),IF(MAX(AB$3:AB1042)&gt;0,MAX(AB$3:AB1042)+1,10+COUNTIF(F$38:F$49,"&gt;0")*10+1),"")</f>
        <v/>
      </c>
      <c r="AC1043" s="433" t="str">
        <f>IF(AND(AH1043&lt;&gt;"",AG1043&lt;&gt;"",AI1043&gt;0,AH1043&gt;0),MAX(AC$2:AC1042)+1,"XX")</f>
        <v>XX</v>
      </c>
      <c r="AD1043" s="431" t="str">
        <f>IF('Antal &amp; Längder (vikter)'!$C$128&lt;&gt;"",'Antal &amp; Längder (vikter)'!$C$128,"XX")</f>
        <v>XX</v>
      </c>
      <c r="AE1043" s="421" t="str">
        <f>IF(AND('Antal &amp; Längder (vikter)'!J$130&lt;&gt;"",ISNUMBER($AH1043)),'Antal &amp; Längder (vikter)'!J$130,"")</f>
        <v/>
      </c>
      <c r="AF1043" s="425" t="str">
        <f t="shared" si="34"/>
        <v/>
      </c>
      <c r="AG1043" s="426" t="str">
        <f t="shared" si="35"/>
        <v/>
      </c>
      <c r="AH1043" s="404" t="str">
        <f>IF('Antal &amp; Längder (vikter)'!J132&lt;&gt;"",'Antal &amp; Längder (vikter)'!J132,"XX")</f>
        <v>XX</v>
      </c>
      <c r="AI1043" s="410">
        <f>IF('Antal &amp; Längder (vikter)'!K$131="Vikt (g)",IF('Antal &amp; Längder (vikter)'!K132&lt;&gt;"",'Antal &amp; Längder (vikter)'!K132,-9),-9)</f>
        <v>-9</v>
      </c>
    </row>
    <row r="1044" spans="28:35" x14ac:dyDescent="0.25">
      <c r="AB1044" s="476" t="str">
        <f>IF(COUNT(AB1043:AB1043)&gt;0,MAX(AB1043:AB1043)+1,"")</f>
        <v/>
      </c>
      <c r="AC1044" s="433" t="str">
        <f>IF(AND(AH1044&lt;&gt;"",AG1044&lt;&gt;"",AI1044&gt;0,AH1044&gt;0),MAX(AC$2:AC1043)+1,"XX")</f>
        <v>XX</v>
      </c>
      <c r="AD1044" s="431" t="str">
        <f>IF('Antal &amp; Längder (vikter)'!$C$128&lt;&gt;"",'Antal &amp; Längder (vikter)'!$C$128,"XX")</f>
        <v>XX</v>
      </c>
      <c r="AE1044" s="421" t="str">
        <f>IF(AND('Antal &amp; Längder (vikter)'!J$130&lt;&gt;"",ISNUMBER($AH1044)),'Antal &amp; Längder (vikter)'!J$130,"")</f>
        <v/>
      </c>
      <c r="AF1044" s="425" t="str">
        <f t="shared" si="34"/>
        <v/>
      </c>
      <c r="AG1044" s="426" t="str">
        <f t="shared" si="35"/>
        <v/>
      </c>
      <c r="AH1044" s="404" t="str">
        <f>IF('Antal &amp; Längder (vikter)'!J133&lt;&gt;"",'Antal &amp; Längder (vikter)'!J133,"XX")</f>
        <v>XX</v>
      </c>
      <c r="AI1044" s="410">
        <f>IF('Antal &amp; Längder (vikter)'!K$131="Vikt (g)",IF('Antal &amp; Längder (vikter)'!K133&lt;&gt;"",'Antal &amp; Längder (vikter)'!K133,-9),-9)</f>
        <v>-9</v>
      </c>
    </row>
    <row r="1045" spans="28:35" x14ac:dyDescent="0.25">
      <c r="AB1045" s="477" t="str">
        <f>IF(COUNT(AB1043:AB1044)&gt;0,MAX(AB1043:AB1044)+1,"")</f>
        <v/>
      </c>
      <c r="AC1045" s="433" t="str">
        <f>IF(AND(AH1045&lt;&gt;"",AG1045&lt;&gt;"",AI1045&gt;0,AH1045&gt;0),MAX(AC$2:AC1044)+1,"XX")</f>
        <v>XX</v>
      </c>
      <c r="AD1045" s="431" t="str">
        <f>IF('Antal &amp; Längder (vikter)'!$C$128&lt;&gt;"",'Antal &amp; Längder (vikter)'!$C$128,"XX")</f>
        <v>XX</v>
      </c>
      <c r="AE1045" s="421" t="str">
        <f>IF(AND('Antal &amp; Längder (vikter)'!J$130&lt;&gt;"",ISNUMBER($AH1045)),'Antal &amp; Längder (vikter)'!J$130,"")</f>
        <v/>
      </c>
      <c r="AF1045" s="425" t="str">
        <f t="shared" si="34"/>
        <v/>
      </c>
      <c r="AG1045" s="426" t="str">
        <f t="shared" si="35"/>
        <v/>
      </c>
      <c r="AH1045" s="404" t="str">
        <f>IF('Antal &amp; Längder (vikter)'!J134&lt;&gt;"",'Antal &amp; Längder (vikter)'!J134,"XX")</f>
        <v>XX</v>
      </c>
      <c r="AI1045" s="410">
        <f>IF('Antal &amp; Längder (vikter)'!K$131="Vikt (g)",IF('Antal &amp; Längder (vikter)'!K134&lt;&gt;"",'Antal &amp; Längder (vikter)'!K134,-9),-9)</f>
        <v>-9</v>
      </c>
    </row>
    <row r="1046" spans="28:35" x14ac:dyDescent="0.25">
      <c r="AB1046" s="434" t="str">
        <f>IF(COUNT(AB1043:AB1045)&gt;0,MAX(AB1043:AB1045)+1,"")</f>
        <v/>
      </c>
      <c r="AC1046" s="433" t="str">
        <f>IF(AND(AH1046&lt;&gt;"",AG1046&lt;&gt;"",AI1046&gt;0,AH1046&gt;0),MAX(AC$2:AC1045)+1,"XX")</f>
        <v>XX</v>
      </c>
      <c r="AD1046" s="431" t="str">
        <f>IF('Antal &amp; Längder (vikter)'!$C$128&lt;&gt;"",'Antal &amp; Längder (vikter)'!$C$128,"XX")</f>
        <v>XX</v>
      </c>
      <c r="AE1046" s="421" t="str">
        <f>IF(AND('Antal &amp; Längder (vikter)'!J$130&lt;&gt;"",ISNUMBER($AH1046)),'Antal &amp; Längder (vikter)'!J$130,"")</f>
        <v/>
      </c>
      <c r="AF1046" s="425" t="str">
        <f t="shared" si="34"/>
        <v/>
      </c>
      <c r="AG1046" s="426" t="str">
        <f t="shared" si="35"/>
        <v/>
      </c>
      <c r="AH1046" s="404" t="str">
        <f>IF('Antal &amp; Längder (vikter)'!J135&lt;&gt;"",'Antal &amp; Längder (vikter)'!J135,"XX")</f>
        <v>XX</v>
      </c>
      <c r="AI1046" s="410">
        <f>IF('Antal &amp; Längder (vikter)'!K$131="Vikt (g)",IF('Antal &amp; Längder (vikter)'!K135&lt;&gt;"",'Antal &amp; Längder (vikter)'!K135,-9),-9)</f>
        <v>-9</v>
      </c>
    </row>
    <row r="1047" spans="28:35" x14ac:dyDescent="0.25">
      <c r="AB1047" s="475" t="str">
        <f>IF(COUNT(AB1043:AB1046)&gt;0,MAX(AB1043:AB1046)+1,"")</f>
        <v/>
      </c>
      <c r="AC1047" s="433" t="str">
        <f>IF(AND(AH1047&lt;&gt;"",AG1047&lt;&gt;"",AI1047&gt;0,AH1047&gt;0),MAX(AC$2:AC1046)+1,"XX")</f>
        <v>XX</v>
      </c>
      <c r="AD1047" s="431" t="str">
        <f>IF('Antal &amp; Längder (vikter)'!$C$128&lt;&gt;"",'Antal &amp; Längder (vikter)'!$C$128,"XX")</f>
        <v>XX</v>
      </c>
      <c r="AE1047" s="421" t="str">
        <f>IF(AND('Antal &amp; Längder (vikter)'!J$130&lt;&gt;"",ISNUMBER($AH1047)),'Antal &amp; Längder (vikter)'!J$130,"")</f>
        <v/>
      </c>
      <c r="AF1047" s="425" t="str">
        <f t="shared" si="34"/>
        <v/>
      </c>
      <c r="AG1047" s="426" t="str">
        <f t="shared" si="35"/>
        <v/>
      </c>
      <c r="AH1047" s="404" t="str">
        <f>IF('Antal &amp; Längder (vikter)'!J136&lt;&gt;"",'Antal &amp; Längder (vikter)'!J136,"XX")</f>
        <v>XX</v>
      </c>
      <c r="AI1047" s="410">
        <f>IF('Antal &amp; Längder (vikter)'!K$131="Vikt (g)",IF('Antal &amp; Längder (vikter)'!K136&lt;&gt;"",'Antal &amp; Längder (vikter)'!K136,-9),-9)</f>
        <v>-9</v>
      </c>
    </row>
    <row r="1048" spans="28:35" x14ac:dyDescent="0.25">
      <c r="AB1048" s="471" t="str">
        <f>IF(COUNT(AB1043:AB1047)&gt;0,MAX(AB1043:AB1047)+1,"")</f>
        <v/>
      </c>
      <c r="AC1048" s="433" t="str">
        <f>IF(AND(AH1048&lt;&gt;"",AG1048&lt;&gt;"",AI1048&gt;0,AH1048&gt;0),MAX(AC$2:AC1047)+1,"XX")</f>
        <v>XX</v>
      </c>
      <c r="AD1048" s="431" t="str">
        <f>IF('Antal &amp; Längder (vikter)'!$C$128&lt;&gt;"",'Antal &amp; Längder (vikter)'!$C$128,"XX")</f>
        <v>XX</v>
      </c>
      <c r="AE1048" s="421" t="str">
        <f>IF(AND('Antal &amp; Längder (vikter)'!J$130&lt;&gt;"",ISNUMBER($AH1048)),'Antal &amp; Längder (vikter)'!J$130,"")</f>
        <v/>
      </c>
      <c r="AF1048" s="425" t="str">
        <f t="shared" si="34"/>
        <v/>
      </c>
      <c r="AG1048" s="426" t="str">
        <f t="shared" si="35"/>
        <v/>
      </c>
      <c r="AH1048" s="404" t="str">
        <f>IF('Antal &amp; Längder (vikter)'!J137&lt;&gt;"",'Antal &amp; Längder (vikter)'!J137,"XX")</f>
        <v>XX</v>
      </c>
      <c r="AI1048" s="410">
        <f>IF('Antal &amp; Längder (vikter)'!K$131="Vikt (g)",IF('Antal &amp; Längder (vikter)'!K137&lt;&gt;"",'Antal &amp; Längder (vikter)'!K137,-9),-9)</f>
        <v>-9</v>
      </c>
    </row>
    <row r="1049" spans="28:35" x14ac:dyDescent="0.25">
      <c r="AB1049" s="474" t="str">
        <f>IF(COUNT(AB1043:AB1048)&gt;0,MAX(AB1043:AB1048)+1,"")</f>
        <v/>
      </c>
      <c r="AC1049" s="433" t="str">
        <f>IF(AND(AH1049&lt;&gt;"",AG1049&lt;&gt;"",AI1049&gt;0,AH1049&gt;0),MAX(AC$2:AC1048)+1,"XX")</f>
        <v>XX</v>
      </c>
      <c r="AD1049" s="431" t="str">
        <f>IF('Antal &amp; Längder (vikter)'!$C$128&lt;&gt;"",'Antal &amp; Längder (vikter)'!$C$128,"XX")</f>
        <v>XX</v>
      </c>
      <c r="AE1049" s="421" t="str">
        <f>IF(AND('Antal &amp; Längder (vikter)'!J$130&lt;&gt;"",ISNUMBER($AH1049)),'Antal &amp; Längder (vikter)'!J$130,"")</f>
        <v/>
      </c>
      <c r="AF1049" s="425" t="str">
        <f t="shared" si="34"/>
        <v/>
      </c>
      <c r="AG1049" s="426" t="str">
        <f t="shared" si="35"/>
        <v/>
      </c>
      <c r="AH1049" s="404" t="str">
        <f>IF('Antal &amp; Längder (vikter)'!J138&lt;&gt;"",'Antal &amp; Längder (vikter)'!J138,"XX")</f>
        <v>XX</v>
      </c>
      <c r="AI1049" s="410">
        <f>IF('Antal &amp; Längder (vikter)'!K$131="Vikt (g)",IF('Antal &amp; Längder (vikter)'!K138&lt;&gt;"",'Antal &amp; Längder (vikter)'!K138,-9),-9)</f>
        <v>-9</v>
      </c>
    </row>
    <row r="1050" spans="28:35" x14ac:dyDescent="0.25">
      <c r="AB1050" s="478" t="str">
        <f>IF(COUNT(AB1043:AB1049)&gt;0,MAX(AB1043:AB1049)+1,"")</f>
        <v/>
      </c>
      <c r="AC1050" s="433" t="str">
        <f>IF(AND(AH1050&lt;&gt;"",AG1050&lt;&gt;"",AI1050&gt;0,AH1050&gt;0),MAX(AC$2:AC1049)+1,"XX")</f>
        <v>XX</v>
      </c>
      <c r="AD1050" s="431" t="str">
        <f>IF('Antal &amp; Längder (vikter)'!$C$128&lt;&gt;"",'Antal &amp; Längder (vikter)'!$C$128,"XX")</f>
        <v>XX</v>
      </c>
      <c r="AE1050" s="421" t="str">
        <f>IF(AND('Antal &amp; Längder (vikter)'!J$130&lt;&gt;"",ISNUMBER($AH1050)),'Antal &amp; Längder (vikter)'!J$130,"")</f>
        <v/>
      </c>
      <c r="AF1050" s="425" t="str">
        <f t="shared" si="34"/>
        <v/>
      </c>
      <c r="AG1050" s="426" t="str">
        <f t="shared" si="35"/>
        <v/>
      </c>
      <c r="AH1050" s="404" t="str">
        <f>IF('Antal &amp; Längder (vikter)'!J139&lt;&gt;"",'Antal &amp; Längder (vikter)'!J139,"XX")</f>
        <v>XX</v>
      </c>
      <c r="AI1050" s="410">
        <f>IF('Antal &amp; Längder (vikter)'!K$131="Vikt (g)",IF('Antal &amp; Längder (vikter)'!K139&lt;&gt;"",'Antal &amp; Längder (vikter)'!K139,-9),-9)</f>
        <v>-9</v>
      </c>
    </row>
    <row r="1051" spans="28:35" x14ac:dyDescent="0.25">
      <c r="AB1051" s="472" t="str">
        <f>IF(COUNT(AB1043:AB1050)&gt;0,MAX(AB1043:AB1050)+1,"")</f>
        <v/>
      </c>
      <c r="AC1051" s="433" t="str">
        <f>IF(AND(AH1051&lt;&gt;"",AG1051&lt;&gt;"",AI1051&gt;0,AH1051&gt;0),MAX(AC$2:AC1050)+1,"XX")</f>
        <v>XX</v>
      </c>
      <c r="AD1051" s="431" t="str">
        <f>IF('Antal &amp; Längder (vikter)'!$C$128&lt;&gt;"",'Antal &amp; Längder (vikter)'!$C$128,"XX")</f>
        <v>XX</v>
      </c>
      <c r="AE1051" s="421" t="str">
        <f>IF(AND('Antal &amp; Längder (vikter)'!J$130&lt;&gt;"",ISNUMBER($AH1051)),'Antal &amp; Längder (vikter)'!J$130,"")</f>
        <v/>
      </c>
      <c r="AF1051" s="425" t="str">
        <f t="shared" si="34"/>
        <v/>
      </c>
      <c r="AG1051" s="426" t="str">
        <f t="shared" si="35"/>
        <v/>
      </c>
      <c r="AH1051" s="404" t="str">
        <f>IF('Antal &amp; Längder (vikter)'!J140&lt;&gt;"",'Antal &amp; Längder (vikter)'!J140,"XX")</f>
        <v>XX</v>
      </c>
      <c r="AI1051" s="410">
        <f>IF('Antal &amp; Längder (vikter)'!K$131="Vikt (g)",IF('Antal &amp; Längder (vikter)'!K140&lt;&gt;"",'Antal &amp; Längder (vikter)'!K140,-9),-9)</f>
        <v>-9</v>
      </c>
    </row>
    <row r="1052" spans="28:35" x14ac:dyDescent="0.25">
      <c r="AB1052" s="479" t="str">
        <f>IF(COUNT(AB1043:AB1051)&gt;0,MAX(AB1043:AB1051)+1,"")</f>
        <v/>
      </c>
      <c r="AC1052" s="433" t="str">
        <f>IF(AND(AH1052&lt;&gt;"",AG1052&lt;&gt;"",AI1052&gt;0,AH1052&gt;0),MAX(AC$2:AC1051)+1,"XX")</f>
        <v>XX</v>
      </c>
      <c r="AD1052" s="431" t="str">
        <f>IF('Antal &amp; Längder (vikter)'!$C$128&lt;&gt;"",'Antal &amp; Längder (vikter)'!$C$128,"XX")</f>
        <v>XX</v>
      </c>
      <c r="AE1052" s="421" t="str">
        <f>IF(AND('Antal &amp; Längder (vikter)'!J$130&lt;&gt;"",ISNUMBER($AH1052)),'Antal &amp; Längder (vikter)'!J$130,"")</f>
        <v/>
      </c>
      <c r="AF1052" s="425" t="str">
        <f t="shared" si="34"/>
        <v/>
      </c>
      <c r="AG1052" s="426" t="str">
        <f t="shared" si="35"/>
        <v/>
      </c>
      <c r="AH1052" s="404" t="str">
        <f>IF('Antal &amp; Längder (vikter)'!J141&lt;&gt;"",'Antal &amp; Längder (vikter)'!J141,"XX")</f>
        <v>XX</v>
      </c>
      <c r="AI1052" s="410">
        <f>IF('Antal &amp; Längder (vikter)'!K$131="Vikt (g)",IF('Antal &amp; Längder (vikter)'!K141&lt;&gt;"",'Antal &amp; Längder (vikter)'!K141,-9),-9)</f>
        <v>-9</v>
      </c>
    </row>
    <row r="1053" spans="28:35" ht="15" x14ac:dyDescent="0.25">
      <c r="AB1053" s="480" t="str">
        <f>IF(AND(ISNUMBER(AH1053),AH1053&gt;0),IF(MAX(AB$3:AB1052)&gt;0,MAX(AB$3:AB1052)+1,10+COUNTIF(F$38:F$49,"&gt;0")*10+1),"")</f>
        <v/>
      </c>
      <c r="AC1053" s="433" t="str">
        <f>IF(AND(AH1053&lt;&gt;"",AG1053&lt;&gt;"",AI1053&gt;0,AH1053&gt;0),MAX(AC$2:AC1052)+1,"XX")</f>
        <v>XX</v>
      </c>
      <c r="AD1053" s="431" t="str">
        <f>IF('Antal &amp; Längder (vikter)'!$C$128&lt;&gt;"",'Antal &amp; Längder (vikter)'!$C$128,"XX")</f>
        <v>XX</v>
      </c>
      <c r="AE1053" s="421" t="str">
        <f>IF(AND('Antal &amp; Längder (vikter)'!J$130&lt;&gt;"",ISNUMBER($AH1053)),'Antal &amp; Längder (vikter)'!J$130,"")</f>
        <v/>
      </c>
      <c r="AF1053" s="425" t="str">
        <f t="shared" si="34"/>
        <v/>
      </c>
      <c r="AG1053" s="426" t="str">
        <f t="shared" si="35"/>
        <v/>
      </c>
      <c r="AH1053" s="410" t="str">
        <f>IF('Antal &amp; Längder (vikter)'!K$131="Längd (mm)",IF('Antal &amp; Längder (vikter)'!K132&lt;&gt;"",'Antal &amp; Längder (vikter)'!K132,"XX"),"XX")</f>
        <v>XX</v>
      </c>
      <c r="AI1053" s="195">
        <v>-9</v>
      </c>
    </row>
    <row r="1054" spans="28:35" ht="15" x14ac:dyDescent="0.25">
      <c r="AB1054" s="476" t="str">
        <f>IF(COUNT(AB1053:AB1053)&gt;0,MAX(AB1053:AB1053)+1,"")</f>
        <v/>
      </c>
      <c r="AC1054" s="433" t="str">
        <f>IF(AND(AH1054&lt;&gt;"",AG1054&lt;&gt;"",AI1054&gt;0,AH1054&gt;0),MAX(AC$2:AC1053)+1,"XX")</f>
        <v>XX</v>
      </c>
      <c r="AD1054" s="431" t="str">
        <f>IF('Antal &amp; Längder (vikter)'!$C$128&lt;&gt;"",'Antal &amp; Längder (vikter)'!$C$128,"XX")</f>
        <v>XX</v>
      </c>
      <c r="AE1054" s="421" t="str">
        <f>IF(AND('Antal &amp; Längder (vikter)'!J$130&lt;&gt;"",ISNUMBER($AH1054)),'Antal &amp; Längder (vikter)'!J$130,"")</f>
        <v/>
      </c>
      <c r="AF1054" s="425" t="str">
        <f t="shared" si="34"/>
        <v/>
      </c>
      <c r="AG1054" s="426" t="str">
        <f t="shared" si="35"/>
        <v/>
      </c>
      <c r="AH1054" s="410" t="str">
        <f>IF('Antal &amp; Längder (vikter)'!K$131="Längd (mm)",IF('Antal &amp; Längder (vikter)'!K133&lt;&gt;"",'Antal &amp; Längder (vikter)'!K133,"XX"),"XX")</f>
        <v>XX</v>
      </c>
      <c r="AI1054" s="195">
        <v>-9</v>
      </c>
    </row>
    <row r="1055" spans="28:35" ht="15" x14ac:dyDescent="0.25">
      <c r="AB1055" s="477" t="str">
        <f>IF(COUNT(AB1053:AB1054)&gt;0,MAX(AB1053:AB1054)+1,"")</f>
        <v/>
      </c>
      <c r="AC1055" s="433" t="str">
        <f>IF(AND(AH1055&lt;&gt;"",AG1055&lt;&gt;"",AI1055&gt;0,AH1055&gt;0),MAX(AC$2:AC1054)+1,"XX")</f>
        <v>XX</v>
      </c>
      <c r="AD1055" s="431" t="str">
        <f>IF('Antal &amp; Längder (vikter)'!$C$128&lt;&gt;"",'Antal &amp; Längder (vikter)'!$C$128,"XX")</f>
        <v>XX</v>
      </c>
      <c r="AE1055" s="421" t="str">
        <f>IF(AND('Antal &amp; Längder (vikter)'!J$130&lt;&gt;"",ISNUMBER($AH1055)),'Antal &amp; Längder (vikter)'!J$130,"")</f>
        <v/>
      </c>
      <c r="AF1055" s="425" t="str">
        <f t="shared" si="34"/>
        <v/>
      </c>
      <c r="AG1055" s="426" t="str">
        <f t="shared" si="35"/>
        <v/>
      </c>
      <c r="AH1055" s="410" t="str">
        <f>IF('Antal &amp; Längder (vikter)'!K$131="Längd (mm)",IF('Antal &amp; Längder (vikter)'!K134&lt;&gt;"",'Antal &amp; Längder (vikter)'!K134,"XX"),"XX")</f>
        <v>XX</v>
      </c>
      <c r="AI1055" s="195">
        <v>-9</v>
      </c>
    </row>
    <row r="1056" spans="28:35" ht="15" x14ac:dyDescent="0.25">
      <c r="AB1056" s="434" t="str">
        <f>IF(COUNT(AB1053:AB1055)&gt;0,MAX(AB1053:AB1055)+1,"")</f>
        <v/>
      </c>
      <c r="AC1056" s="433" t="str">
        <f>IF(AND(AH1056&lt;&gt;"",AG1056&lt;&gt;"",AI1056&gt;0,AH1056&gt;0),MAX(AC$2:AC1055)+1,"XX")</f>
        <v>XX</v>
      </c>
      <c r="AD1056" s="431" t="str">
        <f>IF('Antal &amp; Längder (vikter)'!$C$128&lt;&gt;"",'Antal &amp; Längder (vikter)'!$C$128,"XX")</f>
        <v>XX</v>
      </c>
      <c r="AE1056" s="421" t="str">
        <f>IF(AND('Antal &amp; Längder (vikter)'!J$130&lt;&gt;"",ISNUMBER($AH1056)),'Antal &amp; Längder (vikter)'!J$130,"")</f>
        <v/>
      </c>
      <c r="AF1056" s="425" t="str">
        <f t="shared" si="34"/>
        <v/>
      </c>
      <c r="AG1056" s="426" t="str">
        <f t="shared" si="35"/>
        <v/>
      </c>
      <c r="AH1056" s="410" t="str">
        <f>IF('Antal &amp; Längder (vikter)'!K$131="Längd (mm)",IF('Antal &amp; Längder (vikter)'!K135&lt;&gt;"",'Antal &amp; Längder (vikter)'!K135,"XX"),"XX")</f>
        <v>XX</v>
      </c>
      <c r="AI1056" s="195">
        <v>-9</v>
      </c>
    </row>
    <row r="1057" spans="28:35" ht="15" x14ac:dyDescent="0.25">
      <c r="AB1057" s="475" t="str">
        <f>IF(COUNT(AB1053:AB1056)&gt;0,MAX(AB1053:AB1056)+1,"")</f>
        <v/>
      </c>
      <c r="AC1057" s="433" t="str">
        <f>IF(AND(AH1057&lt;&gt;"",AG1057&lt;&gt;"",AI1057&gt;0,AH1057&gt;0),MAX(AC$2:AC1056)+1,"XX")</f>
        <v>XX</v>
      </c>
      <c r="AD1057" s="431" t="str">
        <f>IF('Antal &amp; Längder (vikter)'!$C$128&lt;&gt;"",'Antal &amp; Längder (vikter)'!$C$128,"XX")</f>
        <v>XX</v>
      </c>
      <c r="AE1057" s="421" t="str">
        <f>IF(AND('Antal &amp; Längder (vikter)'!J$130&lt;&gt;"",ISNUMBER($AH1057)),'Antal &amp; Längder (vikter)'!J$130,"")</f>
        <v/>
      </c>
      <c r="AF1057" s="425" t="str">
        <f t="shared" si="34"/>
        <v/>
      </c>
      <c r="AG1057" s="426" t="str">
        <f t="shared" si="35"/>
        <v/>
      </c>
      <c r="AH1057" s="410" t="str">
        <f>IF('Antal &amp; Längder (vikter)'!K$131="Längd (mm)",IF('Antal &amp; Längder (vikter)'!K136&lt;&gt;"",'Antal &amp; Längder (vikter)'!K136,"XX"),"XX")</f>
        <v>XX</v>
      </c>
      <c r="AI1057" s="195">
        <v>-9</v>
      </c>
    </row>
    <row r="1058" spans="28:35" ht="15" x14ac:dyDescent="0.25">
      <c r="AB1058" s="471" t="str">
        <f>IF(COUNT(AB1053:AB1057)&gt;0,MAX(AB1053:AB1057)+1,"")</f>
        <v/>
      </c>
      <c r="AC1058" s="433" t="str">
        <f>IF(AND(AH1058&lt;&gt;"",AG1058&lt;&gt;"",AI1058&gt;0,AH1058&gt;0),MAX(AC$2:AC1057)+1,"XX")</f>
        <v>XX</v>
      </c>
      <c r="AD1058" s="431" t="str">
        <f>IF('Antal &amp; Längder (vikter)'!$C$128&lt;&gt;"",'Antal &amp; Längder (vikter)'!$C$128,"XX")</f>
        <v>XX</v>
      </c>
      <c r="AE1058" s="421" t="str">
        <f>IF(AND('Antal &amp; Längder (vikter)'!J$130&lt;&gt;"",ISNUMBER($AH1058)),'Antal &amp; Längder (vikter)'!J$130,"")</f>
        <v/>
      </c>
      <c r="AF1058" s="425" t="str">
        <f t="shared" si="34"/>
        <v/>
      </c>
      <c r="AG1058" s="426" t="str">
        <f t="shared" si="35"/>
        <v/>
      </c>
      <c r="AH1058" s="410" t="str">
        <f>IF('Antal &amp; Längder (vikter)'!K$131="Längd (mm)",IF('Antal &amp; Längder (vikter)'!K137&lt;&gt;"",'Antal &amp; Längder (vikter)'!K137,"XX"),"XX")</f>
        <v>XX</v>
      </c>
      <c r="AI1058" s="195">
        <v>-9</v>
      </c>
    </row>
    <row r="1059" spans="28:35" ht="15" x14ac:dyDescent="0.25">
      <c r="AB1059" s="474" t="str">
        <f>IF(COUNT(AB1053:AB1058)&gt;0,MAX(AB1053:AB1058)+1,"")</f>
        <v/>
      </c>
      <c r="AC1059" s="433" t="str">
        <f>IF(AND(AH1059&lt;&gt;"",AG1059&lt;&gt;"",AI1059&gt;0,AH1059&gt;0),MAX(AC$2:AC1058)+1,"XX")</f>
        <v>XX</v>
      </c>
      <c r="AD1059" s="431" t="str">
        <f>IF('Antal &amp; Längder (vikter)'!$C$128&lt;&gt;"",'Antal &amp; Längder (vikter)'!$C$128,"XX")</f>
        <v>XX</v>
      </c>
      <c r="AE1059" s="421" t="str">
        <f>IF(AND('Antal &amp; Längder (vikter)'!J$130&lt;&gt;"",ISNUMBER($AH1059)),'Antal &amp; Längder (vikter)'!J$130,"")</f>
        <v/>
      </c>
      <c r="AF1059" s="425" t="str">
        <f t="shared" si="34"/>
        <v/>
      </c>
      <c r="AG1059" s="426" t="str">
        <f t="shared" si="35"/>
        <v/>
      </c>
      <c r="AH1059" s="410" t="str">
        <f>IF('Antal &amp; Längder (vikter)'!K$131="Längd (mm)",IF('Antal &amp; Längder (vikter)'!K138&lt;&gt;"",'Antal &amp; Längder (vikter)'!K138,"XX"),"XX")</f>
        <v>XX</v>
      </c>
      <c r="AI1059" s="195">
        <v>-9</v>
      </c>
    </row>
    <row r="1060" spans="28:35" ht="15" x14ac:dyDescent="0.25">
      <c r="AB1060" s="478" t="str">
        <f>IF(COUNT(AB1053:AB1059)&gt;0,MAX(AB1053:AB1059)+1,"")</f>
        <v/>
      </c>
      <c r="AC1060" s="433" t="str">
        <f>IF(AND(AH1060&lt;&gt;"",AG1060&lt;&gt;"",AI1060&gt;0,AH1060&gt;0),MAX(AC$2:AC1059)+1,"XX")</f>
        <v>XX</v>
      </c>
      <c r="AD1060" s="431" t="str">
        <f>IF('Antal &amp; Längder (vikter)'!$C$128&lt;&gt;"",'Antal &amp; Längder (vikter)'!$C$128,"XX")</f>
        <v>XX</v>
      </c>
      <c r="AE1060" s="421" t="str">
        <f>IF(AND('Antal &amp; Längder (vikter)'!J$130&lt;&gt;"",ISNUMBER($AH1060)),'Antal &amp; Längder (vikter)'!J$130,"")</f>
        <v/>
      </c>
      <c r="AF1060" s="425" t="str">
        <f t="shared" si="34"/>
        <v/>
      </c>
      <c r="AG1060" s="426" t="str">
        <f t="shared" si="35"/>
        <v/>
      </c>
      <c r="AH1060" s="410" t="str">
        <f>IF('Antal &amp; Längder (vikter)'!K$131="Längd (mm)",IF('Antal &amp; Längder (vikter)'!K139&lt;&gt;"",'Antal &amp; Längder (vikter)'!K139,"XX"),"XX")</f>
        <v>XX</v>
      </c>
      <c r="AI1060" s="195">
        <v>-9</v>
      </c>
    </row>
    <row r="1061" spans="28:35" ht="15" x14ac:dyDescent="0.25">
      <c r="AB1061" s="472" t="str">
        <f>IF(COUNT(AB1053:AB1060)&gt;0,MAX(AB1053:AB1060)+1,"")</f>
        <v/>
      </c>
      <c r="AC1061" s="433" t="str">
        <f>IF(AND(AH1061&lt;&gt;"",AG1061&lt;&gt;"",AI1061&gt;0,AH1061&gt;0),MAX(AC$2:AC1060)+1,"XX")</f>
        <v>XX</v>
      </c>
      <c r="AD1061" s="431" t="str">
        <f>IF('Antal &amp; Längder (vikter)'!$C$128&lt;&gt;"",'Antal &amp; Längder (vikter)'!$C$128,"XX")</f>
        <v>XX</v>
      </c>
      <c r="AE1061" s="421" t="str">
        <f>IF(AND('Antal &amp; Längder (vikter)'!J$130&lt;&gt;"",ISNUMBER($AH1061)),'Antal &amp; Längder (vikter)'!J$130,"")</f>
        <v/>
      </c>
      <c r="AF1061" s="425" t="str">
        <f t="shared" si="34"/>
        <v/>
      </c>
      <c r="AG1061" s="426" t="str">
        <f t="shared" si="35"/>
        <v/>
      </c>
      <c r="AH1061" s="410" t="str">
        <f>IF('Antal &amp; Längder (vikter)'!K$131="Längd (mm)",IF('Antal &amp; Längder (vikter)'!K140&lt;&gt;"",'Antal &amp; Längder (vikter)'!K140,"XX"),"XX")</f>
        <v>XX</v>
      </c>
      <c r="AI1061" s="195">
        <v>-9</v>
      </c>
    </row>
    <row r="1062" spans="28:35" ht="15" x14ac:dyDescent="0.25">
      <c r="AB1062" s="479" t="str">
        <f>IF(COUNT(AB1053:AB1061)&gt;0,MAX(AB1053:AB1061)+1,"")</f>
        <v/>
      </c>
      <c r="AC1062" s="433" t="str">
        <f>IF(AND(AH1062&lt;&gt;"",AG1062&lt;&gt;"",AI1062&gt;0,AH1062&gt;0),MAX(AC$2:AC1061)+1,"XX")</f>
        <v>XX</v>
      </c>
      <c r="AD1062" s="431" t="str">
        <f>IF('Antal &amp; Längder (vikter)'!$C$128&lt;&gt;"",'Antal &amp; Längder (vikter)'!$C$128,"XX")</f>
        <v>XX</v>
      </c>
      <c r="AE1062" s="421" t="str">
        <f>IF(AND('Antal &amp; Längder (vikter)'!J$130&lt;&gt;"",ISNUMBER($AH1062)),'Antal &amp; Längder (vikter)'!J$130,"")</f>
        <v/>
      </c>
      <c r="AF1062" s="425" t="str">
        <f t="shared" si="34"/>
        <v/>
      </c>
      <c r="AG1062" s="426" t="str">
        <f t="shared" si="35"/>
        <v/>
      </c>
      <c r="AH1062" s="410" t="str">
        <f>IF('Antal &amp; Längder (vikter)'!K$131="Längd (mm)",IF('Antal &amp; Längder (vikter)'!K141&lt;&gt;"",'Antal &amp; Längder (vikter)'!K141,"XX"),"XX")</f>
        <v>XX</v>
      </c>
      <c r="AI1062" s="195">
        <v>-9</v>
      </c>
    </row>
    <row r="1063" spans="28:35" x14ac:dyDescent="0.25">
      <c r="AB1063" s="480" t="str">
        <f>IF(AND(ISNUMBER(AH1063),AH1063&gt;0),IF(MAX(AB$3:AB1062)&gt;0,MAX(AB$3:AB1062)+1,10+COUNTIF(F$38:F$49,"&gt;0")*10+1),"")</f>
        <v/>
      </c>
      <c r="AC1063" s="433" t="str">
        <f>IF(AND(AH1063&lt;&gt;"",AG1063&lt;&gt;"",AI1063&gt;0,AH1063&gt;0),MAX(AC$2:AC1062)+1,"XX")</f>
        <v>XX</v>
      </c>
      <c r="AD1063" s="431" t="str">
        <f>IF('Antal &amp; Längder (vikter)'!$C$128&lt;&gt;"",'Antal &amp; Längder (vikter)'!$C$128,"XX")</f>
        <v>XX</v>
      </c>
      <c r="AE1063" s="424" t="str">
        <f>IF(AND('Antal &amp; Längder (vikter)'!L$130&lt;&gt;"",ISNUMBER($AH1063)),'Antal &amp; Längder (vikter)'!L$130,"")</f>
        <v/>
      </c>
      <c r="AF1063" s="425" t="str">
        <f t="shared" si="34"/>
        <v/>
      </c>
      <c r="AG1063" s="426" t="str">
        <f t="shared" si="35"/>
        <v/>
      </c>
      <c r="AH1063" s="404" t="str">
        <f>IF('Antal &amp; Längder (vikter)'!L132&lt;&gt;"",'Antal &amp; Längder (vikter)'!L132,"XX")</f>
        <v>XX</v>
      </c>
      <c r="AI1063" s="410">
        <f>IF('Antal &amp; Längder (vikter)'!M$131="Vikt (g)",IF('Antal &amp; Längder (vikter)'!M132&lt;&gt;"",'Antal &amp; Längder (vikter)'!M132,-9),-9)</f>
        <v>-9</v>
      </c>
    </row>
    <row r="1064" spans="28:35" x14ac:dyDescent="0.25">
      <c r="AB1064" s="476" t="str">
        <f>IF(COUNT(AB1063:AB1063)&gt;0,MAX(AB1063:AB1063)+1,"")</f>
        <v/>
      </c>
      <c r="AC1064" s="433" t="str">
        <f>IF(AND(AH1064&lt;&gt;"",AG1064&lt;&gt;"",AI1064&gt;0,AH1064&gt;0),MAX(AC$2:AC1063)+1,"XX")</f>
        <v>XX</v>
      </c>
      <c r="AD1064" s="431" t="str">
        <f>IF('Antal &amp; Längder (vikter)'!$C$128&lt;&gt;"",'Antal &amp; Längder (vikter)'!$C$128,"XX")</f>
        <v>XX</v>
      </c>
      <c r="AE1064" s="424" t="str">
        <f>IF(AND('Antal &amp; Längder (vikter)'!L$130&lt;&gt;"",ISNUMBER($AH1064)),'Antal &amp; Längder (vikter)'!L$130,"")</f>
        <v/>
      </c>
      <c r="AF1064" s="425" t="str">
        <f t="shared" si="34"/>
        <v/>
      </c>
      <c r="AG1064" s="426" t="str">
        <f t="shared" si="35"/>
        <v/>
      </c>
      <c r="AH1064" s="404" t="str">
        <f>IF('Antal &amp; Längder (vikter)'!L133&lt;&gt;"",'Antal &amp; Längder (vikter)'!L133,"XX")</f>
        <v>XX</v>
      </c>
      <c r="AI1064" s="410">
        <f>IF('Antal &amp; Längder (vikter)'!M$131="Vikt (g)",IF('Antal &amp; Längder (vikter)'!M133&lt;&gt;"",'Antal &amp; Längder (vikter)'!M133,-9),-9)</f>
        <v>-9</v>
      </c>
    </row>
    <row r="1065" spans="28:35" x14ac:dyDescent="0.25">
      <c r="AB1065" s="477" t="str">
        <f>IF(COUNT(AB1063:AB1064)&gt;0,MAX(AB1063:AB1064)+1,"")</f>
        <v/>
      </c>
      <c r="AC1065" s="433" t="str">
        <f>IF(AND(AH1065&lt;&gt;"",AG1065&lt;&gt;"",AI1065&gt;0,AH1065&gt;0),MAX(AC$2:AC1064)+1,"XX")</f>
        <v>XX</v>
      </c>
      <c r="AD1065" s="431" t="str">
        <f>IF('Antal &amp; Längder (vikter)'!$C$128&lt;&gt;"",'Antal &amp; Längder (vikter)'!$C$128,"XX")</f>
        <v>XX</v>
      </c>
      <c r="AE1065" s="424" t="str">
        <f>IF(AND('Antal &amp; Längder (vikter)'!L$130&lt;&gt;"",ISNUMBER($AH1065)),'Antal &amp; Längder (vikter)'!L$130,"")</f>
        <v/>
      </c>
      <c r="AF1065" s="425" t="str">
        <f t="shared" si="34"/>
        <v/>
      </c>
      <c r="AG1065" s="426" t="str">
        <f t="shared" si="35"/>
        <v/>
      </c>
      <c r="AH1065" s="404" t="str">
        <f>IF('Antal &amp; Längder (vikter)'!L134&lt;&gt;"",'Antal &amp; Längder (vikter)'!L134,"XX")</f>
        <v>XX</v>
      </c>
      <c r="AI1065" s="410">
        <f>IF('Antal &amp; Längder (vikter)'!M$131="Vikt (g)",IF('Antal &amp; Längder (vikter)'!M134&lt;&gt;"",'Antal &amp; Längder (vikter)'!M134,-9),-9)</f>
        <v>-9</v>
      </c>
    </row>
    <row r="1066" spans="28:35" x14ac:dyDescent="0.25">
      <c r="AB1066" s="434" t="str">
        <f>IF(COUNT(AB1063:AB1065)&gt;0,MAX(AB1063:AB1065)+1,"")</f>
        <v/>
      </c>
      <c r="AC1066" s="433" t="str">
        <f>IF(AND(AH1066&lt;&gt;"",AG1066&lt;&gt;"",AI1066&gt;0,AH1066&gt;0),MAX(AC$2:AC1065)+1,"XX")</f>
        <v>XX</v>
      </c>
      <c r="AD1066" s="431" t="str">
        <f>IF('Antal &amp; Längder (vikter)'!$C$128&lt;&gt;"",'Antal &amp; Längder (vikter)'!$C$128,"XX")</f>
        <v>XX</v>
      </c>
      <c r="AE1066" s="424" t="str">
        <f>IF(AND('Antal &amp; Längder (vikter)'!L$130&lt;&gt;"",ISNUMBER($AH1066)),'Antal &amp; Längder (vikter)'!L$130,"")</f>
        <v/>
      </c>
      <c r="AF1066" s="425" t="str">
        <f t="shared" si="34"/>
        <v/>
      </c>
      <c r="AG1066" s="426" t="str">
        <f t="shared" si="35"/>
        <v/>
      </c>
      <c r="AH1066" s="404" t="str">
        <f>IF('Antal &amp; Längder (vikter)'!L135&lt;&gt;"",'Antal &amp; Längder (vikter)'!L135,"XX")</f>
        <v>XX</v>
      </c>
      <c r="AI1066" s="410">
        <f>IF('Antal &amp; Längder (vikter)'!M$131="Vikt (g)",IF('Antal &amp; Längder (vikter)'!M135&lt;&gt;"",'Antal &amp; Längder (vikter)'!M135,-9),-9)</f>
        <v>-9</v>
      </c>
    </row>
    <row r="1067" spans="28:35" x14ac:dyDescent="0.25">
      <c r="AB1067" s="475" t="str">
        <f>IF(COUNT(AB1063:AB1066)&gt;0,MAX(AB1063:AB1066)+1,"")</f>
        <v/>
      </c>
      <c r="AC1067" s="433" t="str">
        <f>IF(AND(AH1067&lt;&gt;"",AG1067&lt;&gt;"",AI1067&gt;0,AH1067&gt;0),MAX(AC$2:AC1066)+1,"XX")</f>
        <v>XX</v>
      </c>
      <c r="AD1067" s="431" t="str">
        <f>IF('Antal &amp; Längder (vikter)'!$C$128&lt;&gt;"",'Antal &amp; Längder (vikter)'!$C$128,"XX")</f>
        <v>XX</v>
      </c>
      <c r="AE1067" s="424" t="str">
        <f>IF(AND('Antal &amp; Längder (vikter)'!L$130&lt;&gt;"",ISNUMBER($AH1067)),'Antal &amp; Längder (vikter)'!L$130,"")</f>
        <v/>
      </c>
      <c r="AF1067" s="425" t="str">
        <f t="shared" si="34"/>
        <v/>
      </c>
      <c r="AG1067" s="426" t="str">
        <f t="shared" si="35"/>
        <v/>
      </c>
      <c r="AH1067" s="404" t="str">
        <f>IF('Antal &amp; Längder (vikter)'!L136&lt;&gt;"",'Antal &amp; Längder (vikter)'!L136,"XX")</f>
        <v>XX</v>
      </c>
      <c r="AI1067" s="410">
        <f>IF('Antal &amp; Längder (vikter)'!M$131="Vikt (g)",IF('Antal &amp; Längder (vikter)'!M136&lt;&gt;"",'Antal &amp; Längder (vikter)'!M136,-9),-9)</f>
        <v>-9</v>
      </c>
    </row>
    <row r="1068" spans="28:35" x14ac:dyDescent="0.25">
      <c r="AB1068" s="471" t="str">
        <f>IF(COUNT(AB1063:AB1067)&gt;0,MAX(AB1063:AB1067)+1,"")</f>
        <v/>
      </c>
      <c r="AC1068" s="433" t="str">
        <f>IF(AND(AH1068&lt;&gt;"",AG1068&lt;&gt;"",AI1068&gt;0,AH1068&gt;0),MAX(AC$2:AC1067)+1,"XX")</f>
        <v>XX</v>
      </c>
      <c r="AD1068" s="431" t="str">
        <f>IF('Antal &amp; Längder (vikter)'!$C$128&lt;&gt;"",'Antal &amp; Längder (vikter)'!$C$128,"XX")</f>
        <v>XX</v>
      </c>
      <c r="AE1068" s="424" t="str">
        <f>IF(AND('Antal &amp; Längder (vikter)'!L$130&lt;&gt;"",ISNUMBER($AH1068)),'Antal &amp; Längder (vikter)'!L$130,"")</f>
        <v/>
      </c>
      <c r="AF1068" s="425" t="str">
        <f t="shared" si="34"/>
        <v/>
      </c>
      <c r="AG1068" s="426" t="str">
        <f t="shared" si="35"/>
        <v/>
      </c>
      <c r="AH1068" s="404" t="str">
        <f>IF('Antal &amp; Längder (vikter)'!L137&lt;&gt;"",'Antal &amp; Längder (vikter)'!L137,"XX")</f>
        <v>XX</v>
      </c>
      <c r="AI1068" s="410">
        <f>IF('Antal &amp; Längder (vikter)'!M$131="Vikt (g)",IF('Antal &amp; Längder (vikter)'!M137&lt;&gt;"",'Antal &amp; Längder (vikter)'!M137,-9),-9)</f>
        <v>-9</v>
      </c>
    </row>
    <row r="1069" spans="28:35" x14ac:dyDescent="0.25">
      <c r="AB1069" s="474" t="str">
        <f>IF(COUNT(AB1063:AB1068)&gt;0,MAX(AB1063:AB1068)+1,"")</f>
        <v/>
      </c>
      <c r="AC1069" s="433" t="str">
        <f>IF(AND(AH1069&lt;&gt;"",AG1069&lt;&gt;"",AI1069&gt;0,AH1069&gt;0),MAX(AC$2:AC1068)+1,"XX")</f>
        <v>XX</v>
      </c>
      <c r="AD1069" s="431" t="str">
        <f>IF('Antal &amp; Längder (vikter)'!$C$128&lt;&gt;"",'Antal &amp; Längder (vikter)'!$C$128,"XX")</f>
        <v>XX</v>
      </c>
      <c r="AE1069" s="424" t="str">
        <f>IF(AND('Antal &amp; Längder (vikter)'!L$130&lt;&gt;"",ISNUMBER($AH1069)),'Antal &amp; Längder (vikter)'!L$130,"")</f>
        <v/>
      </c>
      <c r="AF1069" s="425" t="str">
        <f t="shared" si="34"/>
        <v/>
      </c>
      <c r="AG1069" s="426" t="str">
        <f t="shared" si="35"/>
        <v/>
      </c>
      <c r="AH1069" s="404" t="str">
        <f>IF('Antal &amp; Längder (vikter)'!L138&lt;&gt;"",'Antal &amp; Längder (vikter)'!L138,"XX")</f>
        <v>XX</v>
      </c>
      <c r="AI1069" s="410">
        <f>IF('Antal &amp; Längder (vikter)'!M$131="Vikt (g)",IF('Antal &amp; Längder (vikter)'!M138&lt;&gt;"",'Antal &amp; Längder (vikter)'!M138,-9),-9)</f>
        <v>-9</v>
      </c>
    </row>
    <row r="1070" spans="28:35" x14ac:dyDescent="0.25">
      <c r="AB1070" s="478" t="str">
        <f>IF(COUNT(AB1063:AB1069)&gt;0,MAX(AB1063:AB1069)+1,"")</f>
        <v/>
      </c>
      <c r="AC1070" s="433" t="str">
        <f>IF(AND(AH1070&lt;&gt;"",AG1070&lt;&gt;"",AI1070&gt;0,AH1070&gt;0),MAX(AC$2:AC1069)+1,"XX")</f>
        <v>XX</v>
      </c>
      <c r="AD1070" s="431" t="str">
        <f>IF('Antal &amp; Längder (vikter)'!$C$128&lt;&gt;"",'Antal &amp; Längder (vikter)'!$C$128,"XX")</f>
        <v>XX</v>
      </c>
      <c r="AE1070" s="424" t="str">
        <f>IF(AND('Antal &amp; Längder (vikter)'!L$130&lt;&gt;"",ISNUMBER($AH1070)),'Antal &amp; Längder (vikter)'!L$130,"")</f>
        <v/>
      </c>
      <c r="AF1070" s="425" t="str">
        <f t="shared" si="34"/>
        <v/>
      </c>
      <c r="AG1070" s="426" t="str">
        <f t="shared" si="35"/>
        <v/>
      </c>
      <c r="AH1070" s="404" t="str">
        <f>IF('Antal &amp; Längder (vikter)'!L139&lt;&gt;"",'Antal &amp; Längder (vikter)'!L139,"XX")</f>
        <v>XX</v>
      </c>
      <c r="AI1070" s="410">
        <f>IF('Antal &amp; Längder (vikter)'!M$131="Vikt (g)",IF('Antal &amp; Längder (vikter)'!M139&lt;&gt;"",'Antal &amp; Längder (vikter)'!M139,-9),-9)</f>
        <v>-9</v>
      </c>
    </row>
    <row r="1071" spans="28:35" x14ac:dyDescent="0.25">
      <c r="AB1071" s="472" t="str">
        <f>IF(COUNT(AB1063:AB1070)&gt;0,MAX(AB1063:AB1070)+1,"")</f>
        <v/>
      </c>
      <c r="AC1071" s="433" t="str">
        <f>IF(AND(AH1071&lt;&gt;"",AG1071&lt;&gt;"",AI1071&gt;0,AH1071&gt;0),MAX(AC$2:AC1070)+1,"XX")</f>
        <v>XX</v>
      </c>
      <c r="AD1071" s="431" t="str">
        <f>IF('Antal &amp; Längder (vikter)'!$C$128&lt;&gt;"",'Antal &amp; Längder (vikter)'!$C$128,"XX")</f>
        <v>XX</v>
      </c>
      <c r="AE1071" s="424" t="str">
        <f>IF(AND('Antal &amp; Längder (vikter)'!L$130&lt;&gt;"",ISNUMBER($AH1071)),'Antal &amp; Längder (vikter)'!L$130,"")</f>
        <v/>
      </c>
      <c r="AF1071" s="425" t="str">
        <f t="shared" si="34"/>
        <v/>
      </c>
      <c r="AG1071" s="426" t="str">
        <f t="shared" si="35"/>
        <v/>
      </c>
      <c r="AH1071" s="404" t="str">
        <f>IF('Antal &amp; Längder (vikter)'!L140&lt;&gt;"",'Antal &amp; Längder (vikter)'!L140,"XX")</f>
        <v>XX</v>
      </c>
      <c r="AI1071" s="410">
        <f>IF('Antal &amp; Längder (vikter)'!M$131="Vikt (g)",IF('Antal &amp; Längder (vikter)'!M140&lt;&gt;"",'Antal &amp; Längder (vikter)'!M140,-9),-9)</f>
        <v>-9</v>
      </c>
    </row>
    <row r="1072" spans="28:35" x14ac:dyDescent="0.25">
      <c r="AB1072" s="479" t="str">
        <f>IF(COUNT(AB1063:AB1071)&gt;0,MAX(AB1063:AB1071)+1,"")</f>
        <v/>
      </c>
      <c r="AC1072" s="433" t="str">
        <f>IF(AND(AH1072&lt;&gt;"",AG1072&lt;&gt;"",AI1072&gt;0,AH1072&gt;0),MAX(AC$2:AC1071)+1,"XX")</f>
        <v>XX</v>
      </c>
      <c r="AD1072" s="431" t="str">
        <f>IF('Antal &amp; Längder (vikter)'!$C$128&lt;&gt;"",'Antal &amp; Längder (vikter)'!$C$128,"XX")</f>
        <v>XX</v>
      </c>
      <c r="AE1072" s="424" t="str">
        <f>IF(AND('Antal &amp; Längder (vikter)'!L$130&lt;&gt;"",ISNUMBER($AH1072)),'Antal &amp; Längder (vikter)'!L$130,"")</f>
        <v/>
      </c>
      <c r="AF1072" s="425" t="str">
        <f t="shared" si="34"/>
        <v/>
      </c>
      <c r="AG1072" s="426" t="str">
        <f t="shared" si="35"/>
        <v/>
      </c>
      <c r="AH1072" s="404" t="str">
        <f>IF('Antal &amp; Längder (vikter)'!L141&lt;&gt;"",'Antal &amp; Längder (vikter)'!L141,"XX")</f>
        <v>XX</v>
      </c>
      <c r="AI1072" s="410">
        <f>IF('Antal &amp; Längder (vikter)'!M$131="Vikt (g)",IF('Antal &amp; Längder (vikter)'!M141&lt;&gt;"",'Antal &amp; Längder (vikter)'!M141,-9),-9)</f>
        <v>-9</v>
      </c>
    </row>
    <row r="1073" spans="28:35" ht="15" x14ac:dyDescent="0.25">
      <c r="AB1073" s="480" t="str">
        <f>IF(AND(ISNUMBER(AH1073),AH1073&gt;0),IF(MAX(AB$3:AB1072)&gt;0,MAX(AB$3:AB1072)+1,10+COUNTIF(F$38:F$49,"&gt;0")*10+1),"")</f>
        <v/>
      </c>
      <c r="AC1073" s="433" t="str">
        <f>IF(AND(AH1073&lt;&gt;"",AG1073&lt;&gt;"",AI1073&gt;0,AH1073&gt;0),MAX(AC$2:AC1072)+1,"XX")</f>
        <v>XX</v>
      </c>
      <c r="AD1073" s="431" t="str">
        <f>IF('Antal &amp; Längder (vikter)'!$C$128&lt;&gt;"",'Antal &amp; Längder (vikter)'!$C$128,"XX")</f>
        <v>XX</v>
      </c>
      <c r="AE1073" s="424" t="str">
        <f>IF(AND('Antal &amp; Längder (vikter)'!L$130&lt;&gt;"",ISNUMBER($AH1073)),'Antal &amp; Längder (vikter)'!L$130,"")</f>
        <v/>
      </c>
      <c r="AF1073" s="425" t="str">
        <f t="shared" si="34"/>
        <v/>
      </c>
      <c r="AG1073" s="426" t="str">
        <f t="shared" si="35"/>
        <v/>
      </c>
      <c r="AH1073" s="410" t="str">
        <f>IF('Antal &amp; Längder (vikter)'!M$131="Längd (mm)",IF('Antal &amp; Längder (vikter)'!M132&lt;&gt;"",'Antal &amp; Längder (vikter)'!M132,"XX"),"XX")</f>
        <v>XX</v>
      </c>
      <c r="AI1073" s="195">
        <v>-9</v>
      </c>
    </row>
    <row r="1074" spans="28:35" ht="15" x14ac:dyDescent="0.25">
      <c r="AB1074" s="476" t="str">
        <f>IF(COUNT(AB1073:AB1073)&gt;0,MAX(AB1073:AB1073)+1,"")</f>
        <v/>
      </c>
      <c r="AC1074" s="433" t="str">
        <f>IF(AND(AH1074&lt;&gt;"",AG1074&lt;&gt;"",AI1074&gt;0,AH1074&gt;0),MAX(AC$2:AC1073)+1,"XX")</f>
        <v>XX</v>
      </c>
      <c r="AD1074" s="431" t="str">
        <f>IF('Antal &amp; Längder (vikter)'!$C$128&lt;&gt;"",'Antal &amp; Längder (vikter)'!$C$128,"XX")</f>
        <v>XX</v>
      </c>
      <c r="AE1074" s="424" t="str">
        <f>IF(AND('Antal &amp; Längder (vikter)'!L$130&lt;&gt;"",ISNUMBER($AH1074)),'Antal &amp; Längder (vikter)'!L$130,"")</f>
        <v/>
      </c>
      <c r="AF1074" s="425" t="str">
        <f t="shared" si="34"/>
        <v/>
      </c>
      <c r="AG1074" s="426" t="str">
        <f t="shared" si="35"/>
        <v/>
      </c>
      <c r="AH1074" s="410" t="str">
        <f>IF('Antal &amp; Längder (vikter)'!M$131="Längd (mm)",IF('Antal &amp; Längder (vikter)'!M133&lt;&gt;"",'Antal &amp; Längder (vikter)'!M133,"XX"),"XX")</f>
        <v>XX</v>
      </c>
      <c r="AI1074" s="195">
        <v>-9</v>
      </c>
    </row>
    <row r="1075" spans="28:35" ht="15" x14ac:dyDescent="0.25">
      <c r="AB1075" s="477" t="str">
        <f>IF(COUNT(AB1073:AB1074)&gt;0,MAX(AB1073:AB1074)+1,"")</f>
        <v/>
      </c>
      <c r="AC1075" s="433" t="str">
        <f>IF(AND(AH1075&lt;&gt;"",AG1075&lt;&gt;"",AI1075&gt;0,AH1075&gt;0),MAX(AC$2:AC1074)+1,"XX")</f>
        <v>XX</v>
      </c>
      <c r="AD1075" s="431" t="str">
        <f>IF('Antal &amp; Längder (vikter)'!$C$128&lt;&gt;"",'Antal &amp; Längder (vikter)'!$C$128,"XX")</f>
        <v>XX</v>
      </c>
      <c r="AE1075" s="424" t="str">
        <f>IF(AND('Antal &amp; Längder (vikter)'!L$130&lt;&gt;"",ISNUMBER($AH1075)),'Antal &amp; Längder (vikter)'!L$130,"")</f>
        <v/>
      </c>
      <c r="AF1075" s="425" t="str">
        <f t="shared" si="34"/>
        <v/>
      </c>
      <c r="AG1075" s="426" t="str">
        <f t="shared" si="35"/>
        <v/>
      </c>
      <c r="AH1075" s="410" t="str">
        <f>IF('Antal &amp; Längder (vikter)'!M$131="Längd (mm)",IF('Antal &amp; Längder (vikter)'!M134&lt;&gt;"",'Antal &amp; Längder (vikter)'!M134,"XX"),"XX")</f>
        <v>XX</v>
      </c>
      <c r="AI1075" s="195">
        <v>-9</v>
      </c>
    </row>
    <row r="1076" spans="28:35" ht="15" x14ac:dyDescent="0.25">
      <c r="AB1076" s="434" t="str">
        <f>IF(COUNT(AB1073:AB1075)&gt;0,MAX(AB1073:AB1075)+1,"")</f>
        <v/>
      </c>
      <c r="AC1076" s="433" t="str">
        <f>IF(AND(AH1076&lt;&gt;"",AG1076&lt;&gt;"",AI1076&gt;0,AH1076&gt;0),MAX(AC$2:AC1075)+1,"XX")</f>
        <v>XX</v>
      </c>
      <c r="AD1076" s="431" t="str">
        <f>IF('Antal &amp; Längder (vikter)'!$C$128&lt;&gt;"",'Antal &amp; Längder (vikter)'!$C$128,"XX")</f>
        <v>XX</v>
      </c>
      <c r="AE1076" s="424" t="str">
        <f>IF(AND('Antal &amp; Längder (vikter)'!L$130&lt;&gt;"",ISNUMBER($AH1076)),'Antal &amp; Längder (vikter)'!L$130,"")</f>
        <v/>
      </c>
      <c r="AF1076" s="425" t="str">
        <f t="shared" si="34"/>
        <v/>
      </c>
      <c r="AG1076" s="426" t="str">
        <f t="shared" si="35"/>
        <v/>
      </c>
      <c r="AH1076" s="410" t="str">
        <f>IF('Antal &amp; Längder (vikter)'!M$131="Längd (mm)",IF('Antal &amp; Längder (vikter)'!M135&lt;&gt;"",'Antal &amp; Längder (vikter)'!M135,"XX"),"XX")</f>
        <v>XX</v>
      </c>
      <c r="AI1076" s="195">
        <v>-9</v>
      </c>
    </row>
    <row r="1077" spans="28:35" ht="15" x14ac:dyDescent="0.25">
      <c r="AB1077" s="475" t="str">
        <f>IF(COUNT(AB1073:AB1076)&gt;0,MAX(AB1073:AB1076)+1,"")</f>
        <v/>
      </c>
      <c r="AC1077" s="433" t="str">
        <f>IF(AND(AH1077&lt;&gt;"",AG1077&lt;&gt;"",AI1077&gt;0,AH1077&gt;0),MAX(AC$2:AC1076)+1,"XX")</f>
        <v>XX</v>
      </c>
      <c r="AD1077" s="431" t="str">
        <f>IF('Antal &amp; Längder (vikter)'!$C$128&lt;&gt;"",'Antal &amp; Längder (vikter)'!$C$128,"XX")</f>
        <v>XX</v>
      </c>
      <c r="AE1077" s="424" t="str">
        <f>IF(AND('Antal &amp; Längder (vikter)'!L$130&lt;&gt;"",ISNUMBER($AH1077)),'Antal &amp; Längder (vikter)'!L$130,"")</f>
        <v/>
      </c>
      <c r="AF1077" s="425" t="str">
        <f t="shared" si="34"/>
        <v/>
      </c>
      <c r="AG1077" s="426" t="str">
        <f t="shared" si="35"/>
        <v/>
      </c>
      <c r="AH1077" s="410" t="str">
        <f>IF('Antal &amp; Längder (vikter)'!M$131="Längd (mm)",IF('Antal &amp; Längder (vikter)'!M136&lt;&gt;"",'Antal &amp; Längder (vikter)'!M136,"XX"),"XX")</f>
        <v>XX</v>
      </c>
      <c r="AI1077" s="195">
        <v>-9</v>
      </c>
    </row>
    <row r="1078" spans="28:35" ht="15" x14ac:dyDescent="0.25">
      <c r="AB1078" s="471" t="str">
        <f>IF(COUNT(AB1073:AB1077)&gt;0,MAX(AB1073:AB1077)+1,"")</f>
        <v/>
      </c>
      <c r="AC1078" s="433" t="str">
        <f>IF(AND(AH1078&lt;&gt;"",AG1078&lt;&gt;"",AI1078&gt;0,AH1078&gt;0),MAX(AC$2:AC1077)+1,"XX")</f>
        <v>XX</v>
      </c>
      <c r="AD1078" s="431" t="str">
        <f>IF('Antal &amp; Längder (vikter)'!$C$128&lt;&gt;"",'Antal &amp; Längder (vikter)'!$C$128,"XX")</f>
        <v>XX</v>
      </c>
      <c r="AE1078" s="424" t="str">
        <f>IF(AND('Antal &amp; Längder (vikter)'!L$130&lt;&gt;"",ISNUMBER($AH1078)),'Antal &amp; Längder (vikter)'!L$130,"")</f>
        <v/>
      </c>
      <c r="AF1078" s="425" t="str">
        <f t="shared" si="34"/>
        <v/>
      </c>
      <c r="AG1078" s="426" t="str">
        <f t="shared" si="35"/>
        <v/>
      </c>
      <c r="AH1078" s="410" t="str">
        <f>IF('Antal &amp; Längder (vikter)'!M$131="Längd (mm)",IF('Antal &amp; Längder (vikter)'!M137&lt;&gt;"",'Antal &amp; Längder (vikter)'!M137,"XX"),"XX")</f>
        <v>XX</v>
      </c>
      <c r="AI1078" s="195">
        <v>-9</v>
      </c>
    </row>
    <row r="1079" spans="28:35" ht="15" x14ac:dyDescent="0.25">
      <c r="AB1079" s="474" t="str">
        <f>IF(COUNT(AB1073:AB1078)&gt;0,MAX(AB1073:AB1078)+1,"")</f>
        <v/>
      </c>
      <c r="AC1079" s="433" t="str">
        <f>IF(AND(AH1079&lt;&gt;"",AG1079&lt;&gt;"",AI1079&gt;0,AH1079&gt;0),MAX(AC$2:AC1078)+1,"XX")</f>
        <v>XX</v>
      </c>
      <c r="AD1079" s="431" t="str">
        <f>IF('Antal &amp; Längder (vikter)'!$C$128&lt;&gt;"",'Antal &amp; Längder (vikter)'!$C$128,"XX")</f>
        <v>XX</v>
      </c>
      <c r="AE1079" s="424" t="str">
        <f>IF(AND('Antal &amp; Längder (vikter)'!L$130&lt;&gt;"",ISNUMBER($AH1079)),'Antal &amp; Längder (vikter)'!L$130,"")</f>
        <v/>
      </c>
      <c r="AF1079" s="425" t="str">
        <f t="shared" si="34"/>
        <v/>
      </c>
      <c r="AG1079" s="426" t="str">
        <f t="shared" si="35"/>
        <v/>
      </c>
      <c r="AH1079" s="410" t="str">
        <f>IF('Antal &amp; Längder (vikter)'!M$131="Längd (mm)",IF('Antal &amp; Längder (vikter)'!M138&lt;&gt;"",'Antal &amp; Längder (vikter)'!M138,"XX"),"XX")</f>
        <v>XX</v>
      </c>
      <c r="AI1079" s="195">
        <v>-9</v>
      </c>
    </row>
    <row r="1080" spans="28:35" ht="15" x14ac:dyDescent="0.25">
      <c r="AB1080" s="478" t="str">
        <f>IF(COUNT(AB1073:AB1079)&gt;0,MAX(AB1073:AB1079)+1,"")</f>
        <v/>
      </c>
      <c r="AC1080" s="433" t="str">
        <f>IF(AND(AH1080&lt;&gt;"",AG1080&lt;&gt;"",AI1080&gt;0,AH1080&gt;0),MAX(AC$2:AC1079)+1,"XX")</f>
        <v>XX</v>
      </c>
      <c r="AD1080" s="431" t="str">
        <f>IF('Antal &amp; Längder (vikter)'!$C$128&lt;&gt;"",'Antal &amp; Längder (vikter)'!$C$128,"XX")</f>
        <v>XX</v>
      </c>
      <c r="AE1080" s="424" t="str">
        <f>IF(AND('Antal &amp; Längder (vikter)'!L$130&lt;&gt;"",ISNUMBER($AH1080)),'Antal &amp; Längder (vikter)'!L$130,"")</f>
        <v/>
      </c>
      <c r="AF1080" s="425" t="str">
        <f t="shared" si="34"/>
        <v/>
      </c>
      <c r="AG1080" s="426" t="str">
        <f t="shared" si="35"/>
        <v/>
      </c>
      <c r="AH1080" s="410" t="str">
        <f>IF('Antal &amp; Längder (vikter)'!M$131="Längd (mm)",IF('Antal &amp; Längder (vikter)'!M139&lt;&gt;"",'Antal &amp; Längder (vikter)'!M139,"XX"),"XX")</f>
        <v>XX</v>
      </c>
      <c r="AI1080" s="195">
        <v>-9</v>
      </c>
    </row>
    <row r="1081" spans="28:35" ht="15" x14ac:dyDescent="0.25">
      <c r="AB1081" s="472" t="str">
        <f>IF(COUNT(AB1073:AB1080)&gt;0,MAX(AB1073:AB1080)+1,"")</f>
        <v/>
      </c>
      <c r="AC1081" s="433" t="str">
        <f>IF(AND(AH1081&lt;&gt;"",AG1081&lt;&gt;"",AI1081&gt;0,AH1081&gt;0),MAX(AC$2:AC1080)+1,"XX")</f>
        <v>XX</v>
      </c>
      <c r="AD1081" s="431" t="str">
        <f>IF('Antal &amp; Längder (vikter)'!$C$128&lt;&gt;"",'Antal &amp; Längder (vikter)'!$C$128,"XX")</f>
        <v>XX</v>
      </c>
      <c r="AE1081" s="424" t="str">
        <f>IF(AND('Antal &amp; Längder (vikter)'!L$130&lt;&gt;"",ISNUMBER($AH1081)),'Antal &amp; Längder (vikter)'!L$130,"")</f>
        <v/>
      </c>
      <c r="AF1081" s="425" t="str">
        <f t="shared" si="34"/>
        <v/>
      </c>
      <c r="AG1081" s="426" t="str">
        <f t="shared" si="35"/>
        <v/>
      </c>
      <c r="AH1081" s="410" t="str">
        <f>IF('Antal &amp; Längder (vikter)'!M$131="Längd (mm)",IF('Antal &amp; Längder (vikter)'!M140&lt;&gt;"",'Antal &amp; Längder (vikter)'!M140,"XX"),"XX")</f>
        <v>XX</v>
      </c>
      <c r="AI1081" s="195">
        <v>-9</v>
      </c>
    </row>
    <row r="1082" spans="28:35" ht="15" x14ac:dyDescent="0.25">
      <c r="AB1082" s="479" t="str">
        <f>IF(COUNT(AB1073:AB1081)&gt;0,MAX(AB1073:AB1081)+1,"")</f>
        <v/>
      </c>
      <c r="AC1082" s="433" t="str">
        <f>IF(AND(AH1082&lt;&gt;"",AG1082&lt;&gt;"",AI1082&gt;0,AH1082&gt;0),MAX(AC$2:AC1081)+1,"XX")</f>
        <v>XX</v>
      </c>
      <c r="AD1082" s="431" t="str">
        <f>IF('Antal &amp; Längder (vikter)'!$C$128&lt;&gt;"",'Antal &amp; Längder (vikter)'!$C$128,"XX")</f>
        <v>XX</v>
      </c>
      <c r="AE1082" s="424" t="str">
        <f>IF(AND('Antal &amp; Längder (vikter)'!L$130&lt;&gt;"",ISNUMBER($AH1082)),'Antal &amp; Längder (vikter)'!L$130,"")</f>
        <v/>
      </c>
      <c r="AF1082" s="425" t="str">
        <f t="shared" si="34"/>
        <v/>
      </c>
      <c r="AG1082" s="426" t="str">
        <f t="shared" si="35"/>
        <v/>
      </c>
      <c r="AH1082" s="410" t="str">
        <f>IF('Antal &amp; Längder (vikter)'!M$131="Längd (mm)",IF('Antal &amp; Längder (vikter)'!M141&lt;&gt;"",'Antal &amp; Längder (vikter)'!M141,"XX"),"XX")</f>
        <v>XX</v>
      </c>
      <c r="AI1082" s="195">
        <v>-9</v>
      </c>
    </row>
  </sheetData>
  <sheetProtection sheet="1" objects="1" scenarios="1"/>
  <phoneticPr fontId="0"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168</vt:i4>
      </vt:variant>
    </vt:vector>
  </HeadingPairs>
  <TitlesOfParts>
    <vt:vector size="177" baseType="lpstr">
      <vt:lpstr>Protokoll</vt:lpstr>
      <vt:lpstr>Lokalbeskrivn</vt:lpstr>
      <vt:lpstr>Frekvenstabell</vt:lpstr>
      <vt:lpstr>Antal &amp; Längder (vikter)</vt:lpstr>
      <vt:lpstr>Artuppgifter</vt:lpstr>
      <vt:lpstr>DATA TILL SLU</vt:lpstr>
      <vt:lpstr>DATA TILL SLU, LANGDER</vt:lpstr>
      <vt:lpstr>DATA TILL SLU LÄNGDER&amp;VIKTER</vt:lpstr>
      <vt:lpstr>Beräkningshjälp</vt:lpstr>
      <vt:lpstr>AL</vt:lpstr>
      <vt:lpstr>Artlista_alla</vt:lpstr>
      <vt:lpstr>Artlista_alla_2</vt:lpstr>
      <vt:lpstr>ARTNRlängder</vt:lpstr>
      <vt:lpstr>Fiskedatum</vt:lpstr>
      <vt:lpstr>FångadeArter</vt:lpstr>
      <vt:lpstr>Kalkdatum</vt:lpstr>
      <vt:lpstr>Lista_Aggregat</vt:lpstr>
      <vt:lpstr>Lista_aro</vt:lpstr>
      <vt:lpstr>Lista_artificiell</vt:lpstr>
      <vt:lpstr>Lista_barrskog</vt:lpstr>
      <vt:lpstr>Lista_berg_block</vt:lpstr>
      <vt:lpstr>Lista_beskuggning</vt:lpstr>
      <vt:lpstr>Lista_blandskog</vt:lpstr>
      <vt:lpstr>Lista_bottentopografi</vt:lpstr>
      <vt:lpstr>Lista_D_block1</vt:lpstr>
      <vt:lpstr>Lista_D_block2</vt:lpstr>
      <vt:lpstr>Lista_D_block3</vt:lpstr>
      <vt:lpstr>Lista_D_finsed</vt:lpstr>
      <vt:lpstr>Lista_D_flytbl</vt:lpstr>
      <vt:lpstr>Lista_D_grus</vt:lpstr>
      <vt:lpstr>Lista_D_häll</vt:lpstr>
      <vt:lpstr>Lista_D_mossa</vt:lpstr>
      <vt:lpstr>Lista_D_påv.alg</vt:lpstr>
      <vt:lpstr>Lista_D_rosett</vt:lpstr>
      <vt:lpstr>Lista_D_sand</vt:lpstr>
      <vt:lpstr>Lista_D_slinge</vt:lpstr>
      <vt:lpstr>Lista_D_sten1</vt:lpstr>
      <vt:lpstr>Lista_D_sten2</vt:lpstr>
      <vt:lpstr>Lista_D_öv.växt</vt:lpstr>
      <vt:lpstr>Lista_F_block1</vt:lpstr>
      <vt:lpstr>Lista_F_block2</vt:lpstr>
      <vt:lpstr>Lista_F_block3</vt:lpstr>
      <vt:lpstr>Lista_F_finsed</vt:lpstr>
      <vt:lpstr>Lista_F_flytbl</vt:lpstr>
      <vt:lpstr>Lista_F_grus</vt:lpstr>
      <vt:lpstr>Lista_F_häll</vt:lpstr>
      <vt:lpstr>Lista_F_mossa</vt:lpstr>
      <vt:lpstr>Lista_F_påv.alg</vt:lpstr>
      <vt:lpstr>Lista_F_rosett</vt:lpstr>
      <vt:lpstr>Lista_F_sand</vt:lpstr>
      <vt:lpstr>Lista_F_slinge</vt:lpstr>
      <vt:lpstr>Lista_F_sten1</vt:lpstr>
      <vt:lpstr>Lista_F_sten2</vt:lpstr>
      <vt:lpstr>Lista_F_öv.växt</vt:lpstr>
      <vt:lpstr>Lista_grumlig</vt:lpstr>
      <vt:lpstr>Lista_hed</vt:lpstr>
      <vt:lpstr>Lista_hygge</vt:lpstr>
      <vt:lpstr>Lista_inga_hinder</vt:lpstr>
      <vt:lpstr>Lista_ingen_påverkan</vt:lpstr>
      <vt:lpstr>Lista_kalfjäll</vt:lpstr>
      <vt:lpstr>Lista_Kalkningstyp</vt:lpstr>
      <vt:lpstr>Lista_kalkpåverkan</vt:lpstr>
      <vt:lpstr>Lista_lövskog</vt:lpstr>
      <vt:lpstr>Lista_Metod</vt:lpstr>
      <vt:lpstr>Lista_myr</vt:lpstr>
      <vt:lpstr>Lista_Ny_lokal</vt:lpstr>
      <vt:lpstr>Lista_påverkan</vt:lpstr>
      <vt:lpstr>Lista_sjöprocent</vt:lpstr>
      <vt:lpstr>Lista_Ström_vandrande</vt:lpstr>
      <vt:lpstr>Lista_typ_aggregat</vt:lpstr>
      <vt:lpstr>Lista_uppväxtbiotop</vt:lpstr>
      <vt:lpstr>Lista_vandringhinder</vt:lpstr>
      <vt:lpstr>Lista_vattenfärg</vt:lpstr>
      <vt:lpstr>Lista_vattenhastighet</vt:lpstr>
      <vt:lpstr>Lista_vattennivå</vt:lpstr>
      <vt:lpstr>Lista_X</vt:lpstr>
      <vt:lpstr>Lista_åker</vt:lpstr>
      <vt:lpstr>Lista_äng</vt:lpstr>
      <vt:lpstr>Lista1</vt:lpstr>
      <vt:lpstr>Lista10</vt:lpstr>
      <vt:lpstr>Lista11</vt:lpstr>
      <vt:lpstr>Lista12</vt:lpstr>
      <vt:lpstr>Lista2</vt:lpstr>
      <vt:lpstr>Lista3</vt:lpstr>
      <vt:lpstr>Lista4</vt:lpstr>
      <vt:lpstr>Lista5</vt:lpstr>
      <vt:lpstr>Lista6</vt:lpstr>
      <vt:lpstr>Lista7</vt:lpstr>
      <vt:lpstr>Lista8</vt:lpstr>
      <vt:lpstr>Lista9</vt:lpstr>
      <vt:lpstr>Lmax</vt:lpstr>
      <vt:lpstr>Lmin</vt:lpstr>
      <vt:lpstr>lokalAvfiskadbredd</vt:lpstr>
      <vt:lpstr>lokalAvfiskyta</vt:lpstr>
      <vt:lpstr>LokalDatum</vt:lpstr>
      <vt:lpstr>lokalDblock1</vt:lpstr>
      <vt:lpstr>lokalDblock2</vt:lpstr>
      <vt:lpstr>lokalDblock3</vt:lpstr>
      <vt:lpstr>lokalDfinsed</vt:lpstr>
      <vt:lpstr>lokalDgrus</vt:lpstr>
      <vt:lpstr>lokalDhäll</vt:lpstr>
      <vt:lpstr>lokalDsand</vt:lpstr>
      <vt:lpstr>lokalDsten1</vt:lpstr>
      <vt:lpstr>lokalDsten2</vt:lpstr>
      <vt:lpstr>lokalFblock1</vt:lpstr>
      <vt:lpstr>lokalFblock2</vt:lpstr>
      <vt:lpstr>lokalFblock3</vt:lpstr>
      <vt:lpstr>lokalFfinsed</vt:lpstr>
      <vt:lpstr>lokalFgrus</vt:lpstr>
      <vt:lpstr>lokalFhäll</vt:lpstr>
      <vt:lpstr>lokalFsand</vt:lpstr>
      <vt:lpstr>lokalFsten1</vt:lpstr>
      <vt:lpstr>lokalFsten2</vt:lpstr>
      <vt:lpstr>LokalLkoordX</vt:lpstr>
      <vt:lpstr>LokalLkoordY</vt:lpstr>
      <vt:lpstr>lokalLokalnamn</vt:lpstr>
      <vt:lpstr>lokalLängd</vt:lpstr>
      <vt:lpstr>lokalMaxdjup</vt:lpstr>
      <vt:lpstr>lokalMedelbredd</vt:lpstr>
      <vt:lpstr>lokalMedeldjup</vt:lpstr>
      <vt:lpstr>lokalMedelyta</vt:lpstr>
      <vt:lpstr>lokalTorryta</vt:lpstr>
      <vt:lpstr>lokalVattennivå</vt:lpstr>
      <vt:lpstr>lokalVdrnamn</vt:lpstr>
      <vt:lpstr>LokalVkoordX</vt:lpstr>
      <vt:lpstr>LokalVkoordY</vt:lpstr>
      <vt:lpstr>lokalVåtbredd</vt:lpstr>
      <vt:lpstr>lokLokNaNr</vt:lpstr>
      <vt:lpstr>Omätta</vt:lpstr>
      <vt:lpstr>PrLokNa</vt:lpstr>
      <vt:lpstr>PrLokNr</vt:lpstr>
      <vt:lpstr>Prot.Avfisk.bredd</vt:lpstr>
      <vt:lpstr>Prot.Avfisk.h.bredd</vt:lpstr>
      <vt:lpstr>Prot.Datum</vt:lpstr>
      <vt:lpstr>protokollAntalutfisk</vt:lpstr>
      <vt:lpstr>ProtokollAvfiskyta</vt:lpstr>
      <vt:lpstr>ProtokollDblock1</vt:lpstr>
      <vt:lpstr>ProtokollDblock2</vt:lpstr>
      <vt:lpstr>ProtokollDblock3</vt:lpstr>
      <vt:lpstr>ProtokollDfinsed</vt:lpstr>
      <vt:lpstr>ProtokollDgrus</vt:lpstr>
      <vt:lpstr>ProtokollDhäll</vt:lpstr>
      <vt:lpstr>ProtokollDsand</vt:lpstr>
      <vt:lpstr>ProtokollDsten1</vt:lpstr>
      <vt:lpstr>ProtokollDsten2</vt:lpstr>
      <vt:lpstr>ProtokollFblock1</vt:lpstr>
      <vt:lpstr>ProtokollFblock2</vt:lpstr>
      <vt:lpstr>ProtokollFblock3</vt:lpstr>
      <vt:lpstr>ProtokollFfinsed</vt:lpstr>
      <vt:lpstr>ProtokollFgrus</vt:lpstr>
      <vt:lpstr>ProtokollFhäll</vt:lpstr>
      <vt:lpstr>ProtokollFsand</vt:lpstr>
      <vt:lpstr>ProtokollFsten1</vt:lpstr>
      <vt:lpstr>ProtokollFsten2</vt:lpstr>
      <vt:lpstr>ProtokollLkoordX</vt:lpstr>
      <vt:lpstr>ProtokollLkoordY</vt:lpstr>
      <vt:lpstr>ProtokollLängd</vt:lpstr>
      <vt:lpstr>ProtokollMaxdjup</vt:lpstr>
      <vt:lpstr>ProtokollMedelbredd</vt:lpstr>
      <vt:lpstr>ProtokollMedelyta</vt:lpstr>
      <vt:lpstr>Protokollnivåhög</vt:lpstr>
      <vt:lpstr>Protokollnivålåg</vt:lpstr>
      <vt:lpstr>Protokollnivåmedel</vt:lpstr>
      <vt:lpstr>ProtokollTorryta</vt:lpstr>
      <vt:lpstr>ProtokollVdrnamn</vt:lpstr>
      <vt:lpstr>ProtokollVkoordX</vt:lpstr>
      <vt:lpstr>ProtokollVkoordY</vt:lpstr>
      <vt:lpstr>Protokollvåtbredd</vt:lpstr>
      <vt:lpstr>Utförare</vt:lpstr>
      <vt:lpstr>'Antal &amp; Längder (vikter)'!Utskriftsområde</vt:lpstr>
      <vt:lpstr>Artuppgifter!Utskriftsområde</vt:lpstr>
      <vt:lpstr>Frekvenstabell!Utskriftsområde</vt:lpstr>
      <vt:lpstr>Lokalbeskrivn!Utskriftsområde</vt:lpstr>
      <vt:lpstr>Protokoll!Utskriftsområde</vt:lpstr>
      <vt:lpstr>'Antal &amp; Längder (vikter)'!Utskriftsrubriker</vt:lpstr>
      <vt:lpstr>Artuppgifter!Utskriftsrubriker</vt:lpstr>
      <vt:lpstr>X</vt:lpstr>
    </vt:vector>
  </TitlesOfParts>
  <Company>Dalarna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Länsstyrelsen</dc:creator>
  <cp:lastModifiedBy>Lars-Göran Pärlklint</cp:lastModifiedBy>
  <cp:lastPrinted>2018-10-24T12:52:32Z</cp:lastPrinted>
  <dcterms:created xsi:type="dcterms:W3CDTF">2000-09-11T11:41:43Z</dcterms:created>
  <dcterms:modified xsi:type="dcterms:W3CDTF">2020-08-22T14:40:48Z</dcterms:modified>
</cp:coreProperties>
</file>